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059丰台区南四环西路188号总部广场项目\"/>
    </mc:Choice>
  </mc:AlternateContent>
  <xr:revisionPtr revIDLastSave="0" documentId="13_ncr:1_{AA3D4A74-2BDF-438C-BD2F-8918622F47C1}" xr6:coauthVersionLast="47" xr6:coauthVersionMax="47" xr10:uidLastSave="{00000000-0000-0000-0000-000000000000}"/>
  <bookViews>
    <workbookView xWindow="-120" yWindow="-120" windowWidth="29040" windowHeight="1584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80" state="hidden" r:id="rId21"/>
    <sheet name="成本法 (元)-fei" sheetId="69" state="hidden" r:id="rId22"/>
    <sheet name="比较法-办公" sheetId="34" r:id="rId23"/>
    <sheet name="悦荣中心" sheetId="91" r:id="rId24"/>
    <sheet name="华樾北京" sheetId="92" r:id="rId25"/>
    <sheet name="华樾北京2" sheetId="93" r:id="rId26"/>
    <sheet name="收益法-办公" sheetId="15" r:id="rId27"/>
    <sheet name="收益法-商业" sheetId="89" r:id="rId28"/>
    <sheet name="收益法-车库" sheetId="90" r:id="rId29"/>
    <sheet name="收益法-仓储" sheetId="81" r:id="rId30"/>
    <sheet name="收益法 (元)fei" sheetId="67" state="hidden" r:id="rId31"/>
    <sheet name="收益法-酒店模型" sheetId="77" state="hidden" r:id="rId32"/>
    <sheet name="收益法（汇总）" sheetId="70" r:id="rId33"/>
    <sheet name="1号楼" sheetId="86" r:id="rId34"/>
    <sheet name="2号楼" sheetId="87" r:id="rId35"/>
    <sheet name="31号楼" sheetId="88" r:id="rId36"/>
    <sheet name="典型户型修正" sheetId="31" state="hidden" r:id="rId37"/>
    <sheet name="比较法-住宅" sheetId="21" state="hidden" r:id="rId38"/>
    <sheet name="比较法-商业" sheetId="33"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假设开发法" sheetId="12" state="hidden" r:id="rId45"/>
    <sheet name="基准地价（汇总）" sheetId="76" state="hidden" r:id="rId46"/>
    <sheet name="基准地价修正" sheetId="43" state="hidden" r:id="rId47"/>
    <sheet name="剩余法（现房）" sheetId="82" state="hidden" r:id="rId48"/>
    <sheet name="成本逼近法" sheetId="83" state="hidden" r:id="rId49"/>
    <sheet name="修正" sheetId="45" state="hidden" r:id="rId50"/>
    <sheet name="容积率修正" sheetId="46" state="hidden" r:id="rId51"/>
    <sheet name="成本法（废）" sheetId="11" state="hidden" r:id="rId52"/>
    <sheet name="因素修正幅度" sheetId="65" state="hidden" r:id="rId53"/>
    <sheet name="区片价（范围）" sheetId="75" state="hidden" r:id="rId54"/>
    <sheet name="地价-分区" sheetId="79" state="hidden" r:id="rId55"/>
    <sheet name="地价" sheetId="71" state="hidden" r:id="rId56"/>
    <sheet name="区片价" sheetId="44" state="hidden" r:id="rId57"/>
    <sheet name="存贷款利率" sheetId="73" state="hidden"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__________________________A11" hidden="1">{#N/A,#N/A,FALSE,"Umsatz 99";#N/A,#N/A,FALSE,"ER 99 "}</definedName>
    <definedName name="__________________________c" hidden="1">{"Fiesta Facer Page",#N/A,FALSE,"Q_C_S";"Fiesta Main Page",#N/A,FALSE,"V_L";"Fiesta 95BP Struct",#N/A,FALSE,"StructBP";"Fiesta Post 95BP Struct",#N/A,FALSE,"AdjStructBP"}</definedName>
    <definedName name="________________A11" hidden="1">{#N/A,#N/A,FALSE,"Umsatz 99";#N/A,#N/A,FALSE,"ER 99 "}</definedName>
    <definedName name="________________c" hidden="1">{"Fiesta Facer Page",#N/A,FALSE,"Q_C_S";"Fiesta Main Page",#N/A,FALSE,"V_L";"Fiesta 95BP Struct",#N/A,FALSE,"StructBP";"Fiesta Post 95BP Struct",#N/A,FALSE,"AdjStructBP"}</definedName>
    <definedName name="_______________A11" hidden="1">{#N/A,#N/A,FALSE,"Umsatz 99";#N/A,#N/A,FALSE,"ER 99 "}</definedName>
    <definedName name="_______________c" hidden="1">{"Fiesta Facer Page",#N/A,FALSE,"Q_C_S";"Fiesta Main Page",#N/A,FALSE,"V_L";"Fiesta 95BP Struct",#N/A,FALSE,"StructBP";"Fiesta Post 95BP Struct",#N/A,FALSE,"AdjStructBP"}</definedName>
    <definedName name="____________A11" hidden="1">{#N/A,#N/A,FALSE,"Umsatz 99";#N/A,#N/A,FALSE,"ER 99 "}</definedName>
    <definedName name="____________c" hidden="1">{"Fiesta Facer Page",#N/A,FALSE,"Q_C_S";"Fiesta Main Page",#N/A,FALSE,"V_L";"Fiesta 95BP Struct",#N/A,FALSE,"StructBP";"Fiesta Post 95BP Struct",#N/A,FALSE,"AdjStructBP"}</definedName>
    <definedName name="___________A11" hidden="1">{#N/A,#N/A,FALSE,"Umsatz 99";#N/A,#N/A,FALSE,"ER 99 "}</definedName>
    <definedName name="___________c" hidden="1">{"Fiesta Facer Page",#N/A,FALSE,"Q_C_S";"Fiesta Main Page",#N/A,FALSE,"V_L";"Fiesta 95BP Struct",#N/A,FALSE,"StructBP";"Fiesta Post 95BP Struct",#N/A,FALSE,"AdjStructBP"}</definedName>
    <definedName name="________A11" hidden="1">{#N/A,#N/A,FALSE,"Umsatz 99";#N/A,#N/A,FALSE,"ER 99 "}</definedName>
    <definedName name="________c" hidden="1">{"Fiesta Facer Page",#N/A,FALSE,"Q_C_S";"Fiesta Main Page",#N/A,FALSE,"V_L";"Fiesta 95BP Struct",#N/A,FALSE,"StructBP";"Fiesta Post 95BP Struct",#N/A,FALSE,"AdjStructBP"}</definedName>
    <definedName name="_______A11" hidden="1">{#N/A,#N/A,FALSE,"Umsatz 99";#N/A,#N/A,FALSE,"ER 99 "}</definedName>
    <definedName name="_______c" hidden="1">{"Fiesta Facer Page",#N/A,FALSE,"Q_C_S";"Fiesta Main Page",#N/A,FALSE,"V_L";"Fiesta 95BP Struct",#N/A,FALSE,"StructBP";"Fiesta Post 95BP Struct",#N/A,FALSE,"AdjStructBP"}</definedName>
    <definedName name="______A11" hidden="1">{#N/A,#N/A,FALSE,"Umsatz 99";#N/A,#N/A,FALSE,"ER 99 "}</definedName>
    <definedName name="______c" hidden="1">{"Fiesta Facer Page",#N/A,FALSE,"Q_C_S";"Fiesta Main Page",#N/A,FALSE,"V_L";"Fiesta 95BP Struct",#N/A,FALSE,"StructBP";"Fiesta Post 95BP Struct",#N/A,FALSE,"AdjStructBP"}</definedName>
    <definedName name="_____A11" hidden="1">{#N/A,#N/A,FALSE,"Umsatz 99";#N/A,#N/A,FALSE,"ER 99 "}</definedName>
    <definedName name="_____c" hidden="1">{"Fiesta Facer Page",#N/A,FALSE,"Q_C_S";"Fiesta Main Page",#N/A,FALSE,"V_L";"Fiesta 95BP Struct",#N/A,FALSE,"StructBP";"Fiesta Post 95BP Struct",#N/A,FALSE,"AdjStructBP"}</definedName>
    <definedName name="____A11" hidden="1">{#N/A,#N/A,FALSE,"Umsatz 99";#N/A,#N/A,FALSE,"ER 99 "}</definedName>
    <definedName name="____c" hidden="1">{"Fiesta Facer Page",#N/A,FALSE,"Q_C_S";"Fiesta Main Page",#N/A,FALSE,"V_L";"Fiesta 95BP Struct",#N/A,FALSE,"StructBP";"Fiesta Post 95BP Struct",#N/A,FALSE,"AdjStructBP"}</definedName>
    <definedName name="____fd2" hidden="1">{#N/A,#N/A,TRUE,"Cover Memo";"Complete Sys. Estimate",#N/A,TRUE,"Change Summary";"Complete Sys. Estimate",#N/A,TRUE,"Estimate Summary";"Complete Sys. Estimate",#N/A,TRUE,"Dept. Summary";"Complete Sys. Estimate",#N/A,TRUE,"DOW Detail"}</definedName>
    <definedName name="___A11" hidden="1">{#N/A,#N/A,FALSE,"Umsatz 99";#N/A,#N/A,FALSE,"ER 99 "}</definedName>
    <definedName name="___c" hidden="1">{"Fiesta Facer Page",#N/A,FALSE,"Q_C_S";"Fiesta Main Page",#N/A,FALSE,"V_L";"Fiesta 95BP Struct",#N/A,FALSE,"StructBP";"Fiesta Post 95BP Struct",#N/A,FALSE,"AdjStructBP"}</definedName>
    <definedName name="___fd2" hidden="1">{#N/A,#N/A,TRUE,"Cover Memo";"Complete Sys. Estimate",#N/A,TRUE,"Change Summary";"Complete Sys. Estimate",#N/A,TRUE,"Estimate Summary";"Complete Sys. Estimate",#N/A,TRUE,"Dept. Summary";"Complete Sys. Estimate",#N/A,TRUE,"DOW Detail"}</definedName>
    <definedName name="__123Graph_A" hidden="1">#N/A</definedName>
    <definedName name="__123Graph_B" hidden="1">#REF!</definedName>
    <definedName name="__123Graph_C" hidden="1">#N/A</definedName>
    <definedName name="__123Graph_E" hidden="1">#N/A</definedName>
    <definedName name="__123Graph_LBL_A" hidden="1">[1]CFS3!$H$42:$Q$42</definedName>
    <definedName name="__123Graph_LBL_B" hidden="1">[1]CFS3!$H$41:$Q$41</definedName>
    <definedName name="__123Graph_X" hidden="1">#REF!</definedName>
    <definedName name="__1fd2_" hidden="1">{#N/A,#N/A,TRUE,"Cover Memo";"Complete Sys. Estimate",#N/A,TRUE,"Change Summary";"Complete Sys. Estimate",#N/A,TRUE,"Estimate Summary";"Complete Sys. Estimate",#N/A,TRUE,"Dept. Summary";"Complete Sys. Estimate",#N/A,TRUE,"DOW Detail"}</definedName>
    <definedName name="__2fd2_" hidden="1">{#N/A,#N/A,TRUE,"Cover Memo";"Complete Sys. Estimate",#N/A,TRUE,"Change Summary";"Complete Sys. Estimate",#N/A,TRUE,"Estimate Summary";"Complete Sys. Estimate",#N/A,TRUE,"Dept. Summary";"Complete Sys. Estimate",#N/A,TRUE,"DOW Detail"}</definedName>
    <definedName name="__A11" hidden="1">{#N/A,#N/A,FALSE,"Umsatz 99";#N/A,#N/A,FALSE,"ER 99 "}</definedName>
    <definedName name="__c" hidden="1">{"Fiesta Facer Page",#N/A,FALSE,"Q_C_S";"Fiesta Main Page",#N/A,FALSE,"V_L";"Fiesta 95BP Struct",#N/A,FALSE,"StructBP";"Fiesta Post 95BP Struct",#N/A,FALSE,"AdjStructBP"}</definedName>
    <definedName name="__fd2" hidden="1">{#N/A,#N/A,TRUE,"Cover Memo";"Complete Sys. Estimate",#N/A,TRUE,"Change Summary";"Complete Sys. Estimate",#N/A,TRUE,"Estimate Summary";"Complete Sys. Estimate",#N/A,TRUE,"Dept. Summary";"Complete Sys. Estimate",#N/A,TRUE,"DOW Detail"}</definedName>
    <definedName name="__FDS_HYPERLINK_TOGGLE_STATE__" hidden="1">"ON"</definedName>
    <definedName name="__Quantity_Cost_Center_Desc_by_Date_in_2_00_06" hidden="1">[2]pcQueryData!$A$9</definedName>
    <definedName name="_1" hidden="1">#REF!</definedName>
    <definedName name="_1_______wrn.²Ä1­Ó¤ë1_Ü20¤H." hidden="1">{#N/A,#N/A,FALSE,"²Ä1­Ó¤ë"}</definedName>
    <definedName name="_173__123Graph_ACHART_1" hidden="1">#REF!</definedName>
    <definedName name="_174__123Graph_ACHART_2" hidden="1">#REF!</definedName>
    <definedName name="_175__123Graph_ACHART_3" hidden="1">#REF!</definedName>
    <definedName name="_176__123Graph_ACHART_4" hidden="1">#REF!</definedName>
    <definedName name="_177__123Graph_ACHART_5" hidden="1">#REF!</definedName>
    <definedName name="_178__123Graph_ACHART_6" hidden="1">#REF!</definedName>
    <definedName name="_179__123Graph_ACHART_7" hidden="1">#REF!</definedName>
    <definedName name="_180__123Graph_ACHART_8" hidden="1">#REF!</definedName>
    <definedName name="_181__123Graph_BCHART_1" hidden="1">#REF!</definedName>
    <definedName name="_182__123Graph_BCHART_2" hidden="1">#REF!</definedName>
    <definedName name="_183__123Graph_BCHART_3" hidden="1">#REF!</definedName>
    <definedName name="_184__123Graph_BCHART_4" hidden="1">#REF!</definedName>
    <definedName name="_185__123Graph_BCHART_5" hidden="1">#REF!</definedName>
    <definedName name="_186__123Graph_BCHART_6" hidden="1">#REF!</definedName>
    <definedName name="_187__123Graph_BCHART_7" hidden="1">#REF!</definedName>
    <definedName name="_188__123Graph_BCHART_8" hidden="1">#REF!</definedName>
    <definedName name="_189__123Graph_CCHART_1" hidden="1">#REF!</definedName>
    <definedName name="_190__123Graph_DCHART_1" hidden="1">#REF!</definedName>
    <definedName name="_191__123Graph_ECHART_1" hidden="1">#REF!</definedName>
    <definedName name="_192__123Graph_FCHART_1" hidden="1">#REF!</definedName>
    <definedName name="_193__123Graph_XCHART_3" hidden="1">#REF!</definedName>
    <definedName name="_194__123Graph_XCHART_6" hidden="1">#REF!</definedName>
    <definedName name="_195__123Graph_XCHART_7" hidden="1">#REF!</definedName>
    <definedName name="_196__123Graph_XCHART_8" hidden="1">#REF!</definedName>
    <definedName name="_1fd2_" hidden="1">{#N/A,#N/A,TRUE,"Cover Memo";"Complete Sys. Estimate",#N/A,TRUE,"Change Summary";"Complete Sys. Estimate",#N/A,TRUE,"Estimate Summary";"Complete Sys. Estimate",#N/A,TRUE,"Dept. Summary";"Complete Sys. Estimate",#N/A,TRUE,"DOW Detail"}</definedName>
    <definedName name="_2_______wrn.²Ä1­Ó¤ë1_Ü20¤H." hidden="1">{#N/A,#N/A,FALSE,"²Ä1­Ó¤ë"}</definedName>
    <definedName name="_2fd2_" hidden="1">{#N/A,#N/A,TRUE,"Cover Memo";"Complete Sys. Estimate",#N/A,TRUE,"Change Summary";"Complete Sys. Estimate",#N/A,TRUE,"Estimate Summary";"Complete Sys. Estimate",#N/A,TRUE,"Dept. Summary";"Complete Sys. Estimate",#N/A,TRUE,"DOW Detail"}</definedName>
    <definedName name="_3_?" hidden="1">{"M1sPrint",#N/A,FALSE,"M1s"}</definedName>
    <definedName name="_38wrn.²Ä1­Ó¤ë1_Ü20¤H." hidden="1">{#N/A,#N/A,FALSE,"²Ä1­Ó¤ë"}</definedName>
    <definedName name="_3fd2_" hidden="1">{#N/A,#N/A,TRUE,"Cover Memo";"Complete Sys. Estimate",#N/A,TRUE,"Change Summary";"Complete Sys. Estimate",#N/A,TRUE,"Estimate Summary";"Complete Sys. Estimate",#N/A,TRUE,"Dept. Summary";"Complete Sys. Estimate",#N/A,TRUE,"DOW Detail"}</definedName>
    <definedName name="_44wrn.²Ä1­Ó¤ë1_Ü20¤H." hidden="1">{#N/A,#N/A,FALSE,"²Ä1­Ó¤ë"}</definedName>
    <definedName name="_4wrn.²Ä1­Ó¤ë1_Ü20¤H." hidden="1">{#N/A,#N/A,FALSE,"²Ä1­Ó¤ë"}</definedName>
    <definedName name="_50wrn.²Ä1­Ó¤ë1_Ü20¤H." hidden="1">{#N/A,#N/A,FALSE,"²Ä1­Ó¤ë"}</definedName>
    <definedName name="_5wrn.²Ä1­Ó¤ë1_Ü20¤H." hidden="1">{#N/A,#N/A,FALSE,"²Ä1­Ó¤ë"}</definedName>
    <definedName name="_A11" hidden="1">{#N/A,#N/A,FALSE,"Umsatz 99";#N/A,#N/A,FALSE,"ER 99 "}</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1000</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ED36E9DCD2CB498282EFDB42D2737609.edm" hidden="1">#REF!</definedName>
    <definedName name="_c" hidden="1">{"Fiesta Facer Page",#N/A,FALSE,"Q_C_S";"Fiesta Main Page",#N/A,FALSE,"V_L";"Fiesta 95BP Struct",#N/A,FALSE,"StructBP";"Fiesta Post 95BP Struct",#N/A,FALSE,"AdjStructBP"}</definedName>
    <definedName name="_fd2" hidden="1">{#N/A,#N/A,TRUE,"Cover Memo";"Complete Sys. Estimate",#N/A,TRUE,"Change Summary";"Complete Sys. Estimate",#N/A,TRUE,"Estimate Summary";"Complete Sys. Estimate",#N/A,TRUE,"Dept. Summary";"Complete Sys. Estimate",#N/A,TRUE,"DOW Detail"}</definedName>
    <definedName name="_Fill" hidden="1">#REF!</definedName>
    <definedName name="_xlnm._FilterDatabase" localSheetId="33" hidden="1">'1号楼'!$A$2:$P$34</definedName>
    <definedName name="_xlnm._FilterDatabase" localSheetId="34" hidden="1">'2号楼'!$A$2:$P$40</definedName>
    <definedName name="_xlnm._FilterDatabase" localSheetId="35" hidden="1">'31号楼'!$A$2:$S$14</definedName>
    <definedName name="_xlnm._FilterDatabase" localSheetId="22"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8" hidden="1">'比较法-商业'!$A$1:$L$49</definedName>
    <definedName name="_xlnm._FilterDatabase" localSheetId="37" hidden="1">'比较法-住宅'!$A$1:$L$49</definedName>
    <definedName name="_xlnm._FilterDatabase" localSheetId="48" hidden="1">成本逼近法!$A$2:$G$33</definedName>
    <definedName name="_xlnm._FilterDatabase" localSheetId="12" hidden="1">'数据-基础表'!$A$12:$AT$587</definedName>
    <definedName name="_xlnm._FilterDatabase" localSheetId="43" hidden="1">'土地比较法-工业'!$A$1:$L$45</definedName>
    <definedName name="_xlnm._FilterDatabase" localSheetId="42" hidden="1">'土地比较法-住宅、综合'!$A$1:$L$50</definedName>
    <definedName name="_xlnm._FilterDatabase" localSheetId="11" hidden="1">项目基本情况!$A$42:$N$42</definedName>
    <definedName name="_xlnm._FilterDatabase" hidden="1">#REF!</definedName>
    <definedName name="_Key1" hidden="1">#REF!</definedName>
    <definedName name="_Key2" hidden="1">#REF!</definedName>
    <definedName name="_Key3" hidden="1">#REF!</definedName>
    <definedName name="_Order1" hidden="1">255</definedName>
    <definedName name="_Order2" hidden="1">255</definedName>
    <definedName name="_Parse_In" hidden="1">'[3]Total road area'!#REF!</definedName>
    <definedName name="_Regression_Int" hidden="1">1</definedName>
    <definedName name="_Sort" hidden="1">#REF!</definedName>
    <definedName name="_SR6" hidden="1">{#N/A,#N/A,FALSE,"Mech, Elec, Fitout";#N/A,#N/A,FALSE,"Mech, Elec, Fitout"}</definedName>
    <definedName name="_Table1_In1" hidden="1">#REF!</definedName>
    <definedName name="_Table1_Out" hidden="1">#REF!</definedName>
    <definedName name="_Table2_In1" hidden="1">#REF!</definedName>
    <definedName name="_Table2_In2" hidden="1">#REF!</definedName>
    <definedName name="a" hidden="1">#REF!</definedName>
    <definedName name="AAAA" hidden="1">#REF!</definedName>
    <definedName name="Access_Button" hidden="1">"見積比較鏡_引用表_List"</definedName>
    <definedName name="AccessDatabase" hidden="1">"Z:\FI\Finance\Liuxj\Export sales\pastdue-e 2004\France 04.mdb"</definedName>
    <definedName name="adas" hidden="1">{"M1Print",#N/A,TRUE,"M1";"M2Print",#N/A,TRUE,"M2";"M1sPrint",#N/A,TRUE,"M1s";"M2aPrint",#N/A,TRUE,"M2a";"M4Print",#N/A,TRUE,"M4";"M5Print",#N/A,TRUE,"M5";"M6Print",#N/A,TRUE,"M6";"M6_1Print",#N/A,TRUE,"M6_1";"M6_2Print",#N/A,TRUE,"M6_2";"M7_1Print",#N/A,TRUE,"M7_1";"M7_2Print",#N/A,TRUE,"M7_2"}</definedName>
    <definedName name="AGEDDATABASE" hidden="1">{#N/A,#N/A,FALSE,"970301";#N/A,#N/A,FALSE,"970302";#N/A,#N/A,FALSE,"970303";#N/A,#N/A,FALSE,"970304";#N/A,#N/A,FALSE,"COM1";#N/A,#N/A,FALSE,"COM2"}</definedName>
    <definedName name="ANALSIS._.9511" hidden="1">{#N/A,#N/A,FALSE,"ABB HOLDING LTD"}</definedName>
    <definedName name="anscount" hidden="1">2</definedName>
    <definedName name="Any" hidden="1">#N/A</definedName>
    <definedName name="AS2DocOpenMode" hidden="1">"AS2DocumentEdit"</definedName>
    <definedName name="AS2HasNoAutoHeaderFooter" hidden="1">" "</definedName>
    <definedName name="AS2NamedRange" hidden="1">13</definedName>
    <definedName name="AS2ReportLS" hidden="1">1</definedName>
    <definedName name="AS2SyncStepLS" hidden="1">3</definedName>
    <definedName name="AS2VersionLS" hidden="1">300</definedName>
    <definedName name="ASasS" hidden="1">{#N/A,#N/A,FALSE,"Umsatz 99";#N/A,#N/A,FALSE,"ER 99 "}</definedName>
    <definedName name="asdasdfff" hidden="1">{#N/A,#N/A,FALSE,"Umsatz 99";#N/A,#N/A,FALSE,"ER 99 "}</definedName>
    <definedName name="asSA" hidden="1">{"Fiesta Facer Page",#N/A,FALSE,"Q_C_S";"Fiesta Main Page",#N/A,FALSE,"V_L";"Fiesta 95BP Struct",#N/A,FALSE,"StructBP";"Fiesta Post 95BP Struct",#N/A,FALSE,"AdjStructBP"}</definedName>
    <definedName name="assasddd" hidden="1">{#N/A,#N/A,FALSE,"²Ä1­Ó¤ë"}</definedName>
    <definedName name="b_1">[4]Con!#REF!</definedName>
    <definedName name="b_2">[4]Con!#REF!</definedName>
    <definedName name="b_3">[4]Con!#REF!</definedName>
    <definedName name="b_4">[4]Con!#REF!</definedName>
    <definedName name="ban" hidden="1">{#N/A,#N/A,FALSE,"5YRASSPl - consol'd";#N/A,#N/A,FALSE,"5YRASSPl - hotel";#N/A,#N/A,FALSE,"5YRASSPl - excl htl";#N/A,#N/A,FALSE,"VarReport";#N/A,#N/A,FALSE,"Sensitivity";#N/A,#N/A,FALSE,"House View ";#N/A,#N/A,FALSE,"KPI"}</definedName>
    <definedName name="BBBB" hidden="1">#REF!</definedName>
    <definedName name="BG_Del" hidden="1">15</definedName>
    <definedName name="BG_Ins" hidden="1">4</definedName>
    <definedName name="BG_Mod" hidden="1">6</definedName>
    <definedName name="BHN" hidden="1">{"Fiesta Facer Page",#N/A,FALSE,"Q_C_S";"Fiesta Main Page",#N/A,FALSE,"V_L";"Fiesta 95BP Struct",#N/A,FALSE,"StructBP";"Fiesta Post 95BP Struct",#N/A,FALSE,"AdjStructBP"}</definedName>
    <definedName name="BHZA" hidden="1">{"Fiesta Facer Page",#N/A,FALSE,"Q_C_S";"Fiesta Main Page",#N/A,FALSE,"V_L";"Fiesta 95BP Struct",#N/A,FALSE,"StructBP";"Fiesta Post 95BP Struct",#N/A,FALSE,"AdjStructBP"}</definedName>
    <definedName name="BJKM" hidden="1">{#N/A,#N/A,FALSE,"²Ä1­Ó¤ë"}</definedName>
    <definedName name="bonus_1">[4]Con!#REF!</definedName>
    <definedName name="break" hidden="1">{#N/A,#N/A,TRUE,"Cover Memo";"Ride Estimate",#N/A,TRUE,"Change Summary";"Ride Estimate",#N/A,TRUE,"Estimate Summary";"Ride Estimate",#N/A,TRUE,"Dept. Summary";"Ride Estimate",#N/A,TRUE,"DOW Detail"}</definedName>
    <definedName name="b附录101会展中心">[4]Con!#REF!</definedName>
    <definedName name="case">[5]Output!$Z$3</definedName>
    <definedName name="cashflow20030930" hidden="1">{"M1Print",#N/A,TRUE,"M1";"M2Print",#N/A,TRUE,"M2";"M1sPrint",#N/A,TRUE,"M1s";"M2aPrint",#N/A,TRUE,"M2a";"M4Print",#N/A,TRUE,"M4";"M5Print",#N/A,TRUE,"M5";"M6Print",#N/A,TRUE,"M6";"M6_1Print",#N/A,TRUE,"M6_1";"M6_2Print",#N/A,TRUE,"M6_2";"M7_1Print",#N/A,TRUE,"M7_1";"M7_2Print",#N/A,TRUE,"M7_2"}</definedName>
    <definedName name="cccc" hidden="1">#REF!</definedName>
    <definedName name="CellWatch01Descn" hidden="1">""</definedName>
    <definedName name="CellWatch01Name" hidden="1">"FA OROS"</definedName>
    <definedName name="CIQWBGuid" hidden="1">"44a06660-2502-46ee-bc86-dfd5e9efed39"</definedName>
    <definedName name="Clean" hidden="1">{#N/A,#N/A,TRUE,"Cover Memo";"Complete Sys. Estimate",#N/A,TRUE,"Change Summary";"Complete Sys. Estimate",#N/A,TRUE,"Estimate Summary";"Complete Sys. Estimate",#N/A,TRUE,"Dept. Summary";"Complete Sys. Estimate",#N/A,TRUE,"DOW Detail"}</definedName>
    <definedName name="Coll" hidden="1">{#N/A,#N/A,FALSE,"970301";#N/A,#N/A,FALSE,"970302";#N/A,#N/A,FALSE,"970303";#N/A,#N/A,FALSE,"970304";#N/A,#N/A,FALSE,"COM1";#N/A,#N/A,FALSE,"COM2"}</definedName>
    <definedName name="_xlnm.Database" hidden="1">#REF!</definedName>
    <definedName name="ddd" hidden="1">{#N/A,#N/A,TRUE,"Cover Memo";"Complete Sys. Estimate",#N/A,TRUE,"Change Summary";"Complete Sys. Estimate",#N/A,TRUE,"Estimate Summary";"Complete Sys. Estimate",#N/A,TRUE,"Dept. Summary";"Complete Sys. Estimate",#N/A,TRUE,"DOW Detail"}</definedName>
    <definedName name="dddd" hidden="1">{#N/A,#N/A,TRUE,"Cover Memo";"Complete Sys. Estimate",#N/A,TRUE,"Change Summary";"Complete Sys. Estimate",#N/A,TRUE,"Estimate Summary";"Complete Sys. Estimate",#N/A,TRUE,"Dept. Summary";"Complete Sys. Estimate",#N/A,TRUE,"DOW Detail"}</definedName>
    <definedName name="dddddd" hidden="1">{"Fiesta Facer Page",#N/A,FALSE,"Q_C_S";"Fiesta Main Page",#N/A,FALSE,"V_L";"Fiesta 95BP Struct",#N/A,FALSE,"StructBP";"Fiesta Post 95BP Struct",#N/A,FALSE,"AdjStructBP"}</definedName>
    <definedName name="dfdd" hidden="1">{#N/A,#N/A,TRUE,"Cover Memo";"Complete Sys. Estimate",#N/A,TRUE,"Change Summary";"Complete Sys. Estimate",#N/A,TRUE,"Estimate Summary";"Complete Sys. Estimate",#N/A,TRUE,"Dept. Summary";"Complete Sys. Estimate",#N/A,TRUE,"DOW Detail"}</definedName>
    <definedName name="DFDF" hidden="1">{#N/A,#N/A,TRUE,"Cover Memo";"Complete Sys. Estimate",#N/A,TRUE,"Change Summary";"Complete Sys. Estimate",#N/A,TRUE,"Estimate Summary";"Complete Sys. Estimate",#N/A,TRUE,"Dept. Summary";"Complete Sys. Estimate",#N/A,TRUE,"DOW Detail"}</definedName>
    <definedName name="DFL" hidden="1">{#N/A,#N/A,TRUE,"Capex Summ";#N/A,#N/A,TRUE,"Essential Works.tw";#N/A,#N/A,TRUE,"Desirable Works.tw";#N/A,#N/A,TRUE,"Essential Works.rt";#N/A,#N/A,TRUE,"Desirable Works.rt";#N/A,#N/A,TRUE,"Mthly";#N/A,#N/A,TRUE,"Essential Works.ht";#N/A,#N/A,TRUE,"Desirable Works.ht";#N/A,#N/A,TRUE,"Incentives"}</definedName>
    <definedName name="DPFLSDPFL"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ds" hidden="1">{#N/A,#N/A,FALSE,"Extension Title";#N/A,#N/A,FALSE,"Extensions Main";#N/A,#N/A,FALSE,"Christchurst";#N/A,#N/A,FALSE,"Larkfield Extension";#N/A,#N/A,FALSE,"Taunton";#N/A,#N/A,FALSE,"Farlington";#N/A,#N/A,FALSE,"Sidney Street";#N/A,#N/A,FALSE,"Tamworth";#N/A,#N/A,FALSE,"New Build Main"}</definedName>
    <definedName name="dsf" hidden="1">{#N/A,#N/A,FALSE,"Aging Summary";#N/A,#N/A,FALSE,"Ratio Analysis";#N/A,#N/A,FALSE,"Test 120 Day Accts";#N/A,#N/A,FALSE,"Tickmarks"}</definedName>
    <definedName name="dsfkljsd" hidden="1">{#N/A,#N/A,TRUE,"Capex Summ";#N/A,#N/A,TRUE,"Essential Works.tw";#N/A,#N/A,TRUE,"Desirable Works.tw";#N/A,#N/A,TRUE,"Essential Works.rt";#N/A,#N/A,TRUE,"Desirable Works.rt";#N/A,#N/A,TRUE,"Mthly";#N/A,#N/A,TRUE,"Essential Works.ht";#N/A,#N/A,TRUE,"Desirable Works.ht";#N/A,#N/A,TRUE,"Incentives"}</definedName>
    <definedName name="dsgsdgsd" hidden="1">{#N/A,#N/A,FALSE,"5YRASSPl - consol'd";#N/A,#N/A,FALSE,"5YRASSPl - hotel";#N/A,#N/A,FALSE,"5YRASSPl - excl htl";#N/A,#N/A,FALSE,"VarReport";#N/A,#N/A,FALSE,"Sensitivity";#N/A,#N/A,FALSE,"House View ";#N/A,#N/A,FALSE,"KPI"}</definedName>
    <definedName name="EIWO" hidden="1">{#N/A,#N/A,TRUE,"Capex Summ";#N/A,#N/A,TRUE,"Essential Works.tw";#N/A,#N/A,TRUE,"Desirable Works.tw";#N/A,#N/A,TRUE,"Essential Works.rt";#N/A,#N/A,TRUE,"Desirable Works.rt";#N/A,#N/A,TRUE,"Mthly";#N/A,#N/A,TRUE,"Essential Works.ht";#N/A,#N/A,TRUE,"Desirable Works.ht";#N/A,#N/A,TRUE,"Incentives"}</definedName>
    <definedName name="EJOPQ"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entry">#REF!</definedName>
    <definedName name="exit">#REF!</definedName>
    <definedName name="EYW" hidden="1">{#N/A,#N/A,TRUE,"Capex Summ";#N/A,#N/A,TRUE,"Essential Works.tw";#N/A,#N/A,TRUE,"Desirable Works.tw";#N/A,#N/A,TRUE,"Essential Works.rt";#N/A,#N/A,TRUE,"Desirable Works.rt";#N/A,#N/A,TRUE,"Mthly";#N/A,#N/A,TRUE,"Essential Works.ht";#N/A,#N/A,TRUE,"Desirable Works.ht";#N/A,#N/A,TRUE,"Incentives"}</definedName>
    <definedName name="EYWHEIW" hidden="1">{#N/A,#N/A,TRUE,"Capex Summ";#N/A,#N/A,TRUE,"Essential Works.tw";#N/A,#N/A,TRUE,"Desirable Works.tw";#N/A,#N/A,TRUE,"Essential Works.rt";#N/A,#N/A,TRUE,"Desirable Works.rt";#N/A,#N/A,TRUE,"Mthly";#N/A,#N/A,TRUE,"Essential Works.ht";#N/A,#N/A,TRUE,"Desirable Works.ht";#N/A,#N/A,TRUE,"Incentives"}</definedName>
    <definedName name="fd" hidden="1">{#N/A,#N/A,TRUE,"Cover Memo";"Complete Sys. Estimate",#N/A,TRUE,"Change Summary";"Complete Sys. Estimate",#N/A,TRUE,"Estimate Summary";"Complete Sys. Estimate",#N/A,TRUE,"Dept. Summary";"Complete Sys. Estimate",#N/A,TRUE,"DOW Detail"}</definedName>
    <definedName name="fdf" hidden="1">{#N/A,#N/A,TRUE,"Cover Memo";"Complete Sys. Estimate",#N/A,TRUE,"Change Summary";"Complete Sys. Estimate",#N/A,TRUE,"Estimate Summary";"Complete Sys. Estimate",#N/A,TRUE,"Dept. Summary";"Complete Sys. Estimate",#N/A,TRUE,"DOW Detail"}</definedName>
    <definedName name="fdfd" hidden="1">{#N/A,#N/A,TRUE,"Cover Memo";"Complete Sys. Estimate",#N/A,TRUE,"Change Summary";"Complete Sys. Estimate",#N/A,TRUE,"Estimate Summary";"Complete Sys. Estimate",#N/A,TRUE,"Dept. Summary";"Complete Sys. Estimate",#N/A,TRUE,"DOW Detail"}</definedName>
    <definedName name="fdfd2" hidden="1">{#N/A,#N/A,TRUE,"Cover Memo";"Complete Sys. Estimate",#N/A,TRUE,"Change Summary";"Complete Sys. Estimate",#N/A,TRUE,"Estimate Summary";"Complete Sys. Estimate",#N/A,TRUE,"Dept. Summary";"Complete Sys. Estimate",#N/A,TRUE,"DOW Detail"}</definedName>
    <definedName name="fdgdg" hidden="1">{#N/A,#N/A,TRUE,"Cover Memo";"Complete Sys. Estimate",#N/A,TRUE,"Change Summary";"Complete Sys. Estimate",#N/A,TRUE,"Estimate Summary";"Complete Sys. Estimate",#N/A,TRUE,"Dept. Summary";"Complete Sys. Estimate",#N/A,TRUE,"DOW Detail"}</definedName>
    <definedName name="feijapeoigapkgap" hidden="1">{#N/A,#N/A,FALSE,"5YRASSPl - consol'd";#N/A,#N/A,FALSE,"5YRASSPl - hotel";#N/A,#N/A,FALSE,"5YRASSPl - excl htl";#N/A,#N/A,FALSE,"VarReport";#N/A,#N/A,FALSE,"Sensitivity";#N/A,#N/A,FALSE,"House View ";#N/A,#N/A,FALSE,"KPI"}</definedName>
    <definedName name="FFFF" hidden="1">{#N/A,#N/A,FALSE,"Umsatz 99";#N/A,#N/A,FALSE,"ER 99 "}</definedName>
    <definedName name="FFFFF5" hidden="1">{#N/A,#N/A,FALSE,"Umsatz 99";#N/A,#N/A,FALSE,"ER 99 "}</definedName>
    <definedName name="FHEWIU" hidden="1">{#N/A,#N/A,FALSE,"asset plan";#N/A,#N/A,FALSE,"Mgmt Report";#N/A,#N/A,FALSE,"sensitivities (2)";#N/A,#N/A,FALSE,"sensitivities";#N/A,#N/A,FALSE,"let up 10  Mort";#N/A,#N/A,FALSE,"let up 12 Mort";#N/A,#N/A,FALSE,"Capex";#N/A,#N/A,FALSE,"Capex Cashflow (2)";#N/A,#N/A,FALSE,"Capex Cashflow (3)";#N/A,#N/A,FALSE,"House View";#N/A,#N/A,FALSE,"kpi"}</definedName>
    <definedName name="FN2.2" hidden="1">{#N/A,#N/A,FALSE,"²Ä1­Ó¤ë"}</definedName>
    <definedName name="FRIJEAN" hidden="1">{#N/A,#N/A,FALSE,"asset plan";#N/A,#N/A,FALSE,"Mgmt Report";#N/A,#N/A,FALSE,"sensitivities (2)";#N/A,#N/A,FALSE,"sensitivities";#N/A,#N/A,FALSE,"let up 10  Mort";#N/A,#N/A,FALSE,"let up 12 Mort";#N/A,#N/A,FALSE,"Capex";#N/A,#N/A,FALSE,"Capex Cashflow (2)";#N/A,#N/A,FALSE,"Capex Cashflow (3)";#N/A,#N/A,FALSE,"House View";#N/A,#N/A,FALSE,"kpi"}</definedName>
    <definedName name="gday"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GGG" hidden="1">{"Fiesta Facer Page",#N/A,FALSE,"Q_C_S";"Fiesta Main Page",#N/A,FALSE,"V_L";"Fiesta 95BP Struct",#N/A,FALSE,"StructBP";"Fiesta Post 95BP Struct",#N/A,FALSE,"AdjStructBP"}</definedName>
    <definedName name="ggggg" hidden="1">{#N/A,#N/A,TRUE,"Cover Memo";"Ride Estimate",#N/A,TRUE,"Change Summary";"Ride Estimate",#N/A,TRUE,"Estimate Summary";"Ride Estimate",#N/A,TRUE,"Dept. Summary";"Ride Estimate",#N/A,TRUE,"DOW Detail"}</definedName>
    <definedName name="GGHTV" hidden="1">{"Fiesta Facer Page",#N/A,FALSE,"Q_C_S";"Fiesta Main Page",#N/A,FALSE,"V_L";"Fiesta 95BP Struct",#N/A,FALSE,"StructBP";"Fiesta Post 95BP Struct",#N/A,FALSE,"AdjStructBP"}</definedName>
    <definedName name="guestroom" hidden="1">{#N/A,#N/A,TRUE,"Cover Memo";"Complete Sys. Estimate",#N/A,TRUE,"Change Summary";"Complete Sys. Estimate",#N/A,TRUE,"Estimate Summary";"Complete Sys. Estimate",#N/A,TRUE,"Dept. Summary";"Complete Sys. Estimate",#N/A,TRUE,"DOW Detail"}</definedName>
    <definedName name="haha" hidden="1">{#N/A,#N/A,FALSE,"asset plan";#N/A,#N/A,FALSE,"Mgmt Report";#N/A,#N/A,FALSE,"sensitivities (2)";#N/A,#N/A,FALSE,"sensitivities";#N/A,#N/A,FALSE,"let up 10  Mort";#N/A,#N/A,FALSE,"let up 12 Mort";#N/A,#N/A,FALSE,"Capex";#N/A,#N/A,FALSE,"Capex Cashflow (2)";#N/A,#N/A,FALSE,"Capex Cashflow (3)";#N/A,#N/A,FALSE,"House View";#N/A,#N/A,FALSE,"kpi"}</definedName>
    <definedName name="HDOUSAJFOIDAJG" hidden="1">{#N/A,#N/A,FALSE,"5YRASSPl - consol'd";#N/A,#N/A,FALSE,"5YRASSPl - hotel";#N/A,#N/A,FALSE,"5YRASSPl - excl htl";#N/A,#N/A,FALSE,"VarReport";#N/A,#N/A,FALSE,"Sensitivity";#N/A,#N/A,FALSE,"House View ";#N/A,#N/A,FALSE,"KPI"}</definedName>
    <definedName name="HEFOUW\"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EOUAHOIJAPOEAPIKGA" hidden="1">{#N/A,#N/A,FALSE,"5YRASSPl - consol'd";#N/A,#N/A,FALSE,"5YRASSPl - hotel";#N/A,#N/A,FALSE,"5YRASSPl - excl htl";#N/A,#N/A,FALSE,"VarReport";#N/A,#N/A,FALSE,"Sensitivity";#N/A,#N/A,FALSE,"House View ";#N/A,#N/A,FALSE,"KPI"}</definedName>
    <definedName name="heuiowq" hidden="1">{#N/A,#N/A,TRUE,"Capex Summ";#N/A,#N/A,TRUE,"Essential Works.tw";#N/A,#N/A,TRUE,"Desirable Works.tw";#N/A,#N/A,TRUE,"Essential Works.rt";#N/A,#N/A,TRUE,"Desirable Works.rt";#N/A,#N/A,TRUE,"Mthly";#N/A,#N/A,TRUE,"Essential Works.ht";#N/A,#N/A,TRUE,"Desirable Works.ht";#N/A,#N/A,TRUE,"Incentives"}</definedName>
    <definedName name="hfdouiasoia" hidden="1">{#N/A,#N/A,FALSE,"asset plan";#N/A,#N/A,FALSE,"Mgmt Report";#N/A,#N/A,FALSE,"sensitivities (2)";#N/A,#N/A,FALSE,"sensitivities";#N/A,#N/A,FALSE,"let up 10  Mort";#N/A,#N/A,FALSE,"let up 12 Mort";#N/A,#N/A,FALSE,"Capex";#N/A,#N/A,FALSE,"Capex Cashflow (2)";#N/A,#N/A,FALSE,"Capex Cashflow (3)";#N/A,#N/A,FALSE,"House View";#N/A,#N/A,FALSE,"kpi"}</definedName>
    <definedName name="hfdsiaofhjo" hidden="1">{#N/A,#N/A,FALSE,"5YRASSPl - consol'd";#N/A,#N/A,FALSE,"5YRASSPl - hotel";#N/A,#N/A,FALSE,"5YRASSPl - excl htl";#N/A,#N/A,FALSE,"VarReport";#N/A,#N/A,FALSE,"Sensitivity";#N/A,#N/A,FALSE,"House View ";#N/A,#N/A,FALSE,"KPI"}</definedName>
    <definedName name="hfiojeaoifioejfpoiaekpae" hidden="1">{#N/A,#N/A,FALSE,"asset plan";#N/A,#N/A,FALSE,"Mgmt Report";#N/A,#N/A,FALSE,"sensitivities (2)";#N/A,#N/A,FALSE,"sensitivities";#N/A,#N/A,FALSE,"let up 10  Mort";#N/A,#N/A,FALSE,"let up 12 Mort";#N/A,#N/A,FALSE,"Capex";#N/A,#N/A,FALSE,"Capex Cashflow (2)";#N/A,#N/A,FALSE,"Capex Cashflow (3)";#N/A,#N/A,FALSE,"House View";#N/A,#N/A,FALSE,"kpi"}</definedName>
    <definedName name="hfudihaoi" hidden="1">{#N/A,#N/A,FALSE,"asset plan";#N/A,#N/A,FALSE,"Mgmt Report";#N/A,#N/A,FALSE,"sensitivities (2)";#N/A,#N/A,FALSE,"sensitivities";#N/A,#N/A,FALSE,"let up 10  Mort";#N/A,#N/A,FALSE,"let up 12 Mort";#N/A,#N/A,FALSE,"Capex";#N/A,#N/A,FALSE,"Capex Cashflow (2)";#N/A,#N/A,FALSE,"Capex Cashflow (3)";#N/A,#N/A,FALSE,"House View";#N/A,#N/A,FALSE,"kpi"}</definedName>
    <definedName name="HFUIA" hidden="1">{#N/A,#N/A,FALSE,"asset plan";#N/A,#N/A,FALSE,"Mgmt Report";#N/A,#N/A,FALSE,"sensitivities (2)";#N/A,#N/A,FALSE,"sensitivities";#N/A,#N/A,FALSE,"let up 10  Mort";#N/A,#N/A,FALSE,"let up 12 Mort";#N/A,#N/A,FALSE,"Capex";#N/A,#N/A,FALSE,"Capex Cashflow (2)";#N/A,#N/A,FALSE,"Capex Cashflow (3)";#N/A,#N/A,FALSE,"House View";#N/A,#N/A,FALSE,"kpi"}</definedName>
    <definedName name="hfuijfoiae" hidden="1">{#N/A,#N/A,TRUE,"Capex Summ";#N/A,#N/A,TRUE,"Essential Works.tw";#N/A,#N/A,TRUE,"Desirable Works.tw";#N/A,#N/A,TRUE,"Essential Works.rt";#N/A,#N/A,TRUE,"Desirable Works.rt";#N/A,#N/A,TRUE,"Mthly";#N/A,#N/A,TRUE,"Essential Works.ht";#N/A,#N/A,TRUE,"Desirable Works.ht";#N/A,#N/A,TRUE,"Incentives"}</definedName>
    <definedName name="hfujsfoiase" hidden="1">{#N/A,#N/A,TRUE,"Capex Summ";#N/A,#N/A,TRUE,"Essential Works.tw";#N/A,#N/A,TRUE,"Desirable Works.tw";#N/A,#N/A,TRUE,"Essential Works.rt";#N/A,#N/A,TRUE,"Desirable Works.rt";#N/A,#N/A,TRUE,"Mthly";#N/A,#N/A,TRUE,"Essential Works.ht";#N/A,#N/A,TRUE,"Desirable Works.ht";#N/A,#N/A,TRUE,"Incentives"}</definedName>
    <definedName name="hfusjaoisio" hidden="1">{#N/A,#N/A,FALSE,"5YRASSPl - consol'd";#N/A,#N/A,FALSE,"5YRASSPl - hotel";#N/A,#N/A,FALSE,"5YRASSPl - excl htl";#N/A,#N/A,FALSE,"VarReport";#N/A,#N/A,FALSE,"Sensitivity";#N/A,#N/A,FALSE,"House View ";#N/A,#N/A,FALSE,"KPI"}</definedName>
    <definedName name="HGJAHGSOJFPOEWSPKPW" hidden="1">{#N/A,#N/A,FALSE,"asset plan";#N/A,#N/A,FALSE,"Mgmt Report";#N/A,#N/A,FALSE,"sensitivities (2)";#N/A,#N/A,FALSE,"sensitivities";#N/A,#N/A,FALSE,"let up 10  Mort";#N/A,#N/A,FALSE,"let up 12 Mort";#N/A,#N/A,FALSE,"Capex";#N/A,#N/A,FALSE,"Capex Cashflow (2)";#N/A,#N/A,FALSE,"Capex Cashflow (3)";#N/A,#N/A,FALSE,"House View";#N/A,#N/A,FALSE,"kpi"}</definedName>
    <definedName name="HHHM" hidden="1">{#N/A,#N/A,FALSE,"²Ä1­Ó¤ë"}</definedName>
    <definedName name="HIFHAOIJPOWAOPW3POWK" hidden="1">{#N/A,#N/A,FALSE,"asset plan";#N/A,#N/A,FALSE,"Mgmt Report";#N/A,#N/A,FALSE,"sensitivities (2)";#N/A,#N/A,FALSE,"sensitivities";#N/A,#N/A,FALSE,"let up 10  Mort";#N/A,#N/A,FALSE,"let up 12 Mort";#N/A,#N/A,FALSE,"Capex";#N/A,#N/A,FALSE,"Capex Cashflow (2)";#N/A,#N/A,FALSE,"Capex Cashflow (3)";#N/A,#N/A,FALSE,"House View";#N/A,#N/A,FALSE,"kpi"}</definedName>
    <definedName name="HIRE_1">#REF!</definedName>
    <definedName name="HIRE_2">#REF!</definedName>
    <definedName name="HIRE_3">#REF!</definedName>
    <definedName name="HIRE_4">#REF!</definedName>
    <definedName name="HIRE_MAIN">#REF!</definedName>
    <definedName name="hisdjiofjdsapo"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oireajgiewaopgeawk" hidden="1">{#N/A,#N/A,FALSE,"5YRASSPl - consol'd";#N/A,#N/A,FALSE,"5YRASSPl - hotel";#N/A,#N/A,FALSE,"5YRASSPl - excl htl";#N/A,#N/A,FALSE,"VarReport";#N/A,#N/A,FALSE,"Sensitivity";#N/A,#N/A,FALSE,"House View ";#N/A,#N/A,FALSE,"KPI"}</definedName>
    <definedName name="HOUHOIWOIGOPWAGPOWAIKGPWA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OURHEAOIHGOIWAJGPOA" hidden="1">{#N/A,#N/A,FALSE,"5YRASSPl - consol'd";#N/A,#N/A,FALSE,"5YRASSPl - hotel";#N/A,#N/A,FALSE,"5YRASSPl - excl htl";#N/A,#N/A,FALSE,"VarReport";#N/A,#N/A,FALSE,"Sensitivity";#N/A,#N/A,FALSE,"House View ";#N/A,#N/A,FALSE,"KPI"}</definedName>
    <definedName name="hrouehioreoiajrgpagp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TML_CodePage" hidden="1">936</definedName>
    <definedName name="HTML_Control" hidden="1">{"'home'!$F$26","'home'!$A$1:$J$25"}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PathFileMac" hidden="1">"Macintosh HD:HomePageStuff:New_Home_Page:datafile:ctryprem.html"</definedName>
    <definedName name="HTML_Title" hidden="1">"index"</definedName>
    <definedName name="HTML1_1" hidden="1">"[PP_EUR.xls]Germany!$A$1:$K$41"</definedName>
    <definedName name="HTML1_10" hidden="1">""</definedName>
    <definedName name="HTML1_11" hidden="1">1</definedName>
    <definedName name="HTML1_12" hidden="1">"C:\INTRANET\GERMANY.htm"</definedName>
    <definedName name="HTML1_2" hidden="1">1</definedName>
    <definedName name="HTML1_3" hidden="1">"PP_EUR"</definedName>
    <definedName name="HTML1_4" hidden="1">"Germany"</definedName>
    <definedName name="HTML1_5" hidden="1">""</definedName>
    <definedName name="HTML1_6" hidden="1">-4146</definedName>
    <definedName name="HTML1_7" hidden="1">-4146</definedName>
    <definedName name="HTML1_8" hidden="1">"8/31/96"</definedName>
    <definedName name="HTML1_9" hidden="1">""</definedName>
    <definedName name="HTML2_1" hidden="1">"[PP_EUR1.XLS]Germany!$A$1:$K$44"</definedName>
    <definedName name="HTML2_10" hidden="1">""</definedName>
    <definedName name="HTML2_11" hidden="1">-4146</definedName>
    <definedName name="HTML2_12" hidden="1">"C:\My Documents\Intranet\profit plan\HTML\GERMANY.htm"</definedName>
    <definedName name="HTML2_2" hidden="1">1</definedName>
    <definedName name="HTML2_3" hidden="1">""</definedName>
    <definedName name="HTML2_4" hidden="1">""</definedName>
    <definedName name="HTML2_5" hidden="1">""</definedName>
    <definedName name="HTML2_6" hidden="1">1</definedName>
    <definedName name="HTML2_7" hidden="1">1</definedName>
    <definedName name="HTML2_8" hidden="1">""</definedName>
    <definedName name="HTML2_9" hidden="1">""</definedName>
    <definedName name="HTMLCount" hidden="1">2</definedName>
    <definedName name="HUEA" hidden="1">{#N/A,#N/A,TRUE,"Capex Summ";#N/A,#N/A,TRUE,"Essential Works.tw";#N/A,#N/A,TRUE,"Desirable Works.tw";#N/A,#N/A,TRUE,"Essential Works.rt";#N/A,#N/A,TRUE,"Desirable Works.rt";#N/A,#N/A,TRUE,"Mthly";#N/A,#N/A,TRUE,"Essential Works.ht";#N/A,#N/A,TRUE,"Desirable Works.ht";#N/A,#N/A,TRUE,"Incentives"}</definedName>
    <definedName name="HUFE" hidden="1">{#N/A,#N/A,FALSE,"5YRASSPl - consol'd";#N/A,#N/A,FALSE,"5YRASSPl - hotel";#N/A,#N/A,FALSE,"5YRASSPl - excl htl";#N/A,#N/A,FALSE,"VarReport";#N/A,#N/A,FALSE,"Sensitivity";#N/A,#N/A,FALSE,"House View ";#N/A,#N/A,FALSE,"KPI"}</definedName>
    <definedName name="hufehsaifieo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fhojivgrjepa" hidden="1">{#N/A,#N/A,FALSE,"5YRASSPl - consol'd";#N/A,#N/A,FALSE,"5YRASSPl - hotel";#N/A,#N/A,FALSE,"5YRASSPl - excl htl";#N/A,#N/A,FALSE,"VarReport";#N/A,#N/A,FALSE,"Sensitivity";#N/A,#N/A,FALSE,"House View ";#N/A,#N/A,FALSE,"KPI"}</definedName>
    <definedName name="hufwaoijgporw" hidden="1">{#N/A,#N/A,FALSE,"asset plan";#N/A,#N/A,FALSE,"Mgmt Report";#N/A,#N/A,FALSE,"sensitivities (2)";#N/A,#N/A,FALSE,"sensitivities";#N/A,#N/A,FALSE,"let up 10  Mort";#N/A,#N/A,FALSE,"let up 12 Mort";#N/A,#N/A,FALSE,"Capex";#N/A,#N/A,FALSE,"Capex Cashflow (2)";#N/A,#N/A,FALSE,"Capex Cashflow (3)";#N/A,#N/A,FALSE,"House View";#N/A,#N/A,FALSE,"kpi"}</definedName>
    <definedName name="HUGREHOIJEAJGPOE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grehsojgpekgopkeoage"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i" hidden="1">{#N/A,#N/A,TRUE,"Capex Summ";#N/A,#N/A,TRUE,"Essential Works.tw";#N/A,#N/A,TRUE,"Desirable Works.tw";#N/A,#N/A,TRUE,"Essential Works.rt";#N/A,#N/A,TRUE,"Desirable Works.rt";#N/A,#N/A,TRUE,"Mthly";#N/A,#N/A,TRUE,"Essential Works.ht";#N/A,#N/A,TRUE,"Desirable Works.ht";#N/A,#N/A,TRUE,"Incentives"}</definedName>
    <definedName name="HUIDHAIUHIUFRWAOIJOPDKPOK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IEHW9OGHOIWJPWP" hidden="1">{#N/A,#N/A,TRUE,"Capex Summ";#N/A,#N/A,TRUE,"Essential Works.tw";#N/A,#N/A,TRUE,"Desirable Works.tw";#N/A,#N/A,TRUE,"Essential Works.rt";#N/A,#N/A,TRUE,"Desirable Works.rt";#N/A,#N/A,TRUE,"Mthly";#N/A,#N/A,TRUE,"Essential Works.ht";#N/A,#N/A,TRUE,"Desirable Works.ht";#N/A,#N/A,TRUE,"Incentives"}</definedName>
    <definedName name="HUISO" hidden="1">{#N/A,#N/A,TRUE,"Capex Summ";#N/A,#N/A,TRUE,"Essential Works.tw";#N/A,#N/A,TRUE,"Desirable Works.tw";#N/A,#N/A,TRUE,"Essential Works.rt";#N/A,#N/A,TRUE,"Desirable Works.rt";#N/A,#N/A,TRUE,"Mthly";#N/A,#N/A,TRUE,"Essential Works.ht";#N/A,#N/A,TRUE,"Desirable Works.ht";#N/A,#N/A,TRUE,"Incentives"}</definedName>
    <definedName name="HUIWHOIFROEAJPAKPFQ" hidden="1">{#N/A,#N/A,TRUE,"Capex Summ";#N/A,#N/A,TRUE,"Essential Works.tw";#N/A,#N/A,TRUE,"Desirable Works.tw";#N/A,#N/A,TRUE,"Essential Works.rt";#N/A,#N/A,TRUE,"Desirable Works.rt";#N/A,#N/A,TRUE,"Mthly";#N/A,#N/A,TRUE,"Essential Works.ht";#N/A,#N/A,TRUE,"Desirable Works.ht";#N/A,#N/A,TRUE,"Incentives"}</definedName>
    <definedName name="hurgjepagopreapo" hidden="1">{#N/A,#N/A,FALSE,"asset plan";#N/A,#N/A,FALSE,"Mgmt Report";#N/A,#N/A,FALSE,"sensitivities (2)";#N/A,#N/A,FALSE,"sensitivities";#N/A,#N/A,FALSE,"let up 10  Mort";#N/A,#N/A,FALSE,"let up 12 Mort";#N/A,#N/A,FALSE,"Capex";#N/A,#N/A,FALSE,"Capex Cashflow (2)";#N/A,#N/A,FALSE,"Capex Cashflow (3)";#N/A,#N/A,FALSE,"House View";#N/A,#N/A,FALSE,"kpi"}</definedName>
    <definedName name="hurihaghaojgpopgak" hidden="1">{#N/A,#N/A,TRUE,"Capex Summ";#N/A,#N/A,TRUE,"Essential Works.tw";#N/A,#N/A,TRUE,"Desirable Works.tw";#N/A,#N/A,TRUE,"Essential Works.rt";#N/A,#N/A,TRUE,"Desirable Works.rt";#N/A,#N/A,TRUE,"Mthly";#N/A,#N/A,TRUE,"Essential Works.ht";#N/A,#N/A,TRUE,"Desirable Works.ht";#N/A,#N/A,TRUE,"Incentives"}</definedName>
    <definedName name="husahfao" hidden="1">{#N/A,#N/A,FALSE,"5YRASSPl - consol'd";#N/A,#N/A,FALSE,"5YRASSPl - hotel";#N/A,#N/A,FALSE,"5YRASSPl - excl htl";#N/A,#N/A,FALSE,"VarReport";#N/A,#N/A,FALSE,"Sensitivity";#N/A,#N/A,FALSE,"House View ";#N/A,#N/A,FALSE,"KPI"}</definedName>
    <definedName name="hushuvai" hidden="1">{#N/A,#N/A,TRUE,"Capex Summ";#N/A,#N/A,TRUE,"Essential Works.tw";#N/A,#N/A,TRUE,"Desirable Works.tw";#N/A,#N/A,TRUE,"Essential Works.rt";#N/A,#N/A,TRUE,"Desirable Works.rt";#N/A,#N/A,TRUE,"Mthly";#N/A,#N/A,TRUE,"Essential Works.ht";#N/A,#N/A,TRUE,"Desirable Works.ht";#N/A,#N/A,TRUE,"Incentives"}</definedName>
    <definedName name="hushviao" hidden="1">{#N/A,#N/A,TRUE,"Capex Summ";#N/A,#N/A,TRUE,"Essential Works.tw";#N/A,#N/A,TRUE,"Desirable Works.tw";#N/A,#N/A,TRUE,"Essential Works.rt";#N/A,#N/A,TRUE,"Desirable Works.rt";#N/A,#N/A,TRUE,"Mthly";#N/A,#N/A,TRUE,"Essential Works.ht";#N/A,#N/A,TRUE,"Desirable Works.ht";#N/A,#N/A,TRUE,"Incentives"}</definedName>
    <definedName name="ifjaoiewapio" hidden="1">{#N/A,#N/A,FALSE,"asset plan";#N/A,#N/A,FALSE,"Mgmt Report";#N/A,#N/A,FALSE,"sensitivities (2)";#N/A,#N/A,FALSE,"sensitivities";#N/A,#N/A,FALSE,"let up 10  Mort";#N/A,#N/A,FALSE,"let up 12 Mort";#N/A,#N/A,FALSE,"Capex";#N/A,#N/A,FALSE,"Capex Cashflow (2)";#N/A,#N/A,FALSE,"Capex Cashflow (3)";#N/A,#N/A,FALSE,"House View";#N/A,#N/A,FALSE,"kpi"}</definedName>
    <definedName name="III" hidden="1">{#N/A,#N/A,TRUE,"Cover Memo";"Facility Estimate",#N/A,TRUE,"Change Summary";"Facility Estimate",#N/A,TRUE,"Estimate Summary";"Facility Estimate",#N/A,TRUE,"Dept. Summary";"Facility Estimate",#N/A,TRUE,"DOW Detail"}</definedName>
    <definedName name="IO" hidden="1">{#N/A,#N/A,FALSE,"5YRASSPl - consol'd";#N/A,#N/A,FALSE,"5YRASSPl - hotel";#N/A,#N/A,FALSE,"5YRASSPl - excl htl";#N/A,#N/A,FALSE,"VarReport";#N/A,#N/A,FALSE,"Sensitivity";#N/A,#N/A,FALSE,"House View ";#N/A,#N/A,FALSE,"KPI"}</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"11/02/2015 02:45:13"</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39031.3944328704</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O" hidden="1">{#N/A,#N/A,TRUE,"Capex Summ";#N/A,#N/A,TRUE,"Essential Works.tw";#N/A,#N/A,TRUE,"Desirable Works.tw";#N/A,#N/A,TRUE,"Essential Works.rt";#N/A,#N/A,TRUE,"Desirable Works.rt";#N/A,#N/A,TRUE,"Mthly";#N/A,#N/A,TRUE,"Essential Works.ht";#N/A,#N/A,TRUE,"Desirable Works.ht";#N/A,#N/A,TRUE,"Incentives"}</definedName>
    <definedName name="IUYK" hidden="1">{#N/A,#N/A,FALSE,"²Ä1­Ó¤ë"}</definedName>
    <definedName name="IV" hidden="1">{#N/A,#N/A,TRUE,"Cover Memo";"Ride Estimate",#N/A,TRUE,"Change Summary";"Ride Estimate",#N/A,TRUE,"Estimate Summary";"Ride Estimate",#N/A,TRUE,"Dept. Summary";"Ride Estimate",#N/A,TRUE,"DOW Detail"}</definedName>
    <definedName name="jciosjifaso" hidden="1">{#N/A,#N/A,TRUE,"Capex Summ";#N/A,#N/A,TRUE,"Essential Works.tw";#N/A,#N/A,TRUE,"Desirable Works.tw";#N/A,#N/A,TRUE,"Essential Works.rt";#N/A,#N/A,TRUE,"Desirable Works.rt";#N/A,#N/A,TRUE,"Mthly";#N/A,#N/A,TRUE,"Essential Works.ht";#N/A,#N/A,TRUE,"Desirable Works.ht";#N/A,#N/A,TRUE,"Incentives"}</definedName>
    <definedName name="JDISO" hidden="1">{#N/A,#N/A,TRUE,"Capex Summ";#N/A,#N/A,TRUE,"Essential Works.tw";#N/A,#N/A,TRUE,"Desirable Works.tw";#N/A,#N/A,TRUE,"Essential Works.rt";#N/A,#N/A,TRUE,"Desirable Works.rt";#N/A,#N/A,TRUE,"Mthly";#N/A,#N/A,TRUE,"Essential Works.ht";#N/A,#N/A,TRUE,"Desirable Works.ht";#N/A,#N/A,TRUE,"Incentives"}</definedName>
    <definedName name="jdsio" hidden="1">{#N/A,#N/A,FALSE,"5YRASSPl - consol'd";#N/A,#N/A,FALSE,"5YRASSPl - hotel";#N/A,#N/A,FALSE,"5YRASSPl - excl htl";#N/A,#N/A,FALSE,"VarReport";#N/A,#N/A,FALSE,"Sensitivity";#N/A,#N/A,FALSE,"House View ";#N/A,#N/A,FALSE,"KPI"}</definedName>
    <definedName name="jfeiwjogkroepkgpelpalgpkap" hidden="1">{#N/A,#N/A,TRUE,"Capex Summ";#N/A,#N/A,TRUE,"Essential Works.tw";#N/A,#N/A,TRUE,"Desirable Works.tw";#N/A,#N/A,TRUE,"Essential Works.rt";#N/A,#N/A,TRUE,"Desirable Works.rt";#N/A,#N/A,TRUE,"Mthly";#N/A,#N/A,TRUE,"Essential Works.ht";#N/A,#N/A,TRUE,"Desirable Works.ht";#N/A,#N/A,TRUE,"Incentives"}</definedName>
    <definedName name="jfiodjpofeop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fiodsajf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fiodsjpoasopkjapokfpo" hidden="1">{#N/A,#N/A,FALSE,"asset plan";#N/A,#N/A,FALSE,"Mgmt Report";#N/A,#N/A,FALSE,"sensitivities (2)";#N/A,#N/A,FALSE,"sensitivities";#N/A,#N/A,FALSE,"let up 10  Mort";#N/A,#N/A,FALSE,"let up 12 Mort";#N/A,#N/A,FALSE,"Capex";#N/A,#N/A,FALSE,"Capex Cashflow (2)";#N/A,#N/A,FALSE,"Capex Cashflow (3)";#N/A,#N/A,FALSE,"House View";#N/A,#N/A,FALSE,"kpi"}</definedName>
    <definedName name="jfiosjoiaop" hidden="1">{#N/A,#N/A,TRUE,"Capex Summ";#N/A,#N/A,TRUE,"Essential Works.tw";#N/A,#N/A,TRUE,"Desirable Works.tw";#N/A,#N/A,TRUE,"Essential Works.rt";#N/A,#N/A,TRUE,"Desirable Works.rt";#N/A,#N/A,TRUE,"Mthly";#N/A,#N/A,TRUE,"Essential Works.ht";#N/A,#N/A,TRUE,"Desirable Works.ht";#N/A,#N/A,TRUE,"Incentives"}</definedName>
    <definedName name="JIORJEOIAJOIRJGOPAPO" hidden="1">{#N/A,#N/A,FALSE,"asset plan";#N/A,#N/A,FALSE,"Mgmt Report";#N/A,#N/A,FALSE,"sensitivities (2)";#N/A,#N/A,FALSE,"sensitivities";#N/A,#N/A,FALSE,"let up 10  Mort";#N/A,#N/A,FALSE,"let up 12 Mort";#N/A,#N/A,FALSE,"Capex";#N/A,#N/A,FALSE,"Capex Cashflow (2)";#N/A,#N/A,FALSE,"Capex Cashflow (3)";#N/A,#N/A,FALSE,"House View";#N/A,#N/A,FALSE,"kpi"}</definedName>
    <definedName name="jiosjaoigjeakopa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isajpoopakgopaekpoa" hidden="1">{#N/A,#N/A,FALSE,"5YRASSPl - consol'd";#N/A,#N/A,FALSE,"5YRASSPl - hotel";#N/A,#N/A,FALSE,"5YRASSPl - excl htl";#N/A,#N/A,FALSE,"VarReport";#N/A,#N/A,FALSE,"Sensitivity";#N/A,#N/A,FALSE,"House View ";#N/A,#N/A,FALSE,"KPI"}</definedName>
    <definedName name="JN" hidden="1">{#N/A,#N/A,FALSE,"Umsatz 99";#N/A,#N/A,FALSE,"ER 99 "}</definedName>
    <definedName name="JOP" hidden="1">{#N/A,#N/A,FALSE,"5YRASSPl - consol'd";#N/A,#N/A,FALSE,"5YRASSPl - hotel";#N/A,#N/A,FALSE,"5YRASSPl - excl htl";#N/A,#N/A,FALSE,"VarReport";#N/A,#N/A,FALSE,"Sensitivity";#N/A,#N/A,FALSE,"House View ";#N/A,#N/A,FALSE,"KPI"}</definedName>
    <definedName name="JPOEWAOPJAEIO" hidden="1">{#N/A,#N/A,FALSE,"5YRASSPl - consol'd";#N/A,#N/A,FALSE,"5YRASSPl - hotel";#N/A,#N/A,FALSE,"5YRASSPl - excl htl";#N/A,#N/A,FALSE,"VarReport";#N/A,#N/A,FALSE,"Sensitivity";#N/A,#N/A,FALSE,"House View ";#N/A,#N/A,FALSE,"KPI"}</definedName>
    <definedName name="JRIOE"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rioejiorewakjgopekageas" hidden="1">{#N/A,#N/A,FALSE,"asset plan";#N/A,#N/A,FALSE,"Mgmt Report";#N/A,#N/A,FALSE,"sensitivities (2)";#N/A,#N/A,FALSE,"sensitivities";#N/A,#N/A,FALSE,"let up 10  Mort";#N/A,#N/A,FALSE,"let up 12 Mort";#N/A,#N/A,FALSE,"Capex";#N/A,#N/A,FALSE,"Capex Cashflow (2)";#N/A,#N/A,FALSE,"Capex Cashflow (3)";#N/A,#N/A,FALSE,"House View";#N/A,#N/A,FALSE,"kpi"}</definedName>
    <definedName name="jriojeapoikgreakgrpleaag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SIDO"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UUU" hidden="1">{#N/A,#N/A,FALSE,"Umsatz 99";#N/A,#N/A,FALSE,"ER 99 "}</definedName>
    <definedName name="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kkk" hidden="1">{#N/A,#N/A,FALSE,"OffAdvance";#N/A,#N/A,FALSE,"OffExpRprt";#N/A,#N/A,FALSE,"Entertmnt";#N/A,#N/A,FALSE,"Promotion";#N/A,#N/A,FALSE,"Travelling"}</definedName>
    <definedName name="kyd.CounterLimitCell.01." hidden="1">"x"</definedName>
    <definedName name="kyd.Dim.01." hidden="1">"local:Company"</definedName>
    <definedName name="kyd.ElementType.01." hidden="1">3</definedName>
    <definedName name="kyd.ItemType.01." hidden="1">2</definedName>
    <definedName name="kyd.MacroAfterMemoRow." hidden="1">""</definedName>
    <definedName name="kyd.MacroAfterZap." hidden="1">""</definedName>
    <definedName name="kyd.MacroAtEnd." hidden="1">""</definedName>
    <definedName name="kyd.MacroEachCycle." hidden="1">"FormatReport"</definedName>
    <definedName name="kyd.MacroEndOfEachCycle." hidden="1">""</definedName>
    <definedName name="kyd.MacroStartOfProc." hidden="1">""</definedName>
    <definedName name="kyd.MemoCtrlNum." hidden="1">0</definedName>
    <definedName name="kyd.MemoSortHide." hidden="1">FALSE</definedName>
    <definedName name="kyd.NumLevels.01." hidden="1">999</definedName>
    <definedName name="kyd.PanicStop." hidden="1">FALSE</definedName>
    <definedName name="kyd.ParentName.01." hidden="1">""</definedName>
    <definedName name="kyd.PreScreenData." hidden="1">FALSE</definedName>
    <definedName name="kyd.PrintMemo." hidden="1">FALSE</definedName>
    <definedName name="kyd.PrintParent.01." hidden="1">TRUE</definedName>
    <definedName name="kyd.PrintStdWhen." hidden="1">3</definedName>
    <definedName name="kyd.PrintToWbk." hidden="1">FALSE</definedName>
    <definedName name="kyd.ProcessInCycle." hidden="1">FALSE</definedName>
    <definedName name="kyd.SaveAsFile." hidden="1">FALSE</definedName>
    <definedName name="kyd.SaveMemo." hidden="1">FALSE</definedName>
    <definedName name="kyd.SelectString.01." hidden="1">"*"</definedName>
    <definedName name="kyd.Shortcut." hidden="1">FALSE</definedName>
    <definedName name="kyd.StdSortHide." hidden="1">FALSE</definedName>
    <definedName name="kyd.StopRow." hidden="1">65536</definedName>
    <definedName name="kyd.WriteMemWhenOptn." hidden="1">3</definedName>
    <definedName name="limcount" hidden="1">3</definedName>
    <definedName name="ListOffset" hidden="1">1</definedName>
    <definedName name="main">[6]Con!$A$1:$M$56</definedName>
    <definedName name="mar" hidden="1">{#N/A,#N/A,FALSE,"970301";#N/A,#N/A,FALSE,"970302";#N/A,#N/A,FALSE,"970303";#N/A,#N/A,FALSE,"970304";#N/A,#N/A,FALSE,"COM1";#N/A,#N/A,FALSE,"COM2"}</definedName>
    <definedName name="nfdijsa" hidden="1">{#N/A,#N/A,FALSE,"5YRASSPl - consol'd";#N/A,#N/A,FALSE,"5YRASSPl - hotel";#N/A,#N/A,FALSE,"5YRASSPl - excl htl";#N/A,#N/A,FALSE,"VarReport";#N/A,#N/A,FALSE,"Sensitivity";#N/A,#N/A,FALSE,"House View ";#N/A,#N/A,FALSE,"KPI"}</definedName>
    <definedName name="nfiojaoiwaifjkwap" hidden="1">{#N/A,#N/A,FALSE,"asset plan";#N/A,#N/A,FALSE,"Mgmt Report";#N/A,#N/A,FALSE,"sensitivities (2)";#N/A,#N/A,FALSE,"sensitivities";#N/A,#N/A,FALSE,"let up 10  Mort";#N/A,#N/A,FALSE,"let up 12 Mort";#N/A,#N/A,FALSE,"Capex";#N/A,#N/A,FALSE,"Capex Cashflow (2)";#N/A,#N/A,FALSE,"Capex Cashflow (3)";#N/A,#N/A,FALSE,"House View";#N/A,#N/A,FALSE,"kpi"}</definedName>
    <definedName name="nfuidsajoi"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nic" hidden="1">{#N/A,#N/A,FALSE,"5YRASSPl - consol'd";#N/A,#N/A,FALSE,"5YRASSPl - hotel";#N/A,#N/A,FALSE,"5YRASSPl - excl htl";#N/A,#N/A,FALSE,"VarReport";#N/A,#N/A,FALSE,"Sensitivity";#N/A,#N/A,FALSE,"House View ";#N/A,#N/A,FALSE,"KPI"}</definedName>
    <definedName name="nicole" hidden="1">{#N/A,#N/A,TRUE,"Capex Summ";#N/A,#N/A,TRUE,"Essential Works.tw";#N/A,#N/A,TRUE,"Desirable Works.tw";#N/A,#N/A,TRUE,"Essential Works.rt";#N/A,#N/A,TRUE,"Desirable Works.rt";#N/A,#N/A,TRUE,"Mthly";#N/A,#N/A,TRUE,"Essential Works.ht";#N/A,#N/A,TRUE,"Desirable Works.ht";#N/A,#N/A,TRUE,"Incentives"}</definedName>
    <definedName name="Nitin" hidden="1">'[7]Sheet3 (2)'!$A$60:$A$76</definedName>
    <definedName name="NRFEAIJ"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NVFUD" hidden="1">{#N/A,#N/A,FALSE,"asset plan";#N/A,#N/A,FALSE,"Mgmt Report";#N/A,#N/A,FALSE,"sensitivities (2)";#N/A,#N/A,FALSE,"sensitivities";#N/A,#N/A,FALSE,"let up 10  Mort";#N/A,#N/A,FALSE,"let up 12 Mort";#N/A,#N/A,FALSE,"Capex";#N/A,#N/A,FALSE,"Capex Cashflow (2)";#N/A,#N/A,FALSE,"Capex Cashflow (3)";#N/A,#N/A,FALSE,"House View";#N/A,#N/A,FALSE,"kpi"}</definedName>
    <definedName name="OAP" hidden="1">{#N/A,#N/A,FALSE,"asset plan";#N/A,#N/A,FALSE,"Mgmt Report";#N/A,#N/A,FALSE,"sensitivities (2)";#N/A,#N/A,FALSE,"sensitivities";#N/A,#N/A,FALSE,"let up 10  Mort";#N/A,#N/A,FALSE,"let up 12 Mort";#N/A,#N/A,FALSE,"Capex";#N/A,#N/A,FALSE,"Capex Cashflow (2)";#N/A,#N/A,FALSE,"Capex Cashflow (3)";#N/A,#N/A,FALSE,"House View";#N/A,#N/A,FALSE,"kpi"}</definedName>
    <definedName name="OEPQ" hidden="1">{#N/A,#N/A,FALSE,"asset plan";#N/A,#N/A,FALSE,"Mgmt Report";#N/A,#N/A,FALSE,"sensitivities (2)";#N/A,#N/A,FALSE,"sensitivities";#N/A,#N/A,FALSE,"let up 10  Mort";#N/A,#N/A,FALSE,"let up 12 Mort";#N/A,#N/A,FALSE,"Capex";#N/A,#N/A,FALSE,"Capex Cashflow (2)";#N/A,#N/A,FALSE,"Capex Cashflow (3)";#N/A,#N/A,FALSE,"House View";#N/A,#N/A,FALSE,"kpi"}</definedName>
    <definedName name="page_10">#REF!</definedName>
    <definedName name="page_11">#REF!</definedName>
    <definedName name="page_12">[4]Con!#REF!</definedName>
    <definedName name="page_13">[4]Con!#REF!</definedName>
    <definedName name="page_14">[4]Con!#REF!</definedName>
    <definedName name="page_7">#REF!</definedName>
    <definedName name="page_8">#REF!</definedName>
    <definedName name="page_9">#REF!</definedName>
    <definedName name="Pal_Workbook_GUID" hidden="1">"7Q4464PL6DN5B891H1XSFCWU"</definedName>
    <definedName name="PNL" hidden="1">#REF!</definedName>
    <definedName name="Print_1"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1_2"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1_4"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1_5"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2"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3"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_xlnm.Print_Area" localSheetId="22">'比较法-办公'!$A$1:$K$55,'比较法-办公'!$A$58:$M$132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8">'比较法-商业'!$A$1:$K$54,'比较法-商业'!$A$57:$M$131</definedName>
    <definedName name="_xlnm.Print_Area" localSheetId="37">'比较法-住宅'!$A$1:$K$54,'比较法-住宅'!$A$57:$M$131</definedName>
    <definedName name="_xlnm.Print_Area" localSheetId="48">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45">'基准地价（汇总）'!$A$1:$E$13</definedName>
    <definedName name="_xlnm.Print_Area" localSheetId="46">基准地价修正!$A$1:$J$44,基准地价修正!$A$47:$H$101,基准地价修正!$R$1:$V$16</definedName>
    <definedName name="_xlnm.Print_Area" localSheetId="44">假设开发法!$A$1:$K$37</definedName>
    <definedName name="_xlnm.Print_Area" localSheetId="18">结果表!$A$1:$I$127</definedName>
    <definedName name="_xlnm.Print_Area" localSheetId="47">'剩余法（现房）'!$A$1:$K$34</definedName>
    <definedName name="_xlnm.Print_Area" localSheetId="30">'收益法 (元)fei'!$A$1:$F$43,'收益法 (元)fei'!$H$3:$M$29,'收益法 (元)fei'!$A$45:$F$71,'收益法 (元)fei'!$I$46:$N$65</definedName>
    <definedName name="_xlnm.Print_Area" localSheetId="32">'收益法（汇总）'!$A$1:$F$13</definedName>
    <definedName name="_xlnm.Print_Area" localSheetId="26">'收益法-办公'!$A$1:$F$53,'收益法-办公'!$H$3:$M$37,'收益法-办公'!$A$55:$F$84,'收益法-办公'!$I$55:$N$74</definedName>
    <definedName name="_xlnm.Print_Area" localSheetId="29">'收益法-仓储'!$A$1:$F$53,'收益法-仓储'!$H$3:$M$37,'收益法-仓储'!$A$55:$F$84,'收益法-仓储'!$I$55:$N$74</definedName>
    <definedName name="_xlnm.Print_Area" localSheetId="28">'收益法-车库'!$A$1:$F$53,'收益法-车库'!$H$3:$M$37,'收益法-车库'!$A$55:$F$84,'收益法-车库'!$I$55:$N$74</definedName>
    <definedName name="_xlnm.Print_Area" localSheetId="27">'收益法-商业'!$A$1:$F$53,'收益法-商业'!$H$3:$M$37,'收益法-商业'!$A$55:$F$84,'收益法-商业'!$I$55:$N$74</definedName>
    <definedName name="_xlnm.Print_Area" localSheetId="14">'数据-汇总表'!$A$1:$P$32</definedName>
    <definedName name="_xlnm.Print_Area" localSheetId="43">'土地比较法-工业'!$A$1:$K$63,'土地比较法-工业'!$A$66:$M$123</definedName>
    <definedName name="_xlnm.Print_Area" localSheetId="42">'土地比较法-住宅、综合'!$A$1:$K$67,'土地比较法-住宅、综合'!$A$70:$M$133</definedName>
    <definedName name="_xlnm.Print_Area" localSheetId="17">系统读取表!$A$1:$I$26</definedName>
    <definedName name="_xlnm.Print_Area" localSheetId="11">项目基本情况!$A$1:$I$38</definedName>
    <definedName name="_xlnm.Print_Area" hidden="1">'[8]#REF!'!#REF!</definedName>
    <definedName name="PUB_FileID" hidden="1">"L10003363.xls"</definedName>
    <definedName name="PUB_UserID" hidden="1">"MAYERX"</definedName>
    <definedName name="R_1">[4]Con!#REF!</definedName>
    <definedName name="rentfree" hidden="1">#REF!</definedName>
    <definedName name="rfgreghrthtrh"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EOP" hidden="1">{#N/A,#N/A,FALSE,"asset plan";#N/A,#N/A,FALSE,"Mgmt Report";#N/A,#N/A,FALSE,"sensitivities (2)";#N/A,#N/A,FALSE,"sensitivities";#N/A,#N/A,FALSE,"let up 10  Mort";#N/A,#N/A,FALSE,"let up 12 Mort";#N/A,#N/A,FALSE,"Capex";#N/A,#N/A,FALSE,"Capex Cashflow (2)";#N/A,#N/A,FALSE,"Capex Cashflow (3)";#N/A,#N/A,FALSE,"House View";#N/A,#N/A,FALSE,"kpi"}</definedName>
    <definedName name="saggg" hidden="1">{#N/A,#N/A,FALSE,"Umsatz 99";#N/A,#N/A,FALSE,"ER 99 "}</definedName>
    <definedName name="SAI"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SAPBEXrevision" hidden="1">1</definedName>
    <definedName name="SAPBEXREVISIONN" hidden="1">25</definedName>
    <definedName name="SAPBEXsysID" hidden="1">"PE4"</definedName>
    <definedName name="SAPBEXwbID" hidden="1">"3Q4R7W3VD66V3CXTGQHGIRCBE"</definedName>
    <definedName name="sdf" hidden="1">{#N/A,#N/A,FALSE,"Umsatz 99";#N/A,#N/A,FALSE,"ER 99 "}</definedName>
    <definedName name="sdffg" hidden="1">{"Fiesta Facer Page",#N/A,FALSE,"Q_C_S";"Fiesta Main Page",#N/A,FALSE,"V_L";"Fiesta 95BP Struct",#N/A,FALSE,"StructBP";"Fiesta Post 95BP Struct",#N/A,FALSE,"AdjStructBP"}</definedName>
    <definedName name="SE" hidden="1">{#N/A,#N/A,FALSE,"Proj spec details"}</definedName>
    <definedName name="sencount" hidden="1">1</definedName>
    <definedName name="sfdsfsfsf" hidden="1">{"负债及权益",#N/A,FALSE,"TB-BS"}</definedName>
    <definedName name="SJAI" hidden="1">{#N/A,#N/A,FALSE,"asset plan";#N/A,#N/A,FALSE,"Mgmt Report";#N/A,#N/A,FALSE,"sensitivities (2)";#N/A,#N/A,FALSE,"sensitivities";#N/A,#N/A,FALSE,"let up 10  Mort";#N/A,#N/A,FALSE,"let up 12 Mort";#N/A,#N/A,FALSE,"Capex";#N/A,#N/A,FALSE,"Capex Cashflow (2)";#N/A,#N/A,FALSE,"Capex Cashflow (3)";#N/A,#N/A,FALSE,"House View";#N/A,#N/A,FALSE,"kpi"}</definedName>
    <definedName name="sssaasas" hidden="1">{#N/A,#N/A,FALSE,"Umsatz 99";#N/A,#N/A,FALSE,"ER 99 "}</definedName>
    <definedName name="SSTGG" hidden="1">{#N/A,#N/A,FALSE,"Umsatz 99";#N/A,#N/A,FALSE,"ER 99 "}</definedName>
    <definedName name="TextRefCopyRangeCount" hidden="1">3</definedName>
    <definedName name="tyhh" hidden="1">{#N/A,#N/A,FALSE,"²Ä1­Ó¤ë"}</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UJJ" hidden="1">{#N/A,#N/A,FALSE,"Umsatz 99";#N/A,#N/A,FALSE,"ER 99 "}</definedName>
    <definedName name="UWJQOP" hidden="1">{#N/A,#N/A,FALSE,"5YRASSPl - consol'd";#N/A,#N/A,FALSE,"5YRASSPl - hotel";#N/A,#N/A,FALSE,"5YRASSPl - excl htl";#N/A,#N/A,FALSE,"VarReport";#N/A,#N/A,FALSE,"Sensitivity";#N/A,#N/A,FALSE,"House View ";#N/A,#N/A,FALSE,"KPI"}</definedName>
    <definedName name="VDNAIU" hidden="1">{#N/A,#N/A,FALSE,"5YRASSPl - consol'd";#N/A,#N/A,FALSE,"5YRASSPl - hotel";#N/A,#N/A,FALSE,"5YRASSPl - excl htl";#N/A,#N/A,FALSE,"VarReport";#N/A,#N/A,FALSE,"Sensitivity";#N/A,#N/A,FALSE,"House View ";#N/A,#N/A,FALSE,"KPI"}</definedName>
    <definedName name="VF" hidden="1">41177.6341666667</definedName>
    <definedName name="VFOKD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VGBH" hidden="1">{#N/A,#N/A,FALSE,"Umsatz 99";#N/A,#N/A,FALSE,"ER 99 "}</definedName>
    <definedName name="VHDA" hidden="1">{#N/A,#N/A,FALSE,"²Ä1­Ó¤ë"}</definedName>
    <definedName name="VVYYT" hidden="1">{#N/A,#N/A,FALSE,"²Ä1­Ó¤ë"}</definedName>
    <definedName name="VYKM" hidden="1">{#N/A,#N/A,FALSE,"²Ä1­Ó¤ë"}</definedName>
    <definedName name="w">[4]Con!#REF!</definedName>
    <definedName name="WOP" hidden="1">{#N/A,#N/A,TRUE,"Capex Summ";#N/A,#N/A,TRUE,"Essential Works.tw";#N/A,#N/A,TRUE,"Desirable Works.tw";#N/A,#N/A,TRUE,"Essential Works.rt";#N/A,#N/A,TRUE,"Desirable Works.rt";#N/A,#N/A,TRUE,"Mthly";#N/A,#N/A,TRUE,"Essential Works.ht";#N/A,#N/A,TRUE,"Desirable Works.ht";#N/A,#N/A,TRUE,"Incentives"}</definedName>
    <definedName name="wrn" hidden="1">{#N/A,#N/A,FALSE,"Summary";#N/A,#N/A,FALSE,"road";#N/A,#N/A,FALSE,"raillifted";#N/A,#N/A,FALSE,"inlandwaterway";#N/A,#N/A,FALSE,"seagoing";#N/A,#N/A,FALSE,"pipeline"}</definedName>
    <definedName name="wrn.Actual._.All._.Companies." hidden="1">{"Company analysis actual",#N/A,FALSE,"Company Analysis";"Period analysis actual",#N/A,FALSE,"Period analysis";"Cons Adj. actual",#N/A,FALSE,"Consol Adj";"Consol Adj. detail actual",#N/A,FALSE,"Consol Adj detail";"NWL Actual",#N/A,FALSE,"NWL";"ESW Actual",#N/A,FALSE,"ESW";"NLI Actual",#N/A,FALSE,"NLI";"GIB Actual",#N/A,FALSE,"GIB";"Entec UK Actual",#N/A,FALSE,"ENTEC UK";"Entec Europe Actual",#N/A,FALSE,"ENTEC EUR";"ULG Actual",#N/A,FALSE,"ULG";"Agrer Actual",#N/A,FALSE,"AGRER";"AES Actual",#N/A,FALSE,"AES";"Imass Actual",#N/A,FALSE,"IMASS";"NLTRC Actual",#N/A,FALSE,"NLTRC";"CPIL Actual",#N/A,FALSE,"CPIL";"NWG Actual",#N/A,FALSE,"NWG";"FPS Actual",#N/A,FALSE,"FPS";"NEW Actual",#N/A,FALSE,"NEW";"SMCL Actual",#N/A,FALSE,"SMCL";"NH Actual",#N/A,FALSE,"NH"}</definedName>
    <definedName name="wrn.Aging._.and._.Trend._.Analysis." hidden="1">{#N/A,#N/A,FALSE,"Aging Summary";#N/A,#N/A,FALSE,"Ratio Analysis";#N/A,#N/A,FALSE,"Test 120 Day Accts";#N/A,#N/A,FALSE,"Tickmarks"}</definedName>
    <definedName name="wrn.All._.M._.Schedules." hidden="1">{"M1Print",#N/A,TRUE,"M1";"M2Print",#N/A,TRUE,"M2";"M1sPrint",#N/A,TRUE,"M1s";"M2aPrint",#N/A,TRUE,"M2a";"M4Print",#N/A,TRUE,"M4";"M5Print",#N/A,TRUE,"M5";"M6Print",#N/A,TRUE,"M6";"M6_1Print",#N/A,TRUE,"M6_1";"M6_2Print",#N/A,TRUE,"M6_2";"M7_1Print",#N/A,TRUE,"M7_1";"M7_2Print",#N/A,TRUE,"M7_2"}</definedName>
    <definedName name="wrn.all._.M._.Schedules.1" hidden="1">{"M1Print",#N/A,TRUE,"M1";"M2Print",#N/A,TRUE,"M2";"M1sPrint",#N/A,TRUE,"M1s";"M2aPrint",#N/A,TRUE,"M2a";"M4Print",#N/A,TRUE,"M4";"M5Print",#N/A,TRUE,"M5";"M6Print",#N/A,TRUE,"M6";"M6_1Print",#N/A,TRUE,"M6_1";"M6_2Print",#N/A,TRUE,"M6_2";"M7_1Print",#N/A,TRUE,"M7_1";"M7_2Print",#N/A,TRUE,"M7_2"}</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NALYSIS._.9507." hidden="1">{#N/A,#N/A,FALSE,"ABB HOLDING LTD"}</definedName>
    <definedName name="WRN.ANALYSIS._.9511." hidden="1">{#N/A,#N/A,FALSE,"ABB HOLDING LTD"}</definedName>
    <definedName name="wrn.Area._.Summaries." hidden="1">{#N/A,#N/A,FALSE,"Area Summaries"}</definedName>
    <definedName name="wrn.bgt97." hidden="1">{#N/A,#N/A,FALSE,"national";#N/A,#N/A,FALSE,"GZ";#N/A,#N/A,FALSE,"BJ";#N/A,#N/A,FALSE,"SH";#N/A,#N/A,FALSE,"ZJ"}</definedName>
    <definedName name="wrn.Board._.Reports." hidden="1">{#N/A,#N/A,FALSE,"M1s Board";#N/A,#N/A,FALSE,"M3 Board";#N/A,#N/A,FALSE,"M6 Board";#N/A,#N/A,FALSE,"M7";#N/A,#N/A,FALSE,"M7B";#N/A,#N/A,FALSE,"M8";#N/A,#N/A,FALSE,"M8A Board";#N/A,#N/A,FALSE,"AF1 Board"}</definedName>
    <definedName name="wrn.Budget._.All._.Companies." hidden="1">{"Company analysis budget",#N/A,FALSE,"Company Analysis";"Period analysis budget",#N/A,FALSE,"Period analysis";"Cons Adj. budget",#N/A,FALSE,"Consol Adj";"NWL Budget",#N/A,FALSE,"NWL";"ESW Budget",#N/A,FALSE,"ESW";"NWCSL Budget",#N/A,FALSE,"NWCSL";"NLI Budget",#N/A,FALSE,"NLI";"CES Budget",#N/A,FALSE,"CES";"NLE Budget",#N/A,FALSE,"NLE";"GIB Budget",#N/A,FALSE,"GIB";"Entec UK Budget",#N/A,FALSE,"ENTEC UK";"Entec Europe Budget",#N/A,FALSE,"ENTEC EUR";"ULG Budget",#N/A,FALSE,"ULG";"Agrer Budget",#N/A,FALSE,"AGRER";"AES Budget",#N/A,FALSE,"AES";"Imass Budget",#N/A,FALSE,"IMASS";"NLTRC Budget",#N/A,FALSE,"NLTRC";"CPIL Budget",#N/A,FALSE,"CPIL";"NWG Budget",#N/A,FALSE,"NWG";"FPS Budget",#N/A,FALSE,"FPS";"NEW Budget",#N/A,FALSE,"NEW";"SMCL Budget",#N/A,FALSE,"SMCL";"NH Budget",#N/A,FALSE,"NH"}</definedName>
    <definedName name="wrn.Capex." hidden="1">{#N/A,#N/A,TRUE,"Capex Summ";#N/A,#N/A,TRUE,"Essential Works.tw";#N/A,#N/A,TRUE,"Desirable Works.tw";#N/A,#N/A,TRUE,"Essential Works.rt";#N/A,#N/A,TRUE,"Desirable Works.rt";#N/A,#N/A,TRUE,"Mthly";#N/A,#N/A,TRUE,"Essential Works.ht";#N/A,#N/A,TRUE,"Desirable Works.ht";#N/A,#N/A,TRUE,"Incentives"}</definedName>
    <definedName name="wrn.Complete._.Sys.._.Estimate." hidden="1">{#N/A,#N/A,TRUE,"Cover Memo";"Complete Sys. Estimate",#N/A,TRUE,"Change Summary";"Complete Sys. Estimate",#N/A,TRUE,"Estimate Summary";"Complete Sys. Estimate",#N/A,TRUE,"Dept. Summary";"Complete Sys. Estimate",#N/A,TRUE,"DOW Detail"}</definedName>
    <definedName name="wrn.comps." hidden="1">{#N/A,#N/A,FALSE,"Comp"}</definedName>
    <definedName name="wrn.Elemental._.Summ." hidden="1">{#N/A,#N/A,FALSE,"Elemental Summ"}</definedName>
    <definedName name="wrn.Exp." hidden="1">{#N/A,#N/A,FALSE,"Exp_Summary";#N/A,#N/A,FALSE,"Exp_BJ";#N/A,#N/A,FALSE,"Exp_SH";#N/A,#N/A,FALSE,"Exp_GZ"}</definedName>
    <definedName name="wrn.Facility._.Estimate." hidden="1">{#N/A,#N/A,TRUE,"Cover Memo";"Facility Estimate",#N/A,TRUE,"Change Summary";"Facility Estimate",#N/A,TRUE,"Estimate Summary";"Facility Estimate",#N/A,TRUE,"Dept. Summary";"Facility Estimate",#N/A,TRUE,"DOW Detail"}</definedName>
    <definedName name="wrn.finmodel." hidden="1">{#N/A,#N/A,FALSE,"Fin Model"}</definedName>
    <definedName name="wrn.flifted." hidden="1">{#N/A,#N/A,FALSE,"Summary";#N/A,#N/A,FALSE,"road";#N/A,#N/A,FALSE,"raillifted";#N/A,#N/A,FALSE,"inlandwaterway";#N/A,#N/A,FALSE,"seagoing";#N/A,#N/A,FALSE,"pipeline"}</definedName>
    <definedName name="wrn.fmoved." hidden="1">{#N/A,#N/A,FALSE,"road";#N/A,#N/A,FALSE,"inlandwaterway";#N/A,#N/A,FALSE,"seagoing";#N/A,#N/A,FALSE,"pipeline"}</definedName>
    <definedName name="wrn.form." hidden="1">{#N/A,#N/A,FALSE,"OffAdvance";#N/A,#N/A,FALSE,"OffExpRprt";#N/A,#N/A,FALSE,"Entertmnt";#N/A,#N/A,FALSE,"Promotion";#N/A,#N/A,FALSE,"Travelling"}</definedName>
    <definedName name="wrn.Full._.Print._.Out."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Graphs." hidden="1">{#N/A,#N/A,FALSE,"Graphs"}</definedName>
    <definedName name="wrn.Inputsheet_ProjectInput." hidden="1">{"ProjectInput",#N/A,FALSE,"INPUT-AREA"}</definedName>
    <definedName name="wrn.LYreports." hidden="1">{#N/A,#N/A,FALSE,"B10-Value";#N/A,#N/A,FALSE,"B10-Unit ";#N/A,#N/A,FALSE,"MgnPrdRgn";#N/A,#N/A,FALSE,"MgnProd";#N/A,#N/A,FALSE,"SaleProRegn";#N/A,#N/A,FALSE,"SaleRgnCustmr";#N/A,#N/A,FALSE,"Coll_analysis";#N/A,#N/A,FALSE,"BlackList";#N/A,#N/A,FALSE,"Sales&amp;Collctn";#N/A,#N/A,FALSE,"A_RDueDays"}</definedName>
    <definedName name="wrn.M1._.Operating._.Statement." hidden="1">{"M1Print",#N/A,FALSE,"M1"}</definedName>
    <definedName name="wrn.M1s._.Statistics." hidden="1">{"M1sPrint",#N/A,FALSE,"M1s"}</definedName>
    <definedName name="wrn.M2._.Balance._.Sheet." hidden="1">{"M2Print",#N/A,FALSE,"M2"}</definedName>
    <definedName name="wrn.M2a._.Cashflow." hidden="1">{"M2aPrint",#N/A,FALSE,"M2a"}</definedName>
    <definedName name="wrn.M4._.Inventories." hidden="1">{"M4Print",#N/A,FALSE,"M4"}</definedName>
    <definedName name="wrn.M5._.Flash._.and._.Forecast." hidden="1">{"M5Print",#N/A,FALSE,"M5"}</definedName>
    <definedName name="wrn.M6._.Management._.Summary." hidden="1">{"M6Print",#N/A,FALSE,"M6";"M6_1Print",#N/A,FALSE,"M6_1";"M6_2Print",#N/A,FALSE,"M6_2"}</definedName>
    <definedName name="wrn.M7._.Financial._.Controllers._.report." hidden="1">{"M7_1Print",#N/A,TRUE,"M7_1";"M7_2Print",#N/A,TRUE,"M7_2"}</definedName>
    <definedName name="wrn.Mech._.Elec._.Fitout." hidden="1">{#N/A,#N/A,FALSE,"Mech, Elec, Fitout";#N/A,#N/A,FALSE,"Mech, Elec, Fitout"}</definedName>
    <definedName name="wrn.Monthly._.reports." hidden="1">{"Consol PL",#N/A,FALSE,"Consol PL";"Forecast",#N/A,FALSE,"Forecasts";"Company analysis actual",#N/A,FALSE,"Company Analysis";"Period analysis actual",#N/A,FALSE,"Period analysis";"Cons Adj.",#N/A,FALSE,"Consol Adj";"Consol Adj. detail actual",#N/A,FALSE,"Consol Adj detail";"Adj. Workings",#N/A,FALSE,"Adj Workings";"Operating Costs",#N/A,FALSE,"Operating costs";"Interest summary",#N/A,FALSE,"Interest";"PBT summary",#N/A,FALSE,"Profit Before Tax";"Tax summary",#N/A,FALSE,"Tax";"PAT summary",#N/A,FALSE,"Profit After Tax";"Dividends summary",#N/A,FALSE,"Dividends &amp; MI";"Int. Turnover summary",#N/A,FALSE,"Internal Turnover";"Int. Costs summary",#N/A,FALSE,"Internal Costs";"Int. Interest summary",#N/A,FALSE,"Internal Interest"}</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Office." hidden="1">{#N/A,#N/A,FALSE,"OffAdvance";#N/A,#N/A,FALSE,"OffExpRprt";#N/A,#N/A,FALSE,"Travelling";#N/A,#N/A,FALSE,"Entertmnt";#N/A,#N/A,FALSE,"Promotion"}</definedName>
    <definedName name="wrn.Operating._.Costs." hidden="1">{"Two",#N/A,FALSE,"PANDLAC"}</definedName>
    <definedName name="wrn.Package." hidden="1">{#N/A,#N/A,FALSE,"BS4th";#N/A,#N/A,FALSE,"CashFlow";#N/A,#N/A,FALSE,"A_RDueDays";#N/A,#N/A,FALSE,"BlackList";#N/A,#N/A,FALSE,"Prepaid";#N/A,#N/A,FALSE,"Employee";#N/A,#N/A,FALSE,"Inventry";#N/A,#N/A,FALSE,"InterCo";#N/A,#N/A,FALSE,"Payable";#N/A,#N/A,FALSE,"SW6_4th";#N/A,#N/A,FALSE,"SalesCollctn";#N/A,#N/A,FALSE,"Collection";#N/A,#N/A,FALSE,"B10-Value";#N/A,#N/A,FALSE,"B10-Unit";#N/A,#N/A,FALSE,"GrsMgnProd";#N/A,#N/A,FALSE,"ExpDetailed";#N/A,#N/A,FALSE,"ExpDetailedYTD";#N/A,#N/A,FALSE,"CommExp";#N/A,#N/A,FALSE,"CommExpYTD";#N/A,#N/A,FALSE,"RgnP&amp;L";#N/A,#N/A,FALSE,"GrMgnPrdRgn";#N/A,#N/A,FALSE,"SaleProRegn";#N/A,#N/A,FALSE,"SaleRgnCustmr";#N/A,#N/A,FALSE,"ExchDiff";#N/A,#N/A,FALSE,"Headcount"}</definedName>
    <definedName name="wrn.page57to67." hidden="1">{#N/A,#N/A,FALSE,"57";#N/A,#N/A,FALSE,"58";#N/A,#N/A,FALSE,"59";#N/A,#N/A,FALSE,"60";#N/A,#N/A,FALSE,"60A";#N/A,#N/A,FALSE,"61";#N/A,#N/A,FALSE,"62";#N/A,#N/A,FALSE,"63";#N/A,#N/A,FALSE,"63A";#N/A,#N/A,FALSE,"64";#N/A,#N/A,FALSE,"65";#N/A,#N/A,FALSE,"66";#N/A,#N/A,FALSE,"67"}</definedName>
    <definedName name="wrn.Pages._.28._.to._.50."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51._.to._.66." hidden="1">{#N/A,#N/A,FALSE,"51";#N/A,#N/A,FALSE,"52";#N/A,#N/A,FALSE,"53";#N/A,#N/A,FALSE,"54";#N/A,#N/A,FALSE,"55";#N/A,#N/A,FALSE,"55A";#N/A,#N/A,FALSE,"56";#N/A,#N/A,FALSE,"57";#N/A,#N/A,FALSE,"57A";#N/A,#N/A,FALSE,"58";#N/A,#N/A,FALSE,"59";#N/A,#N/A,FALSE,"60";#N/A,#N/A,FALSE,"60A";#N/A,#N/A,FALSE,"61";#N/A,#N/A,FALSE,"62";#N/A,#N/A,FALSE,"63";#N/A,#N/A,FALSE,"63A";#N/A,#N/A,FALSE,"64";#N/A,#N/A,FALSE,"65";#N/A,#N/A,FALSE,"66"}</definedName>
    <definedName name="wrn.pages._.88._.to._.end."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enn._.PSC._.part._.1."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2."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Phased." hidden="1">{"P&amp;L phased",#N/A,FALSE,"P and L";"Interest phased",#N/A,FALSE,"Interest";"Cshf phased",#N/A,FALSE,"Cashflow";"BSheet phased",#N/A,FALSE,"B Sheet";"Capex phased",#N/A,FALSE,"Capex"}</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ofit._.Loss." hidden="1">{"One",#N/A,FALSE,"PANDLAC"}</definedName>
    <definedName name="wrn.Proj._.spec._.details." hidden="1">{#N/A,#N/A,FALSE,"Proj spec details"}</definedName>
    <definedName name="wrn.Project._.Commentary." hidden="1">{#N/A,#N/A,FALSE,"Project Commentary"}</definedName>
    <definedName name="wrn.QAPU." hidden="1">{#N/A,#N/A,FALSE,"5YRASSPl - consol'd";#N/A,#N/A,FALSE,"5YRASSPl - hotel";#N/A,#N/A,FALSE,"5YRASSPl - excl htl";#N/A,#N/A,FALSE,"VarReport";#N/A,#N/A,FALSE,"Sensitivity";#N/A,#N/A,FALSE,"House View ";#N/A,#N/A,FALSE,"KPI"}</definedName>
    <definedName name="wrn.rail." hidden="1">{#N/A,#N/A,FALSE,"inopert";#N/A,#N/A,FALSE,"electrified";#N/A,#N/A,FALSE,"network"}</definedName>
    <definedName name="wrn.rdtraffic." hidden="1">{#N/A,#N/A,FALSE,"rtbuses";#N/A,#N/A,FALSE,"rtcar";#N/A,#N/A,FALSE,"rtmcycle";#N/A,#N/A,FALSE,"rtrgvs"}</definedName>
    <definedName name="wrn.Reconciliation." hidden="1">{"four",#N/A,FALSE,"PANDLAC"}</definedName>
    <definedName name="wrn.Ride._.Estimate." hidden="1">{#N/A,#N/A,TRUE,"Cover Memo";"Ride Estimate",#N/A,TRUE,"Change Summary";"Ride Estimate",#N/A,TRUE,"Estimate Summary";"Ride Estimate",#N/A,TRUE,"Dept. Summary";"Ride Estimate",#N/A,TRUE,"DOW Detail"}</definedName>
    <definedName name="wrn.Sales." hidden="1">{#N/A,#N/A,FALSE,"A_RDueDays";#N/A,#N/A,FALSE,"BlackList";#N/A,#N/A,FALSE,"P&amp;L";#N/A,#N/A,FALSE,"SalesCollctn";#N/A,#N/A,FALSE,"Collection";#N/A,#N/A,FALSE,"B10-Value";#N/A,#N/A,FALSE,"B10-Unit";#N/A,#N/A,FALSE,"GrsMgnProd";#N/A,#N/A,FALSE,"CommExp";#N/A,#N/A,FALSE,"CommExpYTD";#N/A,#N/A,FALSE,"RgnP&amp;L";#N/A,#N/A,FALSE,"GrMgnPrdRgn";#N/A,#N/A,FALSE,"SaleProRegn";#N/A,#N/A,FALSE,"SaleRgnCustmr"}</definedName>
    <definedName name="wrn.SGA." hidden="1">{"Three",#N/A,FALSE,"PANDLAC"}</definedName>
    <definedName name="wrn.Short._.Form._.Print._.Out." hidden="1">{#N/A,#N/A,FALSE,"General Assumptions";#N/A,#N/A,FALSE,"Accounts";#N/A,#N/A,FALSE,"OperatingAssumptions";#N/A,#N/A,FALSE,"Cashflow";#N/A,#N/A,FALSE,"Debt";#N/A,#N/A,FALSE,"Ops Summary";#N/A,#N/A,FALSE,"Summary"}</definedName>
    <definedName name="wrn.Show._.Estimate." hidden="1">{#N/A,#N/A,TRUE,"Cover Memo";"Show Estimate",#N/A,TRUE,"Change Summary";"Show Estimate",#N/A,TRUE,"Estimate Summary";"Show Estimate",#N/A,TRUE,"Dept. Summary";"Show Estimate",#N/A,TRUE,"DOW Detail"}</definedName>
    <definedName name="wrn.Specification." hidden="1">{#N/A,#N/A,FALSE,"Specification"}</definedName>
    <definedName name="wrn.Summary." hidden="1">{"Summary",#N/A,FALSE,"Summary"}</definedName>
    <definedName name="wrn.Temp." hidden="1">{#N/A,#N/A,FALSE,"BS";#N/A,#N/A,FALSE,"P&amp;L";#N/A,#N/A,FALSE,"B10-Value";#N/A,#N/A,FALSE,"B10-Unit";#N/A,#N/A,FALSE,"ExpDetailed";#N/A,#N/A,FALSE,"ExpDetailedYTD";#N/A,#N/A,FALSE,"SaleProRegn";#N/A,#N/A,FALSE,"GrsMgnProd";#N/A,#N/A,FALSE,"GrMgnPrdRgn";#N/A,#N/A,FALSE,"CashFlow";#N/A,#N/A,FALSE,"A_RDueDays";#N/A,#N/A,FALSE,"SalesCollctn";#N/A,#N/A,FALSE,"BlackList";#N/A,#N/A,FALSE,"A_R"}</definedName>
    <definedName name="wrn.toptrial." hidden="1">{"toptrial",#N/A,TRUE,"toptrial";"adjustment",#N/A,TRUE,"toptrial";"voucher",#N/A,TRUE,"toptrial"}</definedName>
    <definedName name="wrn.Traffic." hidden="1">{"One",#N/A,FALSE,"TRAFFIC"}</definedName>
    <definedName name="wrn.voucher9703." hidden="1">{#N/A,#N/A,FALSE,"970301";#N/A,#N/A,FALSE,"970302";#N/A,#N/A,FALSE,"970303";#N/A,#N/A,FALSE,"970304";#N/A,#N/A,FALSE,"COM1";#N/A,#N/A,FALSE,"COM2"}</definedName>
    <definedName name="wrn.zhinesePartner." hidden="1">{#N/A,#N/A,FALSE,"BS";#N/A,#N/A,FALSE,"P&amp;L"}</definedName>
    <definedName name="wrn.打印整个资料."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负债及权益." hidden="1">{"负债及权益",#N/A,FALSE,"TB-BS"}</definedName>
    <definedName name="wrn.现金." hidden="1">{"现金主表",#N/A,FALSE,"正式Cashflow"}</definedName>
    <definedName name="wrn.现金主表." hidden="1">{"现金主表",#N/A,FALSE,"正式Cashflow"}</definedName>
    <definedName name="wrn.资产." hidden="1">{"资产",#N/A,FALSE,"TB-BS"}</definedName>
    <definedName name="wwww" hidden="1">{"Fiesta Facer Page",#N/A,FALSE,"Q_C_S";"Fiesta Main Page",#N/A,FALSE,"V_L";"Fiesta 95BP Struct",#N/A,FALSE,"StructBP";"Fiesta Post 95BP Struct",#N/A,FALSE,"AdjStructBP"}</definedName>
    <definedName name="XREF_COLUMN_1" hidden="1">#REF!</definedName>
    <definedName name="XREF_COLUMN_2" hidden="1">#REF!</definedName>
    <definedName name="XREF_COLUMN_3" hidden="1">#REF!</definedName>
    <definedName name="XREF_COLUMN_4" hidden="1">#REF!</definedName>
    <definedName name="XRefActiveRow" hidden="1">#REF!</definedName>
    <definedName name="XRefColumnsCount" hidden="1">3</definedName>
    <definedName name="XRefCopy1" hidden="1">#REF!</definedName>
    <definedName name="XRefCopy10" hidden="1">#REF!</definedName>
    <definedName name="XRefCopy11" hidden="1">#REF!</definedName>
    <definedName name="XRefCopy12" hidden="1">#REF!</definedName>
    <definedName name="XRefCopy13" hidden="1">#REF!</definedName>
    <definedName name="XRefCopy14" hidden="1">#REF!</definedName>
    <definedName name="XRefCopy15"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RangeCount" hidden="1">8</definedName>
    <definedName name="XRefPaste1" hidden="1">#REF!</definedName>
    <definedName name="XRefPaste10" hidden="1">#REF!</definedName>
    <definedName name="XRefPaste11" hidden="1">#REF!</definedName>
    <definedName name="XRefPaste1Row" hidden="1">#REF!</definedName>
    <definedName name="XRefPaste2" hidden="1">#N/A</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 hidden="1">#REF!</definedName>
    <definedName name="XRefPaste7" hidden="1">#REF!</definedName>
    <definedName name="XRefPaste8" hidden="1">#REF!</definedName>
    <definedName name="XRefPaste9" hidden="1">#REF!</definedName>
    <definedName name="XRefPasteRangeCount" hidden="1">4</definedName>
    <definedName name="XWRF" hidden="1">{"Fiesta Facer Page",#N/A,FALSE,"Q_C_S";"Fiesta Main Page",#N/A,FALSE,"V_L";"Fiesta 95BP Struct",#N/A,FALSE,"StructBP";"Fiesta Post 95BP Struct",#N/A,FALSE,"AdjStructBP"}</definedName>
    <definedName name="Z_B86C0483_ADF3_11D1_B0F3_00C0DFE06E83_.wvu.Cols" hidden="1">'[9]TRAFFIC-bud'!#REF!,'[9]TRAFFIC-bud'!#REF!,'[9]TRAFFIC-bud'!#REF!,'[9]TRAFFIC-bud'!$AA$1:$AD$65536,'[9]TRAFFIC-bud'!#REF!</definedName>
    <definedName name="Z_CB0E8320_907C_11D8_8F9A_003018607B51_.wvu.Cols" hidden="1">#REF!</definedName>
    <definedName name="Z_E738B51C_56AE_4F9F_8D8A_36AD6137B90D_.wvu.Cols" hidden="1">#REF!</definedName>
    <definedName name="Z_E738B51C_56AE_4F9F_8D8A_36AD6137B90D_.wvu.PrintArea" hidden="1">#REF!</definedName>
    <definedName name="Z_E738B51C_56AE_4F9F_8D8A_36AD6137B90D_.wvu.PrintTitles" hidden="1">#REF!,#REF!</definedName>
    <definedName name="Z_E738B51C_56AE_4F9F_8D8A_36AD6137B90D_.wvu.Rows" hidden="1">#REF!</definedName>
    <definedName name="ZASC" hidden="1">{#N/A,#N/A,FALSE,"²Ä1­Ó¤ë"}</definedName>
    <definedName name="八级">区片价!$P$1:$P$44</definedName>
    <definedName name="办公">定义!$Y$2</definedName>
    <definedName name="办公层高" localSheetId="23">'[10]比较法-办公'!$B$119:$M$119</definedName>
    <definedName name="办公层高">'比较法-办公'!$B$119:$M$119</definedName>
    <definedName name="办公朝向" localSheetId="23">'[10]比较法-办公'!$B$91:$M$91</definedName>
    <definedName name="办公朝向">'比较法-办公'!$B$91:$M$91</definedName>
    <definedName name="办公道路级别" localSheetId="23">'[10]比较法-办公'!$B$87:$M$87</definedName>
    <definedName name="办公道路级别">'比较法-办公'!$B$87:$M$87</definedName>
    <definedName name="办公公共部分装修" localSheetId="23">'[10]比较法-办公'!$B$108:$M$108</definedName>
    <definedName name="办公公共部分装修">'比较法-办公'!$B$108:$M$108</definedName>
    <definedName name="办公基础设施水平" localSheetId="23">'[10]比较法-办公'!$B$117:$M$117</definedName>
    <definedName name="办公基础设施水平">'比较法-办公'!$B$117:$M$117</definedName>
    <definedName name="办公集聚程度" localSheetId="23">[10]定义!$M$1:$M$6</definedName>
    <definedName name="办公集聚程度">定义!$M$1:$M$6</definedName>
    <definedName name="办公建筑结构" localSheetId="23">'[10]比较法-办公'!$B$106:$M$106</definedName>
    <definedName name="办公建筑结构">'比较法-办公'!$B$106:$M$106</definedName>
    <definedName name="办公建筑类型" localSheetId="23">'[10]比较法-办公'!$B$101:$M$101</definedName>
    <definedName name="办公建筑类型">'比较法-办公'!$B$101:$M$101</definedName>
    <definedName name="办公交易情况" localSheetId="23">'[10]比较法-办公'!$A$62:$M$62</definedName>
    <definedName name="办公交易情况">'比较法-办公'!$A$62:$M$62</definedName>
    <definedName name="办公楼层" localSheetId="23">'[10]比较法-办公'!$B$89:$M$89</definedName>
    <definedName name="办公楼层">'比较法-办公'!$B$89:$M$89</definedName>
    <definedName name="办公内部装修" localSheetId="23">'[10]比较法-办公'!$B$123:$M$123</definedName>
    <definedName name="办公内部装修">'比较法-办公'!$B$123:$M$123</definedName>
    <definedName name="办公物业管理" localSheetId="23">'[10]比较法-办公'!$B$115:$M$115</definedName>
    <definedName name="办公物业管理">'比较法-办公'!$B$115:$M$115</definedName>
    <definedName name="办公用途" localSheetId="23">'[10]比较法-办公'!$B$64:$M$64</definedName>
    <definedName name="办公用途">'比较法-办公'!$B$64:$M$64</definedName>
    <definedName name="备用" hidden="1">{#N/A,#N/A,FALSE,"OffAdvance";#N/A,#N/A,FALSE,"OffExpRprt";#N/A,#N/A,FALSE,"Entertmnt";#N/A,#N/A,FALSE,"Promotion";#N/A,#N/A,FALSE,"Travelling"}</definedName>
    <definedName name="仓储公共部分装修" localSheetId="23">'[10]比较法-仓储'!$B$77:$M$77</definedName>
    <definedName name="仓储公共部分装修">'比较法-仓储'!$B$77:$M$77</definedName>
    <definedName name="仓储交易情况" localSheetId="23">'[10]比较法-仓储'!$A$49:$M$49</definedName>
    <definedName name="仓储交易情况">'比较法-仓储'!$A$49:$M$49</definedName>
    <definedName name="仓储楼层" localSheetId="23">'[10]比较法-仓储'!$B$69:$M$69</definedName>
    <definedName name="仓储楼层">'比较法-仓储'!$B$69:$M$69</definedName>
    <definedName name="仓储物业等级" localSheetId="23">'[10]比较法-仓储'!$B$82:$M$82</definedName>
    <definedName name="仓储物业等级">'比较法-仓储'!$B$82:$M$82</definedName>
    <definedName name="仓储用途" localSheetId="23">'[10]比较法-仓储'!$B$51:$M$51</definedName>
    <definedName name="仓储用途">'比较法-仓储'!$B$51:$M$51</definedName>
    <definedName name="产业集聚程度" localSheetId="23">[10]定义!$N$1:$N$6</definedName>
    <definedName name="产业集聚程度">定义!$N$1:$N$6</definedName>
    <definedName name="车位公共部分装修" localSheetId="23">'[10]比较法-车位'!$B$83:$M$83</definedName>
    <definedName name="车位公共部分装修">'比较法-车位'!$B$83:$M$83</definedName>
    <definedName name="车位交易情况" localSheetId="23">'[10]比较法-车位'!$A$51:$M$51</definedName>
    <definedName name="车位交易情况">'比较法-车位'!$A$51:$M$51</definedName>
    <definedName name="车位类型" localSheetId="23">'[10]比较法-车位'!$B$93:$M$93</definedName>
    <definedName name="车位类型">'比较法-车位'!$B$93:$M$93</definedName>
    <definedName name="车位楼层" localSheetId="23">'[10]比较法-车位'!$B$71:$M$71</definedName>
    <definedName name="车位楼层">'比较法-车位'!$B$71:$M$71</definedName>
    <definedName name="车位配套类型" localSheetId="23">'[10]比较法-车位'!$B$79:$M$79</definedName>
    <definedName name="车位配套类型">'比较法-车位'!$B$79:$M$79</definedName>
    <definedName name="车位物业等级" localSheetId="23">'[10]比较法-车位'!$B$88:$M$88</definedName>
    <definedName name="车位物业等级">'比较法-车位'!$B$88:$M$88</definedName>
    <definedName name="车位用途" localSheetId="23">'[10]比较法-车位'!$B$53:$M$53</definedName>
    <definedName name="车位用途">'比较法-车位'!$B$53:$M$53</definedName>
    <definedName name="城镇土地纳税等级分级范围" localSheetId="23">'[10]数据-取费表'!$A$54:$A$64</definedName>
    <definedName name="城镇土地纳税等级分级范围">'数据-取费表'!$A$54:$A$64</definedName>
    <definedName name="单价内涵" localSheetId="23">[10]定义!$V$1:$V$3</definedName>
    <definedName name="单价内涵">定义!$V$1:$V$3</definedName>
    <definedName name="地类判定" localSheetId="23">[10]定义!$H$1:$H$9</definedName>
    <definedName name="地类判定">定义!$H$1:$H$9</definedName>
    <definedName name="二级">区片价!$J$1:$J$21</definedName>
    <definedName name="二级分类">修正!$C$19:$C$53</definedName>
    <definedName name="法定最高年限" localSheetId="23">[10]定义!$G$1:$G$6</definedName>
    <definedName name="法定最高年限">定义!$G$1:$G$6</definedName>
    <definedName name="工业">定义!$AB$2:$AB$12</definedName>
    <definedName name="工业公共部分装修" localSheetId="23">'[10]比较法-工业'!$B$95:$M$95</definedName>
    <definedName name="工业公共部分装修">'比较法-工业'!$B$95:$M$95</definedName>
    <definedName name="工业基础设施水平" localSheetId="23">'[10]比较法-工业'!$B$102:$M$102</definedName>
    <definedName name="工业基础设施水平">'比较法-工业'!$B$102:$M$102</definedName>
    <definedName name="工业建筑结构" localSheetId="23">'[10]比较法-工业'!$B$93:$M$93</definedName>
    <definedName name="工业建筑结构">'比较法-工业'!$B$93:$M$93</definedName>
    <definedName name="工业建筑类型" localSheetId="23">'[10]比较法-工业'!$B$88:$M$88</definedName>
    <definedName name="工业建筑类型">'比较法-工业'!$B$88:$M$88</definedName>
    <definedName name="工业交易情况" localSheetId="23">'[10]比较法-工业'!$A$55:$M$55</definedName>
    <definedName name="工业交易情况">'比较法-工业'!$A$55:$M$55</definedName>
    <definedName name="工业内部装修" localSheetId="23">'[10]比较法-工业'!$B$104:$M$104</definedName>
    <definedName name="工业内部装修">'比较法-工业'!$B$104:$M$104</definedName>
    <definedName name="工业物业管理" localSheetId="23">'[10]比较法-工业'!$B$100:$M$100</definedName>
    <definedName name="工业物业管理">'比较法-工业'!$B$100:$M$100</definedName>
    <definedName name="工业用途" localSheetId="23">'[10]比较法-工业'!$B$57:$M$57</definedName>
    <definedName name="工业用途">'比较法-工业'!$B$57:$M$57</definedName>
    <definedName name="公共服务">定义!$Z$2:$Z$14</definedName>
    <definedName name="公共配套设施" localSheetId="23">[10]定义!$Q$1:$Q$6</definedName>
    <definedName name="公共配套设施">定义!$Q$1:$Q$6</definedName>
    <definedName name="估价范围判定" localSheetId="23">[10]定义!$D$1:$D$4</definedName>
    <definedName name="估价范围判定">定义!$D$1:$D$4</definedName>
    <definedName name="估价方法" localSheetId="23">[10]定义!$B$1:$B$50</definedName>
    <definedName name="估价方法">定义!$B$1:$B$50</definedName>
    <definedName name="环境" localSheetId="23">[10]定义!$S$1:$S$6</definedName>
    <definedName name="环境">定义!$S$1:$S$6</definedName>
    <definedName name="基础设施水平" localSheetId="23">[10]定义!$R$1:$R$6</definedName>
    <definedName name="基础设施水平">定义!$R$1:$R$6</definedName>
    <definedName name="季度">基准地价修正!$Q$19:$AD$19</definedName>
    <definedName name="价值类型2" localSheetId="23">[10]定义!$B$54:$B$56</definedName>
    <definedName name="价值类型2">定义!$B$54:$B$56</definedName>
    <definedName name="交通便捷度" localSheetId="23">[10]定义!$O$1:$O$6</definedName>
    <definedName name="交通便捷度">定义!$O$1:$O$6</definedName>
    <definedName name="借款" hidden="1">{#N/A,#N/A,FALSE,"970301";#N/A,#N/A,FALSE,"970302";#N/A,#N/A,FALSE,"970303";#N/A,#N/A,FALSE,"970304";#N/A,#N/A,FALSE,"COM1";#N/A,#N/A,FALSE,"COM2"}</definedName>
    <definedName name="九级">区片价!$Q$1:$Q$51</definedName>
    <definedName name="居住社区成熟度" localSheetId="23">[10]定义!$K$1:$K$6</definedName>
    <definedName name="居住社区成熟度">定义!$K$1:$K$6</definedName>
    <definedName name="类别" localSheetId="23">[10]定义!$J$1:$J$3</definedName>
    <definedName name="类别">定义!$J$1:$J$3</definedName>
    <definedName name="临街状况" localSheetId="23">[10]定义!$T$1:$T$5</definedName>
    <definedName name="临街状况">定义!$T$1:$T$5</definedName>
    <definedName name="六级">区片价!$N$1:$N$64</definedName>
    <definedName name="内部装修维护情况" localSheetId="23">[10]定义!$U$1:$U$6</definedName>
    <definedName name="内部装修维护情况">定义!$U$1:$U$6</definedName>
    <definedName name="七级">区片价!$O$1:$O$45</definedName>
    <definedName name="七通一平" localSheetId="23">[10]修正!$A$8:$A$16</definedName>
    <definedName name="七通一平">修正!$A$8:$A$16</definedName>
    <definedName name="区域土地利用方向" localSheetId="23">[10]定义!$P$1:$P$6</definedName>
    <definedName name="区域土地利用方向">定义!$P$1:$P$6</definedName>
    <definedName name="三级">区片价!$K$1:$K$26</definedName>
    <definedName name="商业">定义!$X$2:$X$9</definedName>
    <definedName name="商业层高" localSheetId="23">'[10]比较法-商业'!$B$116:$M$116</definedName>
    <definedName name="商业层高">'比较法-商业'!$B$116:$M$116</definedName>
    <definedName name="商业成新度">'比较法-商业'!$B$109:$M$109</definedName>
    <definedName name="商业繁华度" localSheetId="23">[10]定义!$L$1:$L$6</definedName>
    <definedName name="商业繁华度">定义!$L$1:$L$6</definedName>
    <definedName name="商业公共部分装修" localSheetId="23">'[10]比较法-商业'!$B$107:$M$107</definedName>
    <definedName name="商业公共部分装修">'比较法-商业'!$B$107:$M$107</definedName>
    <definedName name="商业基础设施水平" localSheetId="23">'[10]比较法-商业'!$B$112:$M$112</definedName>
    <definedName name="商业基础设施水平">'比较法-商业'!$B$112:$M$112</definedName>
    <definedName name="商业建筑结构" localSheetId="23">'[10]比较法-商业'!$B$105:$M$105</definedName>
    <definedName name="商业建筑结构">'比较法-商业'!$B$105:$M$105</definedName>
    <definedName name="商业交易情况" localSheetId="23">'[10]比较法-商业'!$A$61:$M$61</definedName>
    <definedName name="商业交易情况">'比较法-商业'!$A$61:$M$61</definedName>
    <definedName name="商业街名称" localSheetId="23">[10]修正!$C$73:$C$140</definedName>
    <definedName name="商业街名称">修正!$C$73:$C$140</definedName>
    <definedName name="商业进深比" localSheetId="23">'[10]比较法-商业'!$B$120:$M$120</definedName>
    <definedName name="商业进深比">'比较法-商业'!$B$120:$M$120</definedName>
    <definedName name="商业类型" localSheetId="23">'[10]比较法-商业'!$B$100:$M$100</definedName>
    <definedName name="商业类型">'比较法-商业'!$B$100:$M$100</definedName>
    <definedName name="商业临街状况" localSheetId="23">'[10]比较法-商业'!$B$86:$M$86</definedName>
    <definedName name="商业临街状况">'比较法-商业'!$B$86:$M$86</definedName>
    <definedName name="商业楼层" localSheetId="23">'[10]比较法-商业'!$B$92:$M$92</definedName>
    <definedName name="商业楼层">'比较法-商业'!$B$92:$M$92</definedName>
    <definedName name="商业内部装修" localSheetId="23">'[10]比较法-商业'!$B$122:$M$122</definedName>
    <definedName name="商业内部装修">'比较法-商业'!$B$122:$M$122</definedName>
    <definedName name="商业人流量" localSheetId="23">'[10]比较法-商业'!$B$90:$M$90</definedName>
    <definedName name="商业人流量">'比较法-商业'!$B$90:$M$90</definedName>
    <definedName name="商业业态" localSheetId="23">'[10]比较法-商业'!$B$114:$M$114</definedName>
    <definedName name="商业业态">'比较法-商业'!$B$114:$M$114</definedName>
    <definedName name="商业用途" localSheetId="23">'[10]比较法-商业'!$B$63:$M$63</definedName>
    <definedName name="商业用途">'比较法-商业'!$B$63:$M$63</definedName>
    <definedName name="十二级">区片价!$T$1:$T$8</definedName>
    <definedName name="十级">区片价!$R$1:$R$32</definedName>
    <definedName name="十一级">区片价!$S$1:$S$21</definedName>
    <definedName name="试验" hidden="1">{#N/A,#N/A,FALSE,"OffAdvance";#N/A,#N/A,FALSE,"OffExpRprt";#N/A,#N/A,FALSE,"Travelling";#N/A,#N/A,FALSE,"Entertmnt";#N/A,#N/A,FALSE,"Promotion"}</definedName>
    <definedName name="是否封闭" localSheetId="23">'[10]比较法-仓储'!$B$89:$M$89</definedName>
    <definedName name="是否封闭">'比较法-仓储'!$B$89:$M$89</definedName>
    <definedName name="是否直接入户" localSheetId="23">'[10]比较法-车位'!$B$95:$M$95</definedName>
    <definedName name="是否直接入户">'比较法-车位'!$B$95:$M$95</definedName>
    <definedName name="四级">区片价!$L$1:$L$33</definedName>
    <definedName name="套工道路等级" localSheetId="23">'[10]土地比较法-工业'!$B$99:$M$99</definedName>
    <definedName name="套工道路等级">'土地比较法-工业'!$B$99:$M$99</definedName>
    <definedName name="套工地质条件" localSheetId="23">'[10]土地比较法-工业'!$B$116:$M$116</definedName>
    <definedName name="套工地质条件">'土地比较法-工业'!$B$116:$M$116</definedName>
    <definedName name="套工交易情况" localSheetId="23">'[10]土地比较法-住宅、综合'!$A$74:$M$74</definedName>
    <definedName name="套工交易情况">'土地比较法-住宅、综合'!$A$74:$M$74</definedName>
    <definedName name="套工土地级别" localSheetId="23">'[10]土地比较法-工业'!$B$101:$M$101</definedName>
    <definedName name="套工土地级别">'土地比较法-工业'!$B$101:$M$101</definedName>
    <definedName name="套工用途" localSheetId="23">'[10]土地比较法-工业'!$B$72:$M$72</definedName>
    <definedName name="套工用途">'土地比较法-工业'!$B$72:$M$72</definedName>
    <definedName name="套工宗地开发程度" localSheetId="23">'[10]土地比较法-工业'!$B$114:$M$114</definedName>
    <definedName name="套工宗地开发程度">'土地比较法-工业'!$B$114:$M$114</definedName>
    <definedName name="套工宗地形状" localSheetId="23">'[10]土地比较法-工业'!$B$112:$M$112</definedName>
    <definedName name="套工宗地形状">'土地比较法-工业'!$B$112:$M$112</definedName>
    <definedName name="套综道路等级" localSheetId="23">'[10]土地比较法-住宅、综合'!$B$107:$M$107</definedName>
    <definedName name="套综道路等级">'土地比较法-住宅、综合'!$B$107:$M$107</definedName>
    <definedName name="套综工程地质条件" localSheetId="23">'[10]土地比较法-住宅、综合'!$B$126:$M$126</definedName>
    <definedName name="套综工程地质条件">'土地比较法-住宅、综合'!$B$126:$M$126</definedName>
    <definedName name="套综交易情况" localSheetId="23">'[10]土地比较法-住宅、综合'!$A$74:$M$74</definedName>
    <definedName name="套综交易情况">'土地比较法-住宅、综合'!$A$74:$M$74</definedName>
    <definedName name="套综临街宽度及深度" localSheetId="23">'[10]土地比较法-住宅、综合'!$B$122:$M$122</definedName>
    <definedName name="套综临街宽度及深度">'土地比较法-住宅、综合'!$B$122:$M$122</definedName>
    <definedName name="套综土地级别" localSheetId="23">'[10]土地比较法-住宅、综合'!$B$109:$M$109</definedName>
    <definedName name="套综土地级别">'土地比较法-住宅、综合'!$B$109:$M$109</definedName>
    <definedName name="套综用途" localSheetId="23">'[10]土地比较法-住宅、综合'!$B$76:$M$76</definedName>
    <definedName name="套综用途">'土地比较法-住宅、综合'!$B$76:$M$76</definedName>
    <definedName name="套综宗地内开发程度" localSheetId="23">'[10]土地比较法-住宅、综合'!$B$124:$M$124</definedName>
    <definedName name="套综宗地内开发程度">'土地比较法-住宅、综合'!$B$124:$M$124</definedName>
    <definedName name="套综宗地形状" localSheetId="23">'[10]土地比较法-住宅、综合'!$B$120:$M$120</definedName>
    <definedName name="套综宗地形状">'土地比较法-住宅、综合'!$B$120:$M$120</definedName>
    <definedName name="土地估价师">估价师及机构信息!$D$3:$D$24</definedName>
    <definedName name="土地级别" localSheetId="23">[10]定义!$C$1:$C$14</definedName>
    <definedName name="土地级别">定义!$C$1:$C$14</definedName>
    <definedName name="土地利用方向">定义!$P$1:$P$6</definedName>
    <definedName name="土地年限区间">定义!$I$1:$I$16</definedName>
    <definedName name="位置" localSheetId="23">[10]定义!$E$2:$E$4</definedName>
    <definedName name="位置">定义!$E$2:$E$4</definedName>
    <definedName name="五等判定" localSheetId="23">[10]定义!$W$1:$W$6</definedName>
    <definedName name="五等判定">定义!$W$1:$W$6</definedName>
    <definedName name="五级">区片价!$M$1:$M$41</definedName>
    <definedName name="项目类型" localSheetId="31">'[11]数据-汇总表'!$C$17:$C$26</definedName>
    <definedName name="项目类型" localSheetId="23">'[10]数据-汇总表'!$C$17:$C$26</definedName>
    <definedName name="项目类型">'数据-汇总表'!$C$17:$C$26</definedName>
    <definedName name="写字楼等级" localSheetId="23">'[10]比较法-办公'!$B$113:$M$113</definedName>
    <definedName name="写字楼等级">'比较法-办公'!$B$113:$M$113</definedName>
    <definedName name="一级">区片价!$I$1:$I$6</definedName>
    <definedName name="一修多修正项2" localSheetId="23">[10]典型户型修正!$5:$5</definedName>
    <definedName name="一修多修正项2">典型户型修正!$5:$5</definedName>
    <definedName name="一修多修正项3" localSheetId="23">[10]典型户型修正!$7:$7</definedName>
    <definedName name="一修多修正项3">典型户型修正!$7:$7</definedName>
    <definedName name="一修多修正项4" localSheetId="23">[10]典型户型修正!$9:$9</definedName>
    <definedName name="一修多修正项4">典型户型修正!$9:$9</definedName>
    <definedName name="一修多修正项5" localSheetId="23">[10]典型户型修正!$11:$11</definedName>
    <definedName name="一修多修正项5">典型户型修正!$11:$11</definedName>
    <definedName name="一修多修正项6" localSheetId="23">[10]典型户型修正!$13:$13</definedName>
    <definedName name="一修多修正项6">典型户型修正!$13:$13</definedName>
    <definedName name="一修多修正项7" localSheetId="23">[10]典型户型修正!$15:$15</definedName>
    <definedName name="一修多修正项7">典型户型修正!$15:$15</definedName>
    <definedName name="一修多修正项8" localSheetId="23">[10]典型户型修正!$17:$17</definedName>
    <definedName name="一修多修正项8">典型户型修正!$17:$17</definedName>
    <definedName name="疑问二" hidden="1">{#N/A,#N/A,FALSE,"Area Summaries"}</definedName>
    <definedName name="应手款" hidden="1">{#N/A,#N/A,FALSE,"970301";#N/A,#N/A,FALSE,"970302";#N/A,#N/A,FALSE,"970303";#N/A,#N/A,FALSE,"970304";#N/A,#N/A,FALSE,"COM1";#N/A,#N/A,FALSE,"COM2"}</definedName>
    <definedName name="应手款1月" hidden="1">{#N/A,#N/A,FALSE,"Marketing";#N/A,#N/A,FALSE,"Selling";#N/A,#N/A,FALSE,"Promotional";#N/A,#N/A,FALSE,"Advertising"}</definedName>
    <definedName name="用途明细" localSheetId="23">[10]定义!$A$1:$A$50</definedName>
    <definedName name="用途明细">定义!$A$1:$A$50</definedName>
    <definedName name="有无电梯" localSheetId="23">'[10]比较法-仓储'!$B$84:$M$84</definedName>
    <definedName name="有无电梯">'比较法-仓储'!$B$84:$M$84</definedName>
    <definedName name="漳州减租每月明细" hidden="1">#REF!</definedName>
    <definedName name="主用途" localSheetId="23">[10]定义!$F$1:$F$12</definedName>
    <definedName name="主用途">定义!$F$1:$F$12</definedName>
    <definedName name="住宅">定义!$AA$2</definedName>
    <definedName name="住宅朝向" localSheetId="23">'[10]比较法-住宅'!$B$88:$M$88</definedName>
    <definedName name="住宅朝向">'比较法-住宅'!$B$88:$M$88</definedName>
    <definedName name="住宅房型" localSheetId="23">'[10]比较法-住宅'!$B$118:$M$118</definedName>
    <definedName name="住宅房型">'比较法-住宅'!$B$118:$M$118</definedName>
    <definedName name="住宅公共部分装修" localSheetId="23">'[10]比较法-住宅'!$B$109:$M$109</definedName>
    <definedName name="住宅公共部分装修">'比较法-住宅'!$B$109:$M$109</definedName>
    <definedName name="住宅基础设施水平" localSheetId="23">'[10]比较法-住宅'!$B$116:$M$116</definedName>
    <definedName name="住宅基础设施水平">'比较法-住宅'!$B$116:$M$116</definedName>
    <definedName name="住宅建筑结构" localSheetId="23">'[10]比较法-住宅'!$B$105:$M$105</definedName>
    <definedName name="住宅建筑结构">'比较法-住宅'!$B$105:$M$105</definedName>
    <definedName name="住宅建筑类型" localSheetId="23">'[10]比较法-住宅'!$B$100:$M$100</definedName>
    <definedName name="住宅建筑类型">'比较法-住宅'!$B$100:$M$100</definedName>
    <definedName name="住宅建筑品质" localSheetId="23">'[10]比较法-住宅'!$B$107:$M$107</definedName>
    <definedName name="住宅建筑品质">'比较法-住宅'!$B$107:$M$107</definedName>
    <definedName name="住宅交易情况" localSheetId="23">'[10]比较法-住宅'!$A$61:$M$61</definedName>
    <definedName name="住宅交易情况">'比较法-住宅'!$A$61:$M$61</definedName>
    <definedName name="住宅楼层" localSheetId="23">'[10]比较法-住宅'!$B$86:$M$86</definedName>
    <definedName name="住宅楼层">'比较法-住宅'!$B$86:$M$86</definedName>
    <definedName name="住宅内部装修" localSheetId="23">'[10]比较法-住宅'!$B$122:$M$122</definedName>
    <definedName name="住宅内部装修">'比较法-住宅'!$B$122:$M$122</definedName>
    <definedName name="住宅物业管理" localSheetId="23">'[10]比较法-住宅'!$B$114:$M$114</definedName>
    <definedName name="住宅物业管理">'比较法-住宅'!$B$114:$M$114</definedName>
    <definedName name="住宅用途" localSheetId="23">'[10]比较法-住宅'!$B$63:$M$63</definedName>
    <definedName name="住宅用途">'比较法-住宅'!$B$63:$M$63</definedName>
    <definedName name="住宅主力户型面积">'比较法-住宅'!$B$120:$M$120</definedName>
    <definedName name="注册房地产估价师" localSheetId="23">[10]估价师及机构信息!$A$3:$A$16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C14" i="74" l="1"/>
  <c r="B14" i="74"/>
  <c r="K10" i="88"/>
  <c r="K9" i="88"/>
  <c r="K8" i="88"/>
  <c r="K7" i="88"/>
  <c r="K6" i="88"/>
  <c r="K4" i="88"/>
  <c r="O11" i="88"/>
  <c r="S16" i="88"/>
  <c r="R41" i="87"/>
  <c r="Q48" i="86" s="1"/>
  <c r="Q50" i="86" s="1"/>
  <c r="Q51" i="86" s="1"/>
  <c r="Q52" i="86" s="1"/>
  <c r="R42" i="87"/>
  <c r="Q49" i="86"/>
  <c r="Q47" i="86"/>
  <c r="C34" i="34"/>
  <c r="E60" i="34"/>
  <c r="F60" i="34" s="1"/>
  <c r="G60" i="34" s="1"/>
  <c r="H60" i="34" s="1"/>
  <c r="I60" i="34" s="1"/>
  <c r="J60" i="34" s="1"/>
  <c r="K60" i="34" s="1"/>
  <c r="L60" i="34" s="1"/>
  <c r="M60" i="34" s="1"/>
  <c r="N60" i="34" s="1"/>
  <c r="O60" i="34" s="1"/>
  <c r="P60" i="34" s="1"/>
  <c r="Q60" i="34" s="1"/>
  <c r="R60" i="34" s="1"/>
  <c r="S60" i="34" s="1"/>
  <c r="T60" i="34" s="1"/>
  <c r="U60" i="34" s="1"/>
  <c r="V60" i="34" s="1"/>
  <c r="W60" i="34" s="1"/>
  <c r="X60" i="34" s="1"/>
  <c r="Y60" i="34" s="1"/>
  <c r="Z60" i="34" s="1"/>
  <c r="AA60" i="34" s="1"/>
  <c r="AB60" i="34" s="1"/>
  <c r="AC60" i="34" s="1"/>
  <c r="AD60" i="34" s="1"/>
  <c r="AE60" i="34" s="1"/>
  <c r="AF60" i="34" s="1"/>
  <c r="AG60" i="34" s="1"/>
  <c r="AH60" i="34" s="1"/>
  <c r="AI60" i="34" s="1"/>
  <c r="AJ60" i="34" s="1"/>
  <c r="D60" i="34"/>
  <c r="E128" i="34"/>
  <c r="F128" i="34" s="1"/>
  <c r="G128" i="34" s="1"/>
  <c r="D128" i="34"/>
  <c r="I37" i="34"/>
  <c r="G37" i="34"/>
  <c r="E37" i="34"/>
  <c r="C37" i="34"/>
  <c r="I34" i="34"/>
  <c r="G34" i="34"/>
  <c r="E34" i="34"/>
  <c r="I48" i="34"/>
  <c r="G48" i="34"/>
  <c r="I15" i="93"/>
  <c r="J14" i="93"/>
  <c r="K14" i="93" s="1"/>
  <c r="I14" i="93"/>
  <c r="I16" i="93" s="1"/>
  <c r="I17" i="93" s="1"/>
  <c r="M95" i="92"/>
  <c r="N94" i="92"/>
  <c r="O94" i="92" s="1"/>
  <c r="M94" i="92"/>
  <c r="M96" i="92" s="1"/>
  <c r="M97" i="92" s="1"/>
  <c r="E48" i="34" l="1"/>
  <c r="P59" i="34"/>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J20" i="91"/>
  <c r="K20" i="91" s="1"/>
  <c r="I20" i="91"/>
  <c r="Q83" i="90" l="1"/>
  <c r="D83" i="90"/>
  <c r="F72" i="90"/>
  <c r="F69" i="90"/>
  <c r="Q68" i="90"/>
  <c r="K68" i="90"/>
  <c r="P85" i="90" s="1"/>
  <c r="F68" i="90"/>
  <c r="Q67" i="90"/>
  <c r="Q60" i="90"/>
  <c r="J60" i="90"/>
  <c r="J59" i="90"/>
  <c r="M56" i="90"/>
  <c r="F66" i="90" s="1"/>
  <c r="D55" i="90"/>
  <c r="C50" i="90"/>
  <c r="D46" i="90"/>
  <c r="F45" i="90"/>
  <c r="D45" i="90" s="1"/>
  <c r="D44" i="90"/>
  <c r="F43" i="90"/>
  <c r="C43" i="90"/>
  <c r="F42" i="90"/>
  <c r="F41" i="90"/>
  <c r="F40" i="90"/>
  <c r="F39" i="90"/>
  <c r="F37" i="90"/>
  <c r="K32" i="90"/>
  <c r="F31" i="90"/>
  <c r="E31" i="90"/>
  <c r="M20" i="90"/>
  <c r="F20" i="90"/>
  <c r="M19" i="90"/>
  <c r="F19" i="90"/>
  <c r="F71" i="90" s="1"/>
  <c r="M18" i="90"/>
  <c r="F18" i="90"/>
  <c r="F70" i="90" s="1"/>
  <c r="G1" i="90"/>
  <c r="U9" i="1"/>
  <c r="Q83" i="89"/>
  <c r="D83" i="89"/>
  <c r="F72" i="89"/>
  <c r="F69" i="89"/>
  <c r="Q68" i="89"/>
  <c r="K68" i="89"/>
  <c r="P85" i="89" s="1"/>
  <c r="F68" i="89"/>
  <c r="Q67" i="89"/>
  <c r="Q60" i="89"/>
  <c r="J60" i="89"/>
  <c r="J59" i="89"/>
  <c r="M56" i="89"/>
  <c r="F66" i="89" s="1"/>
  <c r="D55" i="89"/>
  <c r="C50" i="89"/>
  <c r="D46" i="89"/>
  <c r="F45" i="89"/>
  <c r="D45" i="89" s="1"/>
  <c r="D44" i="89"/>
  <c r="F43" i="89"/>
  <c r="C43" i="89"/>
  <c r="F42" i="89"/>
  <c r="F41" i="89"/>
  <c r="F40" i="89"/>
  <c r="F39" i="89"/>
  <c r="F37" i="89"/>
  <c r="K32" i="89"/>
  <c r="F31" i="89"/>
  <c r="E31" i="89"/>
  <c r="M20" i="89"/>
  <c r="F20" i="89"/>
  <c r="M19" i="89"/>
  <c r="F19" i="89"/>
  <c r="F71" i="89" s="1"/>
  <c r="M18" i="89"/>
  <c r="F18" i="89"/>
  <c r="F70" i="89" s="1"/>
  <c r="G1" i="89"/>
  <c r="Y7" i="1"/>
  <c r="Y8" i="1"/>
  <c r="Y9" i="1"/>
  <c r="Y6" i="1"/>
  <c r="N20" i="1"/>
  <c r="L21" i="1"/>
  <c r="S15" i="88"/>
  <c r="G15" i="88"/>
  <c r="U15" i="88"/>
  <c r="U5" i="88"/>
  <c r="U6" i="88"/>
  <c r="U7" i="88"/>
  <c r="U8" i="88"/>
  <c r="U9" i="88"/>
  <c r="U10" i="88"/>
  <c r="U11" i="88"/>
  <c r="U12" i="88"/>
  <c r="U13" i="88"/>
  <c r="U14" i="88"/>
  <c r="U4" i="88"/>
  <c r="S14" i="88"/>
  <c r="K14" i="88"/>
  <c r="S13" i="88"/>
  <c r="K13" i="88"/>
  <c r="S9" i="88"/>
  <c r="S6" i="88"/>
  <c r="T4" i="88"/>
  <c r="L14" i="88"/>
  <c r="G43" i="87"/>
  <c r="R43" i="87"/>
  <c r="L43" i="87" s="1"/>
  <c r="L44" i="87" s="1"/>
  <c r="G42" i="87"/>
  <c r="R4" i="87"/>
  <c r="R5" i="87"/>
  <c r="R6" i="87"/>
  <c r="R7" i="87"/>
  <c r="L41" i="87" s="1"/>
  <c r="R8" i="87"/>
  <c r="R9" i="87"/>
  <c r="R10" i="87"/>
  <c r="R11" i="87"/>
  <c r="R12" i="87"/>
  <c r="R13" i="87"/>
  <c r="R14" i="87"/>
  <c r="R15" i="87"/>
  <c r="R16" i="87"/>
  <c r="R17" i="87"/>
  <c r="R18" i="87"/>
  <c r="R19" i="87"/>
  <c r="R20" i="87"/>
  <c r="R21" i="87"/>
  <c r="R22" i="87"/>
  <c r="R23" i="87"/>
  <c r="R24" i="87"/>
  <c r="R25" i="87"/>
  <c r="R26" i="87"/>
  <c r="R27" i="87"/>
  <c r="R28" i="87"/>
  <c r="R29" i="87"/>
  <c r="R30" i="87"/>
  <c r="R31" i="87"/>
  <c r="R32" i="87"/>
  <c r="R33" i="87"/>
  <c r="R34" i="87"/>
  <c r="R35" i="87"/>
  <c r="R36" i="87"/>
  <c r="R37" i="87"/>
  <c r="R38" i="87"/>
  <c r="R39" i="87"/>
  <c r="R40" i="87"/>
  <c r="E17" i="88"/>
  <c r="T14" i="88"/>
  <c r="J14" i="88"/>
  <c r="O13" i="88"/>
  <c r="T13" i="88"/>
  <c r="J13" i="88"/>
  <c r="R12" i="88"/>
  <c r="O12" i="88"/>
  <c r="K12" i="88"/>
  <c r="T12" i="88" s="1"/>
  <c r="J12" i="88"/>
  <c r="R11" i="88"/>
  <c r="K11" i="88"/>
  <c r="T11" i="88" s="1"/>
  <c r="J11" i="88"/>
  <c r="T10" i="88"/>
  <c r="R10" i="88"/>
  <c r="O10" i="88"/>
  <c r="J10" i="88"/>
  <c r="T9" i="88"/>
  <c r="O9" i="88"/>
  <c r="J9" i="88"/>
  <c r="P8" i="88"/>
  <c r="S8" i="88" s="1"/>
  <c r="T8" i="88"/>
  <c r="J8" i="88"/>
  <c r="P7" i="88"/>
  <c r="T7" i="88"/>
  <c r="J7" i="88"/>
  <c r="T6" i="88"/>
  <c r="J6" i="88"/>
  <c r="T5" i="88"/>
  <c r="G5" i="88"/>
  <c r="E16" i="88" s="1"/>
  <c r="R4" i="88"/>
  <c r="O4" i="88"/>
  <c r="T18" i="88"/>
  <c r="T19" i="88" s="1"/>
  <c r="J4" i="88"/>
  <c r="E44" i="87"/>
  <c r="E43" i="87"/>
  <c r="E42" i="87"/>
  <c r="G41" i="87"/>
  <c r="Q40" i="87"/>
  <c r="P40" i="87"/>
  <c r="N40" i="87"/>
  <c r="K40" i="87"/>
  <c r="J40" i="87"/>
  <c r="P39" i="87"/>
  <c r="N39" i="87"/>
  <c r="K39" i="87"/>
  <c r="J39" i="87"/>
  <c r="Q38" i="87"/>
  <c r="P38" i="87"/>
  <c r="N38" i="87"/>
  <c r="K38" i="87"/>
  <c r="J38" i="87"/>
  <c r="P37" i="87"/>
  <c r="K37" i="87"/>
  <c r="J37" i="87"/>
  <c r="Q35" i="87"/>
  <c r="K35" i="87"/>
  <c r="J35" i="87"/>
  <c r="Q34" i="87"/>
  <c r="K34" i="87"/>
  <c r="J34" i="87"/>
  <c r="Q33" i="87"/>
  <c r="P33" i="87"/>
  <c r="K33" i="87"/>
  <c r="J33" i="87"/>
  <c r="Q32" i="87"/>
  <c r="P32" i="87"/>
  <c r="K32" i="87"/>
  <c r="J32" i="87"/>
  <c r="P31" i="87"/>
  <c r="K31" i="87"/>
  <c r="J31" i="87"/>
  <c r="P30" i="87"/>
  <c r="K30" i="87"/>
  <c r="J30" i="87"/>
  <c r="L29" i="87"/>
  <c r="K29" i="87" s="1"/>
  <c r="J29" i="87"/>
  <c r="Q28" i="87"/>
  <c r="P28" i="87"/>
  <c r="K28" i="87"/>
  <c r="Q27" i="87"/>
  <c r="K27" i="87"/>
  <c r="J27" i="87"/>
  <c r="M25" i="87"/>
  <c r="L25" i="87"/>
  <c r="K25" i="87" s="1"/>
  <c r="J25" i="87"/>
  <c r="Q24" i="87"/>
  <c r="P24" i="87"/>
  <c r="K24" i="87"/>
  <c r="J24" i="87"/>
  <c r="Q23" i="87"/>
  <c r="K23" i="87"/>
  <c r="J23" i="87"/>
  <c r="Q22" i="87"/>
  <c r="P22" i="87"/>
  <c r="K22" i="87"/>
  <c r="J22" i="87"/>
  <c r="Q19" i="87"/>
  <c r="K19" i="87"/>
  <c r="J19" i="87"/>
  <c r="Q18" i="87"/>
  <c r="P18" i="87"/>
  <c r="K18" i="87"/>
  <c r="J18" i="87"/>
  <c r="Q17" i="87"/>
  <c r="K17" i="87"/>
  <c r="J17" i="87"/>
  <c r="Q16" i="87"/>
  <c r="K16" i="87"/>
  <c r="J16" i="87"/>
  <c r="Q15" i="87"/>
  <c r="K15" i="87"/>
  <c r="J15" i="87"/>
  <c r="Q14" i="87"/>
  <c r="K14" i="87"/>
  <c r="J14" i="87"/>
  <c r="Q13" i="87"/>
  <c r="K13" i="87"/>
  <c r="J13" i="87"/>
  <c r="Q12" i="87"/>
  <c r="K12" i="87"/>
  <c r="J12" i="87"/>
  <c r="Q11" i="87"/>
  <c r="K11" i="87"/>
  <c r="J11" i="87"/>
  <c r="L10" i="87"/>
  <c r="K10" i="87" s="1"/>
  <c r="J10" i="87"/>
  <c r="Q9" i="87"/>
  <c r="K9" i="87"/>
  <c r="J9" i="87"/>
  <c r="Q8" i="87"/>
  <c r="K8" i="87"/>
  <c r="J8" i="87"/>
  <c r="P7" i="87"/>
  <c r="K7" i="87"/>
  <c r="J7" i="87"/>
  <c r="P6" i="87"/>
  <c r="K6" i="87"/>
  <c r="J6" i="87"/>
  <c r="Q5" i="87"/>
  <c r="K5" i="87"/>
  <c r="K4" i="87"/>
  <c r="J4" i="87"/>
  <c r="E47" i="86"/>
  <c r="E38" i="86"/>
  <c r="E37" i="86"/>
  <c r="E48" i="86" s="1"/>
  <c r="E49" i="86" s="1"/>
  <c r="E36" i="86"/>
  <c r="E43" i="86" s="1"/>
  <c r="G35" i="86"/>
  <c r="Q34" i="86"/>
  <c r="P34" i="86"/>
  <c r="K34" i="86"/>
  <c r="S34" i="86" s="1"/>
  <c r="J34" i="86"/>
  <c r="Q33" i="86"/>
  <c r="P33" i="86"/>
  <c r="K33" i="86"/>
  <c r="R33" i="86" s="1"/>
  <c r="J33" i="86"/>
  <c r="Q32" i="86"/>
  <c r="K32" i="86"/>
  <c r="S32" i="86" s="1"/>
  <c r="J32" i="86"/>
  <c r="R31" i="86"/>
  <c r="Q31" i="86"/>
  <c r="K31" i="86"/>
  <c r="S31" i="86" s="1"/>
  <c r="J31" i="86"/>
  <c r="Q30" i="86"/>
  <c r="P30" i="86"/>
  <c r="K30" i="86"/>
  <c r="R30" i="86" s="1"/>
  <c r="J30" i="86"/>
  <c r="Q29" i="86"/>
  <c r="P29" i="86"/>
  <c r="K29" i="86"/>
  <c r="S29" i="86" s="1"/>
  <c r="J29" i="86"/>
  <c r="S28" i="86"/>
  <c r="R28" i="86"/>
  <c r="Q28" i="86"/>
  <c r="K28" i="86"/>
  <c r="J28" i="86"/>
  <c r="Q27" i="86"/>
  <c r="K27" i="86"/>
  <c r="S27" i="86" s="1"/>
  <c r="J27" i="86"/>
  <c r="Q26" i="86"/>
  <c r="P26" i="86"/>
  <c r="K26" i="86"/>
  <c r="S26" i="86" s="1"/>
  <c r="J26" i="86"/>
  <c r="Q25" i="86"/>
  <c r="P25" i="86"/>
  <c r="K25" i="86"/>
  <c r="R25" i="86" s="1"/>
  <c r="J25" i="86"/>
  <c r="Q24" i="86"/>
  <c r="P24" i="86"/>
  <c r="K24" i="86"/>
  <c r="S24" i="86" s="1"/>
  <c r="J24" i="86"/>
  <c r="S23" i="86"/>
  <c r="R23" i="86"/>
  <c r="Q23" i="86"/>
  <c r="K23" i="86"/>
  <c r="S22" i="86"/>
  <c r="R22" i="86"/>
  <c r="Q22" i="86"/>
  <c r="K22" i="86"/>
  <c r="Q21" i="86"/>
  <c r="P21" i="86"/>
  <c r="K21" i="86"/>
  <c r="R21" i="86" s="1"/>
  <c r="J21" i="86"/>
  <c r="Q20" i="86"/>
  <c r="P20" i="86"/>
  <c r="K20" i="86"/>
  <c r="S20" i="86" s="1"/>
  <c r="J20" i="86"/>
  <c r="S19" i="86"/>
  <c r="Q18" i="86"/>
  <c r="P18" i="86"/>
  <c r="K18" i="86"/>
  <c r="S18" i="86" s="1"/>
  <c r="J18" i="86"/>
  <c r="R17" i="86"/>
  <c r="Q17" i="86"/>
  <c r="K17" i="86"/>
  <c r="S17" i="86" s="1"/>
  <c r="J17" i="86"/>
  <c r="Q16" i="86"/>
  <c r="P16" i="86"/>
  <c r="K16" i="86"/>
  <c r="R16" i="86" s="1"/>
  <c r="J16" i="86"/>
  <c r="Q15" i="86"/>
  <c r="P15" i="86"/>
  <c r="K15" i="86"/>
  <c r="S15" i="86" s="1"/>
  <c r="J15" i="86"/>
  <c r="S14" i="86"/>
  <c r="K14" i="86"/>
  <c r="J14" i="86"/>
  <c r="S13" i="86"/>
  <c r="S12" i="86"/>
  <c r="K12" i="86"/>
  <c r="J12" i="86"/>
  <c r="K11" i="86"/>
  <c r="S11" i="86" s="1"/>
  <c r="J11" i="86"/>
  <c r="Q10" i="86"/>
  <c r="P10" i="86"/>
  <c r="L10" i="86"/>
  <c r="K10" i="86" s="1"/>
  <c r="J10" i="86"/>
  <c r="S9" i="86"/>
  <c r="R9" i="86"/>
  <c r="Q9" i="86"/>
  <c r="P9" i="86"/>
  <c r="J9" i="86"/>
  <c r="Q8" i="86"/>
  <c r="K8" i="86"/>
  <c r="S8" i="86" s="1"/>
  <c r="J8" i="86"/>
  <c r="Q7" i="86"/>
  <c r="P7" i="86"/>
  <c r="L7" i="86"/>
  <c r="K7" i="86"/>
  <c r="S7" i="86" s="1"/>
  <c r="J7" i="86"/>
  <c r="Q6" i="86"/>
  <c r="P6" i="86"/>
  <c r="K6" i="86"/>
  <c r="S6" i="86" s="1"/>
  <c r="J6" i="86"/>
  <c r="S5" i="86"/>
  <c r="R5" i="86"/>
  <c r="Q5" i="86"/>
  <c r="Q35" i="86" s="1"/>
  <c r="L35" i="86" s="1"/>
  <c r="K5" i="86"/>
  <c r="J5" i="86"/>
  <c r="Q4" i="86"/>
  <c r="K4" i="86"/>
  <c r="S4" i="86" s="1"/>
  <c r="J4" i="86"/>
  <c r="C88" i="89"/>
  <c r="C88" i="90"/>
  <c r="Q82" i="90" l="1"/>
  <c r="E14" i="90"/>
  <c r="M14" i="90"/>
  <c r="P70" i="90"/>
  <c r="F14" i="90"/>
  <c r="Q82" i="89"/>
  <c r="E14" i="89"/>
  <c r="M14" i="89"/>
  <c r="P70" i="89"/>
  <c r="F14" i="89"/>
  <c r="S10" i="86"/>
  <c r="S35" i="86" s="1"/>
  <c r="R10" i="86"/>
  <c r="Q10" i="87"/>
  <c r="Q25" i="87"/>
  <c r="Q29" i="87"/>
  <c r="E18" i="88"/>
  <c r="R7" i="86"/>
  <c r="S16" i="86"/>
  <c r="S21" i="86"/>
  <c r="S25" i="86"/>
  <c r="S30" i="86"/>
  <c r="S33" i="86"/>
  <c r="R6" i="86"/>
  <c r="R8" i="86"/>
  <c r="R15" i="86"/>
  <c r="R20" i="86"/>
  <c r="R24" i="86"/>
  <c r="R26" i="86"/>
  <c r="R29" i="86"/>
  <c r="R32" i="86"/>
  <c r="R34" i="86"/>
  <c r="E42" i="86"/>
  <c r="E44" i="86" s="1"/>
  <c r="Q4" i="87"/>
  <c r="Q6" i="87"/>
  <c r="Q30" i="87"/>
  <c r="R4" i="86"/>
  <c r="R18" i="86"/>
  <c r="R27" i="86"/>
  <c r="Q7" i="87"/>
  <c r="Q31" i="87"/>
  <c r="Q37" i="87"/>
  <c r="Q39" i="87"/>
  <c r="G33" i="6"/>
  <c r="G22" i="6"/>
  <c r="G21" i="6"/>
  <c r="G20" i="6"/>
  <c r="F20" i="6"/>
  <c r="F19" i="6"/>
  <c r="C22" i="6"/>
  <c r="C21" i="6"/>
  <c r="C20" i="6"/>
  <c r="C19" i="6"/>
  <c r="Q16" i="3"/>
  <c r="O15" i="3"/>
  <c r="M14" i="3"/>
  <c r="K14" i="3"/>
  <c r="I13" i="3"/>
  <c r="O25" i="84"/>
  <c r="O24" i="84"/>
  <c r="O23" i="84"/>
  <c r="O22" i="84"/>
  <c r="I31" i="84"/>
  <c r="O20" i="84" s="1"/>
  <c r="O21" i="84"/>
  <c r="C71" i="90"/>
  <c r="F52" i="90"/>
  <c r="F8" i="90"/>
  <c r="M6" i="90"/>
  <c r="F28" i="90"/>
  <c r="M31" i="90"/>
  <c r="M30" i="90"/>
  <c r="F26" i="89"/>
  <c r="M28" i="89"/>
  <c r="M31" i="89"/>
  <c r="M6" i="89"/>
  <c r="C36" i="89"/>
  <c r="F30" i="89"/>
  <c r="M22" i="89"/>
  <c r="C36" i="90"/>
  <c r="F38" i="90"/>
  <c r="F48" i="90"/>
  <c r="M28" i="90"/>
  <c r="M24" i="90"/>
  <c r="M9" i="90"/>
  <c r="F32" i="90"/>
  <c r="F6" i="89"/>
  <c r="M36" i="89"/>
  <c r="M30" i="89"/>
  <c r="F8" i="89"/>
  <c r="M8" i="89"/>
  <c r="L56" i="89"/>
  <c r="M29" i="89"/>
  <c r="F6" i="90"/>
  <c r="M36" i="90"/>
  <c r="F7" i="90"/>
  <c r="F22" i="90"/>
  <c r="F30" i="90"/>
  <c r="M22" i="90"/>
  <c r="L57" i="90"/>
  <c r="F24" i="89"/>
  <c r="M24" i="89"/>
  <c r="F7" i="89"/>
  <c r="L57" i="89"/>
  <c r="F28" i="89"/>
  <c r="F48" i="89"/>
  <c r="F32" i="89"/>
  <c r="F9" i="90"/>
  <c r="F24" i="90"/>
  <c r="F26" i="90"/>
  <c r="M26" i="90"/>
  <c r="M8" i="90"/>
  <c r="L56" i="90"/>
  <c r="M29" i="90"/>
  <c r="F9" i="89"/>
  <c r="F52" i="89"/>
  <c r="F38" i="89"/>
  <c r="M26" i="89"/>
  <c r="C71" i="89"/>
  <c r="F22" i="89"/>
  <c r="M9" i="89"/>
  <c r="L65" i="90" l="1"/>
  <c r="L66" i="90"/>
  <c r="I63" i="90"/>
  <c r="J62" i="90"/>
  <c r="J66" i="90"/>
  <c r="J64" i="90" s="1"/>
  <c r="J67" i="90" s="1"/>
  <c r="Q59" i="90" s="1"/>
  <c r="L69" i="90"/>
  <c r="F84" i="90"/>
  <c r="L68" i="90"/>
  <c r="M68" i="90"/>
  <c r="N68" i="90"/>
  <c r="L67" i="90"/>
  <c r="F80" i="90"/>
  <c r="F75" i="90"/>
  <c r="F59" i="90"/>
  <c r="M7" i="90"/>
  <c r="J7" i="90" s="1"/>
  <c r="C49" i="90"/>
  <c r="F60" i="90"/>
  <c r="F78" i="90"/>
  <c r="F77" i="90"/>
  <c r="C7" i="90"/>
  <c r="C40" i="90"/>
  <c r="C41" i="90"/>
  <c r="C37" i="90"/>
  <c r="E66" i="90"/>
  <c r="L14" i="90"/>
  <c r="F84" i="89"/>
  <c r="C49" i="89"/>
  <c r="L68" i="89"/>
  <c r="M68" i="89"/>
  <c r="N68" i="89"/>
  <c r="L67" i="89"/>
  <c r="F75" i="89"/>
  <c r="F80" i="89"/>
  <c r="C40" i="89"/>
  <c r="C37" i="89"/>
  <c r="C41" i="89"/>
  <c r="L65" i="89"/>
  <c r="L66" i="89"/>
  <c r="L69" i="89"/>
  <c r="I63" i="89"/>
  <c r="J62" i="89"/>
  <c r="J66" i="89"/>
  <c r="J64" i="89" s="1"/>
  <c r="J67" i="89" s="1"/>
  <c r="Q59" i="89" s="1"/>
  <c r="F60" i="89"/>
  <c r="F59" i="89"/>
  <c r="M7" i="89"/>
  <c r="J7" i="89" s="1"/>
  <c r="F77" i="89"/>
  <c r="C7" i="89"/>
  <c r="F78" i="89"/>
  <c r="E66" i="89"/>
  <c r="L14" i="89"/>
  <c r="S37" i="86"/>
  <c r="Q41" i="87"/>
  <c r="K41" i="87" s="1"/>
  <c r="R35" i="86"/>
  <c r="K35" i="86" s="1"/>
  <c r="C38" i="89"/>
  <c r="C39" i="90"/>
  <c r="C39" i="89"/>
  <c r="C38" i="90"/>
  <c r="C35" i="90" l="1"/>
  <c r="J9" i="90"/>
  <c r="J6" i="90" s="1"/>
  <c r="Q70" i="90"/>
  <c r="Q85" i="90"/>
  <c r="Q69" i="90"/>
  <c r="Q84" i="90"/>
  <c r="F1" i="90"/>
  <c r="Q61" i="90"/>
  <c r="C9" i="90"/>
  <c r="C6" i="90" s="1"/>
  <c r="C59" i="90"/>
  <c r="Q75" i="90"/>
  <c r="Q66" i="90"/>
  <c r="C59" i="89"/>
  <c r="C61" i="89" s="1"/>
  <c r="C58" i="89" s="1"/>
  <c r="C35" i="89"/>
  <c r="J9" i="89"/>
  <c r="J6" i="89" s="1"/>
  <c r="F1" i="89"/>
  <c r="Q61" i="89"/>
  <c r="Q70" i="89"/>
  <c r="Q85" i="89"/>
  <c r="Q69" i="89"/>
  <c r="Q84" i="89"/>
  <c r="C9" i="89"/>
  <c r="C6" i="89" s="1"/>
  <c r="Q75" i="89"/>
  <c r="Q66" i="89"/>
  <c r="J16" i="90" l="1"/>
  <c r="C16" i="90"/>
  <c r="C19" i="90"/>
  <c r="C61" i="90"/>
  <c r="C58" i="90" s="1"/>
  <c r="C42" i="90"/>
  <c r="C48" i="90" s="1"/>
  <c r="C47" i="90" s="1"/>
  <c r="C68" i="89"/>
  <c r="C16" i="89"/>
  <c r="C19" i="89"/>
  <c r="J16" i="89"/>
  <c r="C42" i="89"/>
  <c r="C48" i="89" s="1"/>
  <c r="C47" i="89" s="1"/>
  <c r="C68" i="90" l="1"/>
  <c r="F19" i="81" l="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80" i="77" s="1"/>
  <c r="A73" i="77"/>
  <c r="I57" i="77"/>
  <c r="I58" i="77"/>
  <c r="A60" i="77"/>
  <c r="A56" i="77"/>
  <c r="A63" i="77" s="1"/>
  <c r="E68" i="77"/>
  <c r="I59" i="77" l="1"/>
  <c r="I76" i="77"/>
  <c r="F56" i="9"/>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41" i="79"/>
  <c r="AG41" i="79" s="1"/>
  <c r="S40" i="79"/>
  <c r="AG40" i="79" s="1"/>
  <c r="S42" i="79"/>
  <c r="AG42" i="79" s="1"/>
  <c r="S38" i="79"/>
  <c r="AG38" i="79" s="1"/>
  <c r="S39" i="79"/>
  <c r="AG39" i="79" s="1"/>
  <c r="S37" i="79"/>
  <c r="AG37" i="79" s="1"/>
  <c r="S43" i="79"/>
  <c r="AG43" i="79" s="1"/>
  <c r="AA35" i="79"/>
  <c r="AD35" i="79" s="1"/>
  <c r="T48" i="79"/>
  <c r="U54" i="79"/>
  <c r="AI54" i="79" s="1"/>
  <c r="AD55" i="79"/>
  <c r="S56" i="79"/>
  <c r="AG56" i="79" s="1"/>
  <c r="U58" i="79"/>
  <c r="AI58" i="79" s="1"/>
  <c r="AD59" i="79"/>
  <c r="T38" i="79"/>
  <c r="T42" i="79"/>
  <c r="T40" i="79"/>
  <c r="T41" i="79"/>
  <c r="T39" i="79"/>
  <c r="T37" i="79"/>
  <c r="T43" i="79"/>
  <c r="AD45" i="79"/>
  <c r="AD46" i="79"/>
  <c r="AD44" i="79"/>
  <c r="AD42" i="79"/>
  <c r="AD43" i="79"/>
  <c r="AR48" i="79"/>
  <c r="AR49" i="79" s="1"/>
  <c r="AR50" i="79" s="1"/>
  <c r="AR51" i="79" s="1"/>
  <c r="AR52" i="79" s="1"/>
  <c r="AR53" i="79" s="1"/>
  <c r="AR54" i="79" s="1"/>
  <c r="AR55" i="79" s="1"/>
  <c r="AR56" i="79" s="1"/>
  <c r="AR57" i="79" s="1"/>
  <c r="AR58" i="79" s="1"/>
  <c r="AR59" i="79" s="1"/>
  <c r="AR60" i="79" s="1"/>
  <c r="U41" i="79"/>
  <c r="AI41" i="79" s="1"/>
  <c r="U38" i="79"/>
  <c r="AI38" i="79" s="1"/>
  <c r="U42" i="79"/>
  <c r="AI42" i="79" s="1"/>
  <c r="U40" i="79"/>
  <c r="AI40" i="79" s="1"/>
  <c r="U39" i="79"/>
  <c r="AI39" i="79" s="1"/>
  <c r="U37" i="79"/>
  <c r="AI37"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9" i="79" l="1"/>
  <c r="AK39" i="79" s="1"/>
  <c r="AH39" i="79"/>
  <c r="W38" i="79"/>
  <c r="AK38" i="79" s="1"/>
  <c r="AH38" i="79"/>
  <c r="W41" i="79"/>
  <c r="AK41" i="79" s="1"/>
  <c r="AH41" i="79"/>
  <c r="W43" i="79"/>
  <c r="AK43" i="79" s="1"/>
  <c r="AH43" i="79"/>
  <c r="W40" i="79"/>
  <c r="AK40" i="79" s="1"/>
  <c r="AH40" i="79"/>
  <c r="AH37" i="79"/>
  <c r="W37" i="79"/>
  <c r="AK37" i="79" s="1"/>
  <c r="AH42" i="79"/>
  <c r="W42" i="79"/>
  <c r="AK42"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75" i="77"/>
  <c r="E73" i="77" s="1"/>
  <c r="E67" i="77" s="1"/>
  <c r="E59" i="77"/>
  <c r="E56" i="77" s="1"/>
  <c r="E72" i="77"/>
  <c r="E55" i="77"/>
  <c r="E78" i="77"/>
  <c r="E77" i="77" s="1"/>
  <c r="E62" i="77"/>
  <c r="E61" i="77"/>
  <c r="E79"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54" i="77" s="1"/>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H27" i="40"/>
  <c r="AB27" i="40" s="1"/>
  <c r="J27" i="40"/>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27" i="40"/>
  <c r="W18" i="36"/>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9" i="12"/>
  <c r="I9" i="12"/>
  <c r="J9" i="12"/>
  <c r="K9" i="12"/>
  <c r="B111" i="39"/>
  <c r="J37" i="39" s="1"/>
  <c r="AC37" i="39" s="1"/>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E114" i="34" s="1"/>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AB41" i="21" s="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c r="G92" i="40" s="1"/>
  <c r="D90" i="40"/>
  <c r="E90" i="40"/>
  <c r="D88" i="40"/>
  <c r="E88" i="40" s="1"/>
  <c r="F88" i="40" s="1"/>
  <c r="G88" i="40"/>
  <c r="D86" i="40"/>
  <c r="E86" i="40" s="1"/>
  <c r="F86" i="40" s="1"/>
  <c r="G86" i="40"/>
  <c r="B83" i="40"/>
  <c r="B81" i="40"/>
  <c r="J15" i="40" s="1"/>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H25" i="36" s="1"/>
  <c r="B73" i="36"/>
  <c r="J24" i="36"/>
  <c r="AC24" i="36" s="1"/>
  <c r="B71" i="36"/>
  <c r="H23" i="36" s="1"/>
  <c r="AB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s="1"/>
  <c r="H24" i="36"/>
  <c r="AB24" i="36" s="1"/>
  <c r="Q23" i="36"/>
  <c r="Z23" i="36"/>
  <c r="F23" i="36"/>
  <c r="AA23" i="36"/>
  <c r="Q22" i="36"/>
  <c r="Z22" i="36"/>
  <c r="J22" i="36"/>
  <c r="AC22" i="36"/>
  <c r="Q20" i="36"/>
  <c r="Z20" i="36"/>
  <c r="Q16" i="36"/>
  <c r="Z16" i="36"/>
  <c r="Q14" i="36"/>
  <c r="Z14" i="36"/>
  <c r="Q13" i="36"/>
  <c r="Z13" i="36"/>
  <c r="Q12" i="36"/>
  <c r="Z12" i="36"/>
  <c r="H12" i="36"/>
  <c r="AB12" i="36" s="1"/>
  <c r="U12" i="36"/>
  <c r="Q11" i="36"/>
  <c r="Z11" i="36"/>
  <c r="Q10" i="36"/>
  <c r="Z10" i="36"/>
  <c r="F10" i="36"/>
  <c r="AA10" i="36" s="1"/>
  <c r="Q9" i="36"/>
  <c r="Z9" i="36"/>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c r="B73" i="35"/>
  <c r="B57" i="35"/>
  <c r="B61" i="35"/>
  <c r="B59" i="35"/>
  <c r="B131" i="34"/>
  <c r="B129" i="34"/>
  <c r="B127" i="34"/>
  <c r="F45" i="34" s="1"/>
  <c r="B99" i="34"/>
  <c r="J32" i="34" s="1"/>
  <c r="W32" i="34" s="1"/>
  <c r="B97" i="34"/>
  <c r="B95" i="34"/>
  <c r="B93" i="34"/>
  <c r="B75" i="34"/>
  <c r="H14" i="34" s="1"/>
  <c r="B73" i="34"/>
  <c r="B71" i="34"/>
  <c r="J12" i="34" s="1"/>
  <c r="W12" i="34" s="1"/>
  <c r="B130" i="33"/>
  <c r="B128" i="33"/>
  <c r="B126" i="33"/>
  <c r="B98" i="33"/>
  <c r="B96" i="33"/>
  <c r="B94" i="33"/>
  <c r="B74" i="33"/>
  <c r="B72" i="33"/>
  <c r="B70" i="33"/>
  <c r="H12" i="33" s="1"/>
  <c r="U12" i="33" s="1"/>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AC31" i="35"/>
  <c r="AB31" i="35"/>
  <c r="Q30" i="35"/>
  <c r="Z30" i="35" s="1"/>
  <c r="Q29" i="35"/>
  <c r="Z29" i="35" s="1"/>
  <c r="Q28" i="35"/>
  <c r="Z28" i="35"/>
  <c r="J28" i="35"/>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c r="F88" i="34"/>
  <c r="G88" i="34" s="1"/>
  <c r="H88" i="34" s="1"/>
  <c r="I88" i="34" s="1"/>
  <c r="J88" i="34" s="1"/>
  <c r="K88" i="34" s="1"/>
  <c r="L88" i="34" s="1"/>
  <c r="M88" i="34" s="1"/>
  <c r="D86" i="34"/>
  <c r="E86" i="34" s="1"/>
  <c r="F86" i="34" s="1"/>
  <c r="G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J46" i="21" s="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U34" i="21" s="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7" i="39"/>
  <c r="S47" i="39" s="1"/>
  <c r="J47" i="39"/>
  <c r="W47" i="39" s="1"/>
  <c r="F38" i="39"/>
  <c r="S38" i="39" s="1"/>
  <c r="F37" i="39"/>
  <c r="AA37" i="39"/>
  <c r="W25" i="37"/>
  <c r="U30" i="37"/>
  <c r="F39" i="37"/>
  <c r="S39" i="37" s="1"/>
  <c r="F29" i="36"/>
  <c r="AA29" i="36" s="1"/>
  <c r="F16" i="36"/>
  <c r="AA16" i="36" s="1"/>
  <c r="W28" i="36"/>
  <c r="U31" i="36"/>
  <c r="J33" i="36"/>
  <c r="AC33" i="36" s="1"/>
  <c r="H22" i="35"/>
  <c r="AB22" i="35"/>
  <c r="AC27" i="35"/>
  <c r="U31" i="35"/>
  <c r="S31" i="35"/>
  <c r="F36" i="34"/>
  <c r="J35" i="34"/>
  <c r="W35" i="34" s="1"/>
  <c r="H39" i="33"/>
  <c r="AB39" i="33"/>
  <c r="F26" i="33"/>
  <c r="U35" i="33"/>
  <c r="S40" i="33"/>
  <c r="W39" i="33"/>
  <c r="H39" i="37"/>
  <c r="AB39" i="37"/>
  <c r="F13" i="40"/>
  <c r="AA13" i="40" s="1"/>
  <c r="H13" i="40"/>
  <c r="AB13" i="40" s="1"/>
  <c r="W10" i="40"/>
  <c r="AB41" i="40"/>
  <c r="U11" i="40"/>
  <c r="S36" i="40"/>
  <c r="U40" i="40"/>
  <c r="W33" i="40"/>
  <c r="U36" i="40"/>
  <c r="S40" i="40"/>
  <c r="F44" i="39"/>
  <c r="AA44" i="39" s="1"/>
  <c r="F43" i="39"/>
  <c r="S43" i="39" s="1"/>
  <c r="H42" i="39"/>
  <c r="AB42" i="39" s="1"/>
  <c r="H41" i="39"/>
  <c r="U41" i="39" s="1"/>
  <c r="S40" i="39"/>
  <c r="H36" i="39"/>
  <c r="U36" i="39" s="1"/>
  <c r="E110" i="39"/>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H29" i="39"/>
  <c r="U29" i="39" s="1"/>
  <c r="J21" i="39"/>
  <c r="AC21" i="39" s="1"/>
  <c r="J19" i="39"/>
  <c r="F29" i="39"/>
  <c r="S29" i="39" s="1"/>
  <c r="F11" i="21"/>
  <c r="S11" i="21" s="1"/>
  <c r="S40" i="21"/>
  <c r="H13" i="39"/>
  <c r="AB13" i="39" s="1"/>
  <c r="H32" i="33"/>
  <c r="AB32" i="33"/>
  <c r="H11" i="21"/>
  <c r="U11" i="21" s="1"/>
  <c r="J11" i="21"/>
  <c r="W11" i="21" s="1"/>
  <c r="H39" i="40"/>
  <c r="U39" i="40" s="1"/>
  <c r="H38" i="40"/>
  <c r="AB38" i="40" s="1"/>
  <c r="F37" i="40"/>
  <c r="AA37" i="40"/>
  <c r="H25" i="40"/>
  <c r="AB25" i="40" s="1"/>
  <c r="H19" i="40"/>
  <c r="U19" i="40" s="1"/>
  <c r="J17" i="40"/>
  <c r="W17" i="40" s="1"/>
  <c r="J13" i="40"/>
  <c r="AB10" i="39"/>
  <c r="AC12" i="34"/>
  <c r="F39" i="39"/>
  <c r="AA39" i="39" s="1"/>
  <c r="J34" i="36"/>
  <c r="W34" i="36" s="1"/>
  <c r="U30" i="36"/>
  <c r="J30" i="35"/>
  <c r="W30" i="35" s="1"/>
  <c r="H30" i="35"/>
  <c r="AB30" i="35" s="1"/>
  <c r="F22" i="35"/>
  <c r="AA22" i="35"/>
  <c r="H10" i="35"/>
  <c r="U10" i="35" s="1"/>
  <c r="F33" i="36"/>
  <c r="AA33" i="36" s="1"/>
  <c r="W30" i="36"/>
  <c r="H16" i="36"/>
  <c r="AB16" i="36"/>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c r="H36" i="34"/>
  <c r="U36" i="34" s="1"/>
  <c r="F37" i="34"/>
  <c r="AA37" i="34" s="1"/>
  <c r="F25" i="34"/>
  <c r="S25" i="34" s="1"/>
  <c r="H23" i="34"/>
  <c r="U23" i="34" s="1"/>
  <c r="J23" i="34"/>
  <c r="AC23" i="34" s="1"/>
  <c r="H17" i="34"/>
  <c r="U17" i="34" s="1"/>
  <c r="W8" i="34"/>
  <c r="F41" i="33"/>
  <c r="AA41" i="33"/>
  <c r="S38" i="33"/>
  <c r="E113" i="33"/>
  <c r="F32" i="33"/>
  <c r="AA32" i="33"/>
  <c r="J19" i="33"/>
  <c r="AC19" i="33"/>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c r="F23" i="34"/>
  <c r="AA23" i="34" s="1"/>
  <c r="F17" i="34"/>
  <c r="AA17" i="34" s="1"/>
  <c r="J17" i="34"/>
  <c r="W17" i="34" s="1"/>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I123" i="21"/>
  <c r="J123" i="21" s="1"/>
  <c r="K123" i="21" s="1"/>
  <c r="L123" i="21" s="1"/>
  <c r="M123" i="21" s="1"/>
  <c r="J42" i="21"/>
  <c r="AC42" i="21"/>
  <c r="H42" i="21"/>
  <c r="U42" i="21" s="1"/>
  <c r="J44" i="34"/>
  <c r="W44" i="34" s="1"/>
  <c r="F44" i="34"/>
  <c r="AA44" i="34" s="1"/>
  <c r="J10" i="35"/>
  <c r="AC10" i="35" s="1"/>
  <c r="J14" i="21"/>
  <c r="W14" i="21"/>
  <c r="F14" i="21"/>
  <c r="S14" i="21" s="1"/>
  <c r="H14" i="21"/>
  <c r="U14" i="21" s="1"/>
  <c r="H28" i="21"/>
  <c r="AB28" i="21" s="1"/>
  <c r="F28" i="21"/>
  <c r="AA28" i="21"/>
  <c r="J28" i="21"/>
  <c r="W28" i="21" s="1"/>
  <c r="H30" i="21"/>
  <c r="U30" i="21"/>
  <c r="F30" i="21"/>
  <c r="S30" i="21" s="1"/>
  <c r="J30" i="21"/>
  <c r="AC30" i="21"/>
  <c r="J44" i="21"/>
  <c r="AC44" i="21" s="1"/>
  <c r="H44" i="21"/>
  <c r="U44" i="21" s="1"/>
  <c r="F44" i="21"/>
  <c r="AA44" i="21" s="1"/>
  <c r="H46" i="21"/>
  <c r="U46" i="21" s="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S13" i="33" s="1"/>
  <c r="H29" i="33"/>
  <c r="U29" i="33" s="1"/>
  <c r="J31" i="33"/>
  <c r="W31" i="33"/>
  <c r="H31" i="33"/>
  <c r="F31" i="33"/>
  <c r="J45" i="33"/>
  <c r="W45" i="33" s="1"/>
  <c r="J14" i="34"/>
  <c r="W14" i="34" s="1"/>
  <c r="F14" i="34"/>
  <c r="S14" i="34" s="1"/>
  <c r="H30" i="34"/>
  <c r="F30" i="34"/>
  <c r="S30" i="34" s="1"/>
  <c r="J30" i="34"/>
  <c r="H32" i="34"/>
  <c r="F32" i="34"/>
  <c r="H46" i="34"/>
  <c r="U46" i="34" s="1"/>
  <c r="F46" i="34"/>
  <c r="AA46" i="34" s="1"/>
  <c r="J46" i="34"/>
  <c r="W46" i="34" s="1"/>
  <c r="H11" i="35"/>
  <c r="AB11" i="35" s="1"/>
  <c r="J11" i="35"/>
  <c r="W11" i="35" s="1"/>
  <c r="F11" i="35"/>
  <c r="S11" i="35" s="1"/>
  <c r="J26" i="36"/>
  <c r="W26" i="36"/>
  <c r="H28" i="36"/>
  <c r="U28" i="36" s="1"/>
  <c r="J11" i="36"/>
  <c r="AC11" i="36" s="1"/>
  <c r="H11" i="36"/>
  <c r="U11" i="36" s="1"/>
  <c r="F11" i="36"/>
  <c r="AA11" i="36" s="1"/>
  <c r="J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4" i="40"/>
  <c r="W14" i="40"/>
  <c r="H14" i="33"/>
  <c r="U14" i="33" s="1"/>
  <c r="F14" i="33"/>
  <c r="AA14" i="33" s="1"/>
  <c r="J14" i="33"/>
  <c r="H30" i="33"/>
  <c r="AB30" i="33"/>
  <c r="F30" i="33"/>
  <c r="J30" i="33"/>
  <c r="H44" i="33"/>
  <c r="J44" i="33"/>
  <c r="AC44" i="33" s="1"/>
  <c r="F44" i="33"/>
  <c r="S44" i="33" s="1"/>
  <c r="J46" i="33"/>
  <c r="AC46" i="33"/>
  <c r="F46" i="33"/>
  <c r="AA46" i="33" s="1"/>
  <c r="H46" i="33"/>
  <c r="AB46" i="33"/>
  <c r="H13" i="34"/>
  <c r="U13" i="34" s="1"/>
  <c r="J13" i="34"/>
  <c r="W13" i="34" s="1"/>
  <c r="F13" i="34"/>
  <c r="AA13" i="34" s="1"/>
  <c r="J29" i="34"/>
  <c r="F29" i="34"/>
  <c r="S29" i="34" s="1"/>
  <c r="H29" i="34"/>
  <c r="AB29" i="34" s="1"/>
  <c r="J31" i="34"/>
  <c r="AC31" i="34" s="1"/>
  <c r="H31" i="34"/>
  <c r="F31" i="34"/>
  <c r="S31" i="34"/>
  <c r="H45" i="34"/>
  <c r="U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c r="F25" i="36"/>
  <c r="S25" i="36" s="1"/>
  <c r="AB25" i="36"/>
  <c r="H13" i="37"/>
  <c r="AB13" i="37" s="1"/>
  <c r="F13" i="37"/>
  <c r="S13" i="37" s="1"/>
  <c r="J13" i="37"/>
  <c r="W13" i="37" s="1"/>
  <c r="F28" i="37"/>
  <c r="AA28" i="37" s="1"/>
  <c r="J28" i="37"/>
  <c r="AC28" i="37" s="1"/>
  <c r="H28" i="37"/>
  <c r="H38" i="37"/>
  <c r="AB38" i="37"/>
  <c r="J38" i="37"/>
  <c r="AC38" i="37" s="1"/>
  <c r="F38" i="37"/>
  <c r="S38" i="37" s="1"/>
  <c r="F45" i="39"/>
  <c r="AA45" i="39" s="1"/>
  <c r="J16" i="39"/>
  <c r="AC16" i="39" s="1"/>
  <c r="F16" i="39"/>
  <c r="H16" i="39"/>
  <c r="AB16" i="39" s="1"/>
  <c r="F14" i="40"/>
  <c r="S14" i="40"/>
  <c r="H14" i="40"/>
  <c r="AB14" i="40" s="1"/>
  <c r="H32" i="40"/>
  <c r="AB32" i="40"/>
  <c r="F35" i="40"/>
  <c r="AA35" i="40" s="1"/>
  <c r="H35" i="40"/>
  <c r="U35" i="40"/>
  <c r="J37" i="40"/>
  <c r="AC37" i="40" s="1"/>
  <c r="J39" i="40"/>
  <c r="AC39" i="40"/>
  <c r="H15" i="40"/>
  <c r="U15" i="40" s="1"/>
  <c r="W15" i="40"/>
  <c r="F15" i="40"/>
  <c r="AA15" i="40"/>
  <c r="F14" i="37"/>
  <c r="S14" i="37"/>
  <c r="F27" i="37"/>
  <c r="AA27" i="37"/>
  <c r="F15" i="39"/>
  <c r="J15" i="39"/>
  <c r="W15" i="39" s="1"/>
  <c r="H15" i="39"/>
  <c r="H16" i="40"/>
  <c r="U16" i="40" s="1"/>
  <c r="J16" i="40"/>
  <c r="W16" i="40" s="1"/>
  <c r="F16" i="40"/>
  <c r="AA16" i="40" s="1"/>
  <c r="J14" i="37"/>
  <c r="AA44" i="33"/>
  <c r="U46" i="33"/>
  <c r="J36" i="37"/>
  <c r="AC36" i="37" s="1"/>
  <c r="J10" i="36"/>
  <c r="AC10" i="36" s="1"/>
  <c r="AB26" i="33"/>
  <c r="AB30" i="21"/>
  <c r="AA14" i="37"/>
  <c r="W31" i="34"/>
  <c r="S11" i="36"/>
  <c r="AC28" i="21"/>
  <c r="BA586" i="3"/>
  <c r="F17" i="21"/>
  <c r="AA17" i="21" s="1"/>
  <c r="H17" i="21"/>
  <c r="AB17" i="21" s="1"/>
  <c r="F15" i="21"/>
  <c r="S15" i="21" s="1"/>
  <c r="J43" i="39"/>
  <c r="W43" i="39" s="1"/>
  <c r="S37" i="39"/>
  <c r="G544" i="3"/>
  <c r="G540" i="3"/>
  <c r="G536" i="3"/>
  <c r="G535" i="3"/>
  <c r="G532" i="3"/>
  <c r="G531" i="3"/>
  <c r="G528" i="3"/>
  <c r="G527" i="3"/>
  <c r="G523" i="3"/>
  <c r="G518" i="3"/>
  <c r="G514" i="3"/>
  <c r="G510" i="3"/>
  <c r="G508" i="3"/>
  <c r="G504" i="3"/>
  <c r="G500" i="3"/>
  <c r="G496"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78" i="3"/>
  <c r="BA576" i="3"/>
  <c r="AZ576" i="3" s="1"/>
  <c r="BA574" i="3"/>
  <c r="BA572" i="3"/>
  <c r="AZ572" i="3" s="1"/>
  <c r="BA570" i="3"/>
  <c r="BA568" i="3"/>
  <c r="AZ568" i="3" s="1"/>
  <c r="BA566" i="3"/>
  <c r="AZ566" i="3" s="1"/>
  <c r="BA564" i="3"/>
  <c r="BA562" i="3"/>
  <c r="BA560" i="3"/>
  <c r="AZ560" i="3" s="1"/>
  <c r="BA558" i="3"/>
  <c r="BA556" i="3"/>
  <c r="AZ556" i="3" s="1"/>
  <c r="BA554" i="3"/>
  <c r="AZ554" i="3" s="1"/>
  <c r="BA552" i="3"/>
  <c r="AZ552" i="3"/>
  <c r="BA548" i="3"/>
  <c r="BA546" i="3"/>
  <c r="BA544" i="3"/>
  <c r="AZ544" i="3"/>
  <c r="BA542" i="3"/>
  <c r="BA540" i="3"/>
  <c r="BA538" i="3"/>
  <c r="AZ538" i="3" s="1"/>
  <c r="BA536" i="3"/>
  <c r="AZ536" i="3" s="1"/>
  <c r="BA534" i="3"/>
  <c r="AZ534" i="3" s="1"/>
  <c r="BA532" i="3"/>
  <c r="AZ532" i="3" s="1"/>
  <c r="BA530" i="3"/>
  <c r="BA528" i="3"/>
  <c r="AZ528" i="3" s="1"/>
  <c r="BA526" i="3"/>
  <c r="BA524" i="3"/>
  <c r="AZ524" i="3" s="1"/>
  <c r="BA522" i="3"/>
  <c r="BA520" i="3"/>
  <c r="BA518" i="3"/>
  <c r="BA516" i="3"/>
  <c r="AZ516" i="3" s="1"/>
  <c r="BA514" i="3"/>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U39" i="37"/>
  <c r="U26" i="37"/>
  <c r="W47" i="34"/>
  <c r="AA13" i="33"/>
  <c r="AC31" i="33"/>
  <c r="AC45" i="33"/>
  <c r="W44" i="33"/>
  <c r="U11" i="33"/>
  <c r="U19" i="21"/>
  <c r="W44" i="21"/>
  <c r="AB38" i="21"/>
  <c r="F43" i="33"/>
  <c r="AA43" i="33" s="1"/>
  <c r="W16" i="35"/>
  <c r="W40" i="37"/>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U31" i="37"/>
  <c r="J15" i="37"/>
  <c r="W15" i="37"/>
  <c r="AA25" i="21"/>
  <c r="H21" i="40"/>
  <c r="U21" i="40" s="1"/>
  <c r="F90" i="40"/>
  <c r="G90" i="40" s="1"/>
  <c r="F21" i="40"/>
  <c r="S21" i="40" s="1"/>
  <c r="S16" i="40"/>
  <c r="AC15" i="40"/>
  <c r="AB35" i="40"/>
  <c r="W2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55"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AZ194" i="3"/>
  <c r="AZ198" i="3"/>
  <c r="AZ500" i="3"/>
  <c r="BA16" i="3"/>
  <c r="BL303" i="3"/>
  <c r="AZ303" i="3" s="1"/>
  <c r="G304" i="3"/>
  <c r="BA306" i="3"/>
  <c r="BL307" i="3"/>
  <c r="AZ307" i="3" s="1"/>
  <c r="G308" i="3"/>
  <c r="BA310" i="3"/>
  <c r="AZ310" i="3"/>
  <c r="BL311" i="3"/>
  <c r="G312" i="3"/>
  <c r="BA314" i="3"/>
  <c r="AZ314" i="3"/>
  <c r="BL315" i="3"/>
  <c r="G316" i="3"/>
  <c r="BA318" i="3"/>
  <c r="AZ318" i="3" s="1"/>
  <c r="BL319" i="3"/>
  <c r="AZ319" i="3" s="1"/>
  <c r="G320" i="3"/>
  <c r="BA322" i="3"/>
  <c r="BL323" i="3"/>
  <c r="G324" i="3"/>
  <c r="BA326" i="3"/>
  <c r="AZ326" i="3" s="1"/>
  <c r="BL327" i="3"/>
  <c r="AZ327" i="3" s="1"/>
  <c r="G328" i="3"/>
  <c r="BA330" i="3"/>
  <c r="BL331" i="3"/>
  <c r="AZ331" i="3" s="1"/>
  <c r="G332" i="3"/>
  <c r="BA334" i="3"/>
  <c r="AZ334" i="3" s="1"/>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AZ362" i="3" s="1"/>
  <c r="G363" i="3"/>
  <c r="BA365" i="3"/>
  <c r="BL366" i="3"/>
  <c r="G367" i="3"/>
  <c r="BA369" i="3"/>
  <c r="AZ369" i="3"/>
  <c r="BL370" i="3"/>
  <c r="AZ370" i="3" s="1"/>
  <c r="G371" i="3"/>
  <c r="BA373" i="3"/>
  <c r="AZ373" i="3"/>
  <c r="BL374" i="3"/>
  <c r="G375" i="3"/>
  <c r="BA377" i="3"/>
  <c r="AZ377" i="3"/>
  <c r="AZ229" i="3"/>
  <c r="AZ233" i="3"/>
  <c r="AZ249" i="3"/>
  <c r="BA379" i="3"/>
  <c r="BL380" i="3"/>
  <c r="AZ380" i="3" s="1"/>
  <c r="G381" i="3"/>
  <c r="BA383" i="3"/>
  <c r="AZ383" i="3" s="1"/>
  <c r="BL384" i="3"/>
  <c r="G385" i="3"/>
  <c r="BA387" i="3"/>
  <c r="AZ387" i="3" s="1"/>
  <c r="BL388" i="3"/>
  <c r="G389" i="3"/>
  <c r="BA391" i="3"/>
  <c r="AZ391" i="3" s="1"/>
  <c r="BL392" i="3"/>
  <c r="G393" i="3"/>
  <c r="BO5" i="3"/>
  <c r="BM5" i="3"/>
  <c r="BJ5" i="3"/>
  <c r="BH5" i="3"/>
  <c r="BF5" i="3"/>
  <c r="BD5" i="3"/>
  <c r="AZ341" i="3"/>
  <c r="AC5" i="3"/>
  <c r="AZ506" i="3"/>
  <c r="AZ496" i="3"/>
  <c r="G548" i="3"/>
  <c r="G538" i="3"/>
  <c r="G520" i="3"/>
  <c r="G502" i="3"/>
  <c r="BS5" i="3"/>
  <c r="BP5" i="3"/>
  <c r="BN5" i="3"/>
  <c r="BK5" i="3"/>
  <c r="BI5" i="3"/>
  <c r="BG5" i="3"/>
  <c r="BE5" i="3"/>
  <c r="G17" i="3"/>
  <c r="BA17" i="3"/>
  <c r="BT5" i="3"/>
  <c r="BA15" i="3"/>
  <c r="BB5" i="3"/>
  <c r="BR5" i="3"/>
  <c r="AZ392" i="3"/>
  <c r="AZ499" i="3"/>
  <c r="AZ509" i="3"/>
  <c r="G509" i="3"/>
  <c r="BL493" i="3"/>
  <c r="AZ493" i="3"/>
  <c r="U38" i="40"/>
  <c r="F83" i="43"/>
  <c r="H85" i="43" s="1"/>
  <c r="F50" i="43"/>
  <c r="H54" i="43" s="1"/>
  <c r="F72" i="43"/>
  <c r="H75" i="43" s="1"/>
  <c r="U19" i="39"/>
  <c r="S14" i="35"/>
  <c r="U43" i="21"/>
  <c r="U35" i="21"/>
  <c r="AC35" i="21"/>
  <c r="AZ501" i="3"/>
  <c r="W37" i="37"/>
  <c r="S15" i="37"/>
  <c r="U13" i="37"/>
  <c r="U14" i="40"/>
  <c r="AA14"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133" i="3"/>
  <c r="AZ74" i="3"/>
  <c r="F25" i="39"/>
  <c r="AA25" i="39" s="1"/>
  <c r="H27" i="36"/>
  <c r="U27" i="36" s="1"/>
  <c r="F27" i="36"/>
  <c r="AA27" i="36" s="1"/>
  <c r="H33" i="34"/>
  <c r="U33" i="34" s="1"/>
  <c r="F32" i="37"/>
  <c r="AA32" i="37"/>
  <c r="F20" i="36"/>
  <c r="AA20" i="36" s="1"/>
  <c r="J33" i="34"/>
  <c r="AC33" i="34" s="1"/>
  <c r="H25" i="39"/>
  <c r="U25" i="39" s="1"/>
  <c r="K9" i="1"/>
  <c r="M9" i="1" s="1"/>
  <c r="K6" i="1"/>
  <c r="AC26" i="33"/>
  <c r="W26" i="33"/>
  <c r="W27" i="34"/>
  <c r="AC27" i="34"/>
  <c r="AB34" i="36"/>
  <c r="U34" i="36"/>
  <c r="AB33" i="36"/>
  <c r="U33" i="36"/>
  <c r="AC14" i="39"/>
  <c r="W14" i="39"/>
  <c r="AC41" i="40"/>
  <c r="W41" i="40"/>
  <c r="AZ433" i="3"/>
  <c r="AZ586" i="3"/>
  <c r="W12" i="33"/>
  <c r="AC12" i="33"/>
  <c r="AZ437" i="3"/>
  <c r="AZ473" i="3"/>
  <c r="BL14" i="3"/>
  <c r="U30" i="33"/>
  <c r="AC13" i="34"/>
  <c r="AA47" i="34"/>
  <c r="W28" i="37"/>
  <c r="S21" i="39"/>
  <c r="F12" i="33"/>
  <c r="H14" i="39"/>
  <c r="AB14" i="39"/>
  <c r="F41" i="40"/>
  <c r="AA41" i="40" s="1"/>
  <c r="BA14" i="3"/>
  <c r="AZ367" i="3"/>
  <c r="AZ173" i="3"/>
  <c r="AZ181" i="3"/>
  <c r="B12" i="1"/>
  <c r="E12" i="1" s="1"/>
  <c r="B10" i="1"/>
  <c r="E10" i="1" s="1"/>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J23" i="39"/>
  <c r="W23" i="39" s="1"/>
  <c r="F23" i="39"/>
  <c r="AA23" i="39" s="1"/>
  <c r="H23" i="39"/>
  <c r="AB23" i="39" s="1"/>
  <c r="W21" i="39"/>
  <c r="U21" i="39"/>
  <c r="S19" i="39"/>
  <c r="AA14" i="39"/>
  <c r="S11" i="39"/>
  <c r="U16" i="39"/>
  <c r="AC15" i="39"/>
  <c r="U14" i="39"/>
  <c r="S23" i="36"/>
  <c r="U26" i="36"/>
  <c r="S33" i="36"/>
  <c r="AA26" i="36"/>
  <c r="AA34" i="36"/>
  <c r="AC26" i="36"/>
  <c r="AA22" i="36"/>
  <c r="W14" i="36"/>
  <c r="AB14" i="36"/>
  <c r="U22" i="36"/>
  <c r="S16" i="36"/>
  <c r="AA25" i="36"/>
  <c r="S24" i="36"/>
  <c r="U24" i="36"/>
  <c r="U23" i="36"/>
  <c r="U16" i="36"/>
  <c r="S14" i="36"/>
  <c r="AA25" i="35"/>
  <c r="S23" i="35"/>
  <c r="W24" i="35"/>
  <c r="AB13" i="35"/>
  <c r="U28" i="35"/>
  <c r="AB27" i="35"/>
  <c r="U36" i="35"/>
  <c r="U32" i="35"/>
  <c r="AA33" i="35"/>
  <c r="AC30" i="35"/>
  <c r="S32" i="35"/>
  <c r="AA36" i="35"/>
  <c r="S28" i="35"/>
  <c r="AB16" i="35"/>
  <c r="U22" i="35"/>
  <c r="AC20" i="35"/>
  <c r="S22" i="35"/>
  <c r="U14" i="35"/>
  <c r="AA11" i="35"/>
  <c r="AC9" i="35"/>
  <c r="W9" i="35"/>
  <c r="W13" i="35"/>
  <c r="F9" i="35"/>
  <c r="S9" i="35" s="1"/>
  <c r="H9" i="35"/>
  <c r="U9" i="35" s="1"/>
  <c r="AB40" i="37"/>
  <c r="S25"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W41" i="34"/>
  <c r="AC42" i="34"/>
  <c r="AB41" i="34"/>
  <c r="AA25" i="34"/>
  <c r="U28" i="34"/>
  <c r="AA29" i="34"/>
  <c r="U27" i="34"/>
  <c r="S13" i="34"/>
  <c r="H10" i="34"/>
  <c r="AB10" i="34" s="1"/>
  <c r="F11" i="34"/>
  <c r="S11" i="34" s="1"/>
  <c r="F70" i="34"/>
  <c r="W42" i="33"/>
  <c r="AA35" i="33"/>
  <c r="S27" i="33"/>
  <c r="S32"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W19" i="39"/>
  <c r="AC19" i="39"/>
  <c r="S25" i="39"/>
  <c r="AA47" i="39"/>
  <c r="W36" i="39"/>
  <c r="U40" i="39"/>
  <c r="S10" i="39"/>
  <c r="S20" i="36"/>
  <c r="AC25" i="36"/>
  <c r="W29" i="36"/>
  <c r="AC20" i="36"/>
  <c r="U25" i="36"/>
  <c r="AB28"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A31" i="34"/>
  <c r="AA30" i="34"/>
  <c r="AB47" i="34"/>
  <c r="U25" i="34"/>
  <c r="AC14" i="34"/>
  <c r="AC32" i="34"/>
  <c r="AC29" i="34"/>
  <c r="W29" i="34"/>
  <c r="S32" i="34"/>
  <c r="AA32" i="34"/>
  <c r="U30" i="34"/>
  <c r="AB30" i="34"/>
  <c r="U38" i="34"/>
  <c r="AC40" i="34"/>
  <c r="W40" i="34"/>
  <c r="AA36" i="34"/>
  <c r="S36" i="34"/>
  <c r="AA8" i="34"/>
  <c r="S8" i="34"/>
  <c r="U32" i="34"/>
  <c r="AB32" i="34"/>
  <c r="U14" i="34"/>
  <c r="AB14"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AC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U32" i="40"/>
  <c r="B56" i="43"/>
  <c r="B67" i="43"/>
  <c r="B54" i="43"/>
  <c r="B58"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AC27" i="33" s="1"/>
  <c r="U25" i="33"/>
  <c r="AB25" i="33"/>
  <c r="S25" i="33"/>
  <c r="AA25" i="33"/>
  <c r="J25" i="33"/>
  <c r="AC25" i="33" s="1"/>
  <c r="AB23" i="33"/>
  <c r="U23" i="33"/>
  <c r="F23" i="33"/>
  <c r="AA19" i="33"/>
  <c r="H19" i="33"/>
  <c r="AB19" i="33" s="1"/>
  <c r="G81" i="33"/>
  <c r="H17" i="33"/>
  <c r="U17" i="33" s="1"/>
  <c r="F17" i="33"/>
  <c r="S17" i="33" s="1"/>
  <c r="W17" i="33"/>
  <c r="AC17" i="33"/>
  <c r="S37" i="21"/>
  <c r="AA23" i="21"/>
  <c r="AB15" i="21"/>
  <c r="J23" i="21"/>
  <c r="F85" i="21"/>
  <c r="G85" i="21" s="1"/>
  <c r="H23" i="21"/>
  <c r="S13" i="21"/>
  <c r="AP7" i="1"/>
  <c r="AB45" i="21"/>
  <c r="AB9" i="21"/>
  <c r="U9" i="21"/>
  <c r="S32" i="21"/>
  <c r="AB32" i="21"/>
  <c r="U32" i="21"/>
  <c r="W34" i="39"/>
  <c r="W23" i="37"/>
  <c r="AC23" i="37"/>
  <c r="J11" i="37"/>
  <c r="AC11" i="37" s="1"/>
  <c r="J11" i="34"/>
  <c r="W11" i="34" s="1"/>
  <c r="W27" i="33"/>
  <c r="W25" i="33"/>
  <c r="AA17" i="33"/>
  <c r="U23" i="21"/>
  <c r="AB23" i="21"/>
  <c r="AC23" i="21"/>
  <c r="W23" i="21"/>
  <c r="H109" i="9"/>
  <c r="H112" i="9"/>
  <c r="D21" i="53" s="1"/>
  <c r="B39" i="72" s="1"/>
  <c r="H111" i="9"/>
  <c r="H126" i="9" s="1"/>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6" i="67"/>
  <c r="E13" i="76"/>
  <c r="M24" i="67"/>
  <c r="F48" i="15"/>
  <c r="F26" i="67"/>
  <c r="B11" i="76"/>
  <c r="B7" i="76"/>
  <c r="M26" i="67"/>
  <c r="F13" i="67"/>
  <c r="M24" i="15"/>
  <c r="B13" i="76"/>
  <c r="F4" i="73"/>
  <c r="M22" i="67"/>
  <c r="D6" i="73"/>
  <c r="F7" i="73"/>
  <c r="M8" i="67"/>
  <c r="F26" i="15"/>
  <c r="F5" i="73"/>
  <c r="M6" i="15"/>
  <c r="F42" i="67"/>
  <c r="E9" i="76"/>
  <c r="M26" i="15"/>
  <c r="F3" i="73"/>
  <c r="B8" i="76"/>
  <c r="M36" i="15"/>
  <c r="F36" i="67"/>
  <c r="M9" i="67"/>
  <c r="M31" i="15"/>
  <c r="F40" i="67"/>
  <c r="F6" i="67"/>
  <c r="F38" i="67"/>
  <c r="F7" i="67"/>
  <c r="F32" i="15"/>
  <c r="B9" i="76"/>
  <c r="M8" i="15"/>
  <c r="F52" i="15"/>
  <c r="E7" i="76"/>
  <c r="B12" i="76"/>
  <c r="E10" i="76"/>
  <c r="M28" i="67"/>
  <c r="F22" i="15"/>
  <c r="M22" i="15"/>
  <c r="F37" i="67"/>
  <c r="F38" i="15"/>
  <c r="E12" i="76"/>
  <c r="M30" i="15"/>
  <c r="E11" i="76"/>
  <c r="AO13" i="1"/>
  <c r="F30" i="15"/>
  <c r="J15" i="67"/>
  <c r="E2" i="69"/>
  <c r="F8" i="67"/>
  <c r="F6" i="15"/>
  <c r="L47" i="67"/>
  <c r="F28" i="15"/>
  <c r="C88" i="15"/>
  <c r="M9" i="15"/>
  <c r="M28" i="15"/>
  <c r="F24" i="15"/>
  <c r="B10" i="76"/>
  <c r="M23" i="67"/>
  <c r="E8" i="76"/>
  <c r="F20" i="31"/>
  <c r="L56" i="15"/>
  <c r="F16" i="67"/>
  <c r="M29" i="67"/>
  <c r="C71" i="15"/>
  <c r="F43" i="67"/>
  <c r="F7" i="15"/>
  <c r="C76" i="67"/>
  <c r="F6" i="73"/>
  <c r="F9" i="67"/>
  <c r="F8" i="15"/>
  <c r="F9" i="15"/>
  <c r="F78" i="34" l="1"/>
  <c r="G78" i="34" s="1"/>
  <c r="J15" i="34"/>
  <c r="H15" i="34"/>
  <c r="F15" i="34"/>
  <c r="AA15" i="34" s="1"/>
  <c r="AB33" i="34"/>
  <c r="S46" i="34"/>
  <c r="F82" i="34"/>
  <c r="G82" i="34" s="1"/>
  <c r="H19" i="34"/>
  <c r="AB19" i="34" s="1"/>
  <c r="F19" i="34"/>
  <c r="J19" i="34"/>
  <c r="AC19" i="34" s="1"/>
  <c r="AC44" i="34"/>
  <c r="U39" i="34"/>
  <c r="W23" i="34"/>
  <c r="W19" i="34"/>
  <c r="W33" i="34"/>
  <c r="AC35" i="34"/>
  <c r="S35" i="34"/>
  <c r="AC36" i="34"/>
  <c r="AC39" i="34"/>
  <c r="AB36" i="34"/>
  <c r="AB35" i="34"/>
  <c r="AC46" i="34"/>
  <c r="AB46" i="34"/>
  <c r="W43" i="34"/>
  <c r="U43" i="34"/>
  <c r="S45" i="34"/>
  <c r="AA45" i="34"/>
  <c r="J45" i="34"/>
  <c r="AB45" i="34"/>
  <c r="S23" i="34"/>
  <c r="S17" i="34"/>
  <c r="AC17" i="34"/>
  <c r="AA33" i="34"/>
  <c r="S44" i="34"/>
  <c r="S43" i="34"/>
  <c r="S21" i="34"/>
  <c r="J9" i="34"/>
  <c r="AC9" i="34" s="1"/>
  <c r="C23" i="40"/>
  <c r="B51" i="43"/>
  <c r="B62" i="43"/>
  <c r="C17" i="39"/>
  <c r="C31" i="39"/>
  <c r="B57" i="43"/>
  <c r="AB34" i="35"/>
  <c r="U34" i="35"/>
  <c r="D22" i="71"/>
  <c r="U19" i="33"/>
  <c r="W35" i="33"/>
  <c r="AB34" i="33"/>
  <c r="AB20" i="36"/>
  <c r="AZ311" i="3"/>
  <c r="AZ364" i="3"/>
  <c r="AZ329" i="3"/>
  <c r="AZ306" i="3"/>
  <c r="AZ577" i="3"/>
  <c r="AZ513" i="3"/>
  <c r="AZ575" i="3"/>
  <c r="AZ570" i="3"/>
  <c r="AZ502" i="3"/>
  <c r="AC11" i="35"/>
  <c r="AB17" i="34"/>
  <c r="BL587" i="3"/>
  <c r="AZ587" i="3" s="1"/>
  <c r="BA585" i="3"/>
  <c r="B101" i="43"/>
  <c r="B79" i="43"/>
  <c r="C27" i="39"/>
  <c r="J23" i="35"/>
  <c r="H23" i="35"/>
  <c r="AC22" i="35"/>
  <c r="W22" i="35"/>
  <c r="F13" i="36"/>
  <c r="H13" i="36"/>
  <c r="F32" i="36"/>
  <c r="H32" i="36"/>
  <c r="J32" i="36"/>
  <c r="W32" i="36" s="1"/>
  <c r="AC34" i="40"/>
  <c r="W34" i="40"/>
  <c r="BA580" i="3"/>
  <c r="AZ580" i="3" s="1"/>
  <c r="BL574" i="3"/>
  <c r="W13" i="40"/>
  <c r="AC13" i="40"/>
  <c r="AA28" i="34"/>
  <c r="S28" i="34"/>
  <c r="F29" i="33"/>
  <c r="J29" i="33"/>
  <c r="F45" i="33"/>
  <c r="H45" i="33"/>
  <c r="F12" i="35"/>
  <c r="J12" i="35"/>
  <c r="AC31" i="37"/>
  <c r="W31" i="37"/>
  <c r="H38" i="39"/>
  <c r="J38" i="39"/>
  <c r="AC38" i="39" s="1"/>
  <c r="G582" i="3"/>
  <c r="U34" i="39"/>
  <c r="W9" i="21"/>
  <c r="AA40" i="34"/>
  <c r="S20" i="35"/>
  <c r="G29" i="6"/>
  <c r="AZ379" i="3"/>
  <c r="AZ322" i="3"/>
  <c r="AZ372" i="3"/>
  <c r="AZ347" i="3"/>
  <c r="AZ337" i="3"/>
  <c r="AZ376" i="3"/>
  <c r="AZ309" i="3"/>
  <c r="AZ515" i="3"/>
  <c r="AZ523" i="3"/>
  <c r="AZ547" i="3"/>
  <c r="AZ569" i="3"/>
  <c r="AZ571" i="3"/>
  <c r="AZ579" i="3"/>
  <c r="AZ558" i="3"/>
  <c r="AZ574" i="3"/>
  <c r="AA14" i="34"/>
  <c r="S14" i="33"/>
  <c r="AB23" i="34"/>
  <c r="AA26" i="33"/>
  <c r="S26" i="33"/>
  <c r="AB33" i="33"/>
  <c r="U33" i="33"/>
  <c r="H12" i="35"/>
  <c r="AC28" i="35"/>
  <c r="W28" i="35"/>
  <c r="H27" i="37"/>
  <c r="J27" i="37"/>
  <c r="AZ345" i="3"/>
  <c r="AZ505" i="3"/>
  <c r="AZ525" i="3"/>
  <c r="AZ529" i="3"/>
  <c r="AZ537" i="3"/>
  <c r="AZ518" i="3"/>
  <c r="AZ526" i="3"/>
  <c r="J9" i="33"/>
  <c r="H9" i="33"/>
  <c r="F9" i="33"/>
  <c r="AA9" i="33" s="1"/>
  <c r="AB34" i="34"/>
  <c r="U34" i="34"/>
  <c r="J9" i="36"/>
  <c r="H33" i="39"/>
  <c r="F33" i="39"/>
  <c r="J33" i="39"/>
  <c r="J45" i="39"/>
  <c r="H45" i="39"/>
  <c r="S11" i="40"/>
  <c r="AA11" i="40"/>
  <c r="AZ458" i="3"/>
  <c r="AZ462" i="3"/>
  <c r="G587" i="3"/>
  <c r="G574" i="3"/>
  <c r="BL16" i="3"/>
  <c r="AZ16" i="3" s="1"/>
  <c r="G398" i="3"/>
  <c r="BL400" i="3"/>
  <c r="BL408" i="3"/>
  <c r="AZ408" i="3" s="1"/>
  <c r="BL411" i="3"/>
  <c r="BL413" i="3"/>
  <c r="AZ413" i="3" s="1"/>
  <c r="G415" i="3"/>
  <c r="BL417" i="3"/>
  <c r="AZ417" i="3" s="1"/>
  <c r="BL418" i="3"/>
  <c r="BL420" i="3"/>
  <c r="G422" i="3"/>
  <c r="BL424" i="3"/>
  <c r="G426" i="3"/>
  <c r="G427" i="3"/>
  <c r="BL428" i="3"/>
  <c r="BL429" i="3"/>
  <c r="BL432" i="3"/>
  <c r="BL435" i="3"/>
  <c r="BL436" i="3"/>
  <c r="BA439" i="3"/>
  <c r="BA440" i="3"/>
  <c r="AZ440" i="3" s="1"/>
  <c r="BA442" i="3"/>
  <c r="BA445" i="3"/>
  <c r="BA447" i="3"/>
  <c r="AZ447" i="3" s="1"/>
  <c r="BA449" i="3"/>
  <c r="BL453" i="3"/>
  <c r="BL454" i="3"/>
  <c r="BL459" i="3"/>
  <c r="G461" i="3"/>
  <c r="BA465" i="3"/>
  <c r="AZ465" i="3" s="1"/>
  <c r="BL469" i="3"/>
  <c r="BL476" i="3"/>
  <c r="AZ476" i="3" s="1"/>
  <c r="S36" i="39"/>
  <c r="U11" i="39"/>
  <c r="J46" i="39"/>
  <c r="BL585" i="3"/>
  <c r="BA551" i="3"/>
  <c r="AZ551" i="3" s="1"/>
  <c r="BA550" i="3"/>
  <c r="BL548" i="3"/>
  <c r="AZ548" i="3" s="1"/>
  <c r="AZ400" i="3"/>
  <c r="AZ402" i="3"/>
  <c r="AZ411" i="3"/>
  <c r="BL422" i="3"/>
  <c r="BL425" i="3"/>
  <c r="BL426" i="3"/>
  <c r="BA428" i="3"/>
  <c r="AZ428" i="3" s="1"/>
  <c r="BA429" i="3"/>
  <c r="AZ429" i="3" s="1"/>
  <c r="BA430" i="3"/>
  <c r="AZ430" i="3" s="1"/>
  <c r="BA432" i="3"/>
  <c r="AZ432" i="3" s="1"/>
  <c r="BA434" i="3"/>
  <c r="BA436" i="3"/>
  <c r="BA438" i="3"/>
  <c r="G442" i="3"/>
  <c r="BA446" i="3"/>
  <c r="AZ453" i="3"/>
  <c r="BL461" i="3"/>
  <c r="BL463" i="3"/>
  <c r="AZ469" i="3"/>
  <c r="BL470" i="3"/>
  <c r="G489" i="3"/>
  <c r="AZ546" i="3"/>
  <c r="AZ564" i="3"/>
  <c r="J28" i="34"/>
  <c r="J29" i="39"/>
  <c r="W29" i="39" s="1"/>
  <c r="S27" i="35"/>
  <c r="W33" i="33"/>
  <c r="H9" i="34"/>
  <c r="J23" i="36"/>
  <c r="F46" i="39"/>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AZ425" i="3"/>
  <c r="AZ435" i="3"/>
  <c r="BL448" i="3"/>
  <c r="AZ448" i="3" s="1"/>
  <c r="G451" i="3"/>
  <c r="BA454" i="3"/>
  <c r="AZ454" i="3" s="1"/>
  <c r="BA457" i="3"/>
  <c r="AZ457" i="3" s="1"/>
  <c r="BA459" i="3"/>
  <c r="AZ459" i="3" s="1"/>
  <c r="BA460" i="3"/>
  <c r="AZ460" i="3" s="1"/>
  <c r="AZ461" i="3"/>
  <c r="BL464" i="3"/>
  <c r="BL467" i="3"/>
  <c r="BL468" i="3"/>
  <c r="BL471" i="3"/>
  <c r="BL475" i="3"/>
  <c r="BA477" i="3"/>
  <c r="BA478" i="3"/>
  <c r="BL550" i="3"/>
  <c r="BA401" i="3"/>
  <c r="AZ401" i="3" s="1"/>
  <c r="BA403" i="3"/>
  <c r="AZ403" i="3" s="1"/>
  <c r="BA404" i="3"/>
  <c r="AZ404" i="3" s="1"/>
  <c r="BA405" i="3"/>
  <c r="AZ405" i="3" s="1"/>
  <c r="G409" i="3"/>
  <c r="BL410" i="3"/>
  <c r="G412" i="3"/>
  <c r="G418" i="3"/>
  <c r="G419" i="3"/>
  <c r="BA422" i="3"/>
  <c r="G430" i="3"/>
  <c r="BL431" i="3"/>
  <c r="BL434" i="3"/>
  <c r="G437" i="3"/>
  <c r="BL438" i="3"/>
  <c r="BL439" i="3"/>
  <c r="BA441" i="3"/>
  <c r="AZ441" i="3" s="1"/>
  <c r="BL445" i="3"/>
  <c r="BL446" i="3"/>
  <c r="BL449" i="3"/>
  <c r="BL450" i="3"/>
  <c r="BL452" i="3"/>
  <c r="G454" i="3"/>
  <c r="G455" i="3"/>
  <c r="BL456" i="3"/>
  <c r="BA464" i="3"/>
  <c r="BA467" i="3"/>
  <c r="BA468" i="3"/>
  <c r="BL479" i="3"/>
  <c r="G481" i="3"/>
  <c r="BA482"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L272" i="3"/>
  <c r="BL273" i="3"/>
  <c r="G274" i="3"/>
  <c r="BA276" i="3"/>
  <c r="BA278" i="3"/>
  <c r="AZ278" i="3" s="1"/>
  <c r="G281" i="3"/>
  <c r="BA282" i="3"/>
  <c r="BL282" i="3"/>
  <c r="BA288"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BL256" i="3"/>
  <c r="BA258" i="3"/>
  <c r="BL264" i="3"/>
  <c r="BL266" i="3"/>
  <c r="BA268" i="3"/>
  <c r="BA271" i="3"/>
  <c r="BL271" i="3"/>
  <c r="BA273" i="3"/>
  <c r="AZ273" i="3" s="1"/>
  <c r="BA279" i="3"/>
  <c r="BL286" i="3"/>
  <c r="AZ286" i="3" s="1"/>
  <c r="BA471" i="3"/>
  <c r="AZ471" i="3" s="1"/>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G276" i="3"/>
  <c r="BA277" i="3"/>
  <c r="BL277" i="3"/>
  <c r="BA280" i="3"/>
  <c r="AZ280" i="3" s="1"/>
  <c r="BA283" i="3"/>
  <c r="AZ283" i="3" s="1"/>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AZ27" i="3" s="1"/>
  <c r="BA28" i="3"/>
  <c r="AZ28" i="3" s="1"/>
  <c r="AZ64" i="3"/>
  <c r="BL291" i="3"/>
  <c r="AZ291" i="3" s="1"/>
  <c r="BL293" i="3"/>
  <c r="BL294" i="3"/>
  <c r="BA297" i="3"/>
  <c r="AZ297" i="3" s="1"/>
  <c r="BL297" i="3"/>
  <c r="BL300" i="3"/>
  <c r="BA302" i="3"/>
  <c r="G115" i="3"/>
  <c r="BA117" i="3"/>
  <c r="BA130" i="3"/>
  <c r="BL130" i="3"/>
  <c r="BA137" i="3"/>
  <c r="BL138" i="3"/>
  <c r="BA140" i="3"/>
  <c r="AZ140" i="3" s="1"/>
  <c r="BA142" i="3"/>
  <c r="BL149" i="3"/>
  <c r="AZ149" i="3" s="1"/>
  <c r="BL150" i="3"/>
  <c r="G151" i="3"/>
  <c r="BA152" i="3"/>
  <c r="AZ152" i="3" s="1"/>
  <c r="BA154" i="3"/>
  <c r="AZ154" i="3" s="1"/>
  <c r="G27" i="3"/>
  <c r="BA27" i="3"/>
  <c r="BL30" i="3"/>
  <c r="BL31" i="3"/>
  <c r="AZ31" i="3" s="1"/>
  <c r="G37" i="3"/>
  <c r="BL40" i="3"/>
  <c r="BL41" i="3"/>
  <c r="AZ41" i="3" s="1"/>
  <c r="BL45" i="3"/>
  <c r="BA48" i="3"/>
  <c r="BA49" i="3"/>
  <c r="BA51" i="3"/>
  <c r="G55" i="3"/>
  <c r="BL56" i="3"/>
  <c r="BA58" i="3"/>
  <c r="BL59" i="3"/>
  <c r="AZ59" i="3" s="1"/>
  <c r="BL60" i="3"/>
  <c r="BA61" i="3"/>
  <c r="AZ61" i="3" s="1"/>
  <c r="BA75" i="3"/>
  <c r="BA84" i="3"/>
  <c r="AZ84" i="3" s="1"/>
  <c r="BA89" i="3"/>
  <c r="BA98" i="3"/>
  <c r="BL103" i="3"/>
  <c r="B13" i="1"/>
  <c r="E13" i="1" s="1"/>
  <c r="K13" i="1"/>
  <c r="M13" i="1" s="1"/>
  <c r="O13" i="1" s="1"/>
  <c r="P13" i="1" s="1"/>
  <c r="T40" i="71"/>
  <c r="D40" i="71"/>
  <c r="V24" i="71"/>
  <c r="E23" i="71"/>
  <c r="E22" i="71" s="1"/>
  <c r="E21" i="71" s="1"/>
  <c r="E20" i="71" s="1"/>
  <c r="BL157" i="3"/>
  <c r="AZ157" i="3" s="1"/>
  <c r="BL159" i="3"/>
  <c r="AZ159" i="3" s="1"/>
  <c r="BL177" i="3"/>
  <c r="AZ177" i="3" s="1"/>
  <c r="BL183" i="3"/>
  <c r="AZ183" i="3" s="1"/>
  <c r="BA186" i="3"/>
  <c r="AZ186" i="3" s="1"/>
  <c r="BA190" i="3"/>
  <c r="AZ190" i="3" s="1"/>
  <c r="BA197" i="3"/>
  <c r="AZ197" i="3" s="1"/>
  <c r="BL201" i="3"/>
  <c r="AZ201" i="3" s="1"/>
  <c r="BL203" i="3"/>
  <c r="AZ203" i="3" s="1"/>
  <c r="BA204" i="3"/>
  <c r="AZ204" i="3" s="1"/>
  <c r="BL21" i="3"/>
  <c r="G23" i="3"/>
  <c r="G29" i="3"/>
  <c r="BL29" i="3"/>
  <c r="G33" i="3"/>
  <c r="G34" i="3"/>
  <c r="BA37" i="3"/>
  <c r="G39" i="3"/>
  <c r="BL39" i="3"/>
  <c r="G43" i="3"/>
  <c r="G44" i="3"/>
  <c r="BA45" i="3"/>
  <c r="BA46" i="3"/>
  <c r="BL49" i="3"/>
  <c r="BL50" i="3"/>
  <c r="AZ50" i="3" s="1"/>
  <c r="BL51" i="3"/>
  <c r="G53" i="3"/>
  <c r="BL53" i="3"/>
  <c r="BA56" i="3"/>
  <c r="BA57" i="3"/>
  <c r="BL58" i="3"/>
  <c r="G60" i="3"/>
  <c r="BA60" i="3"/>
  <c r="BA63" i="3"/>
  <c r="BA66" i="3"/>
  <c r="AZ66" i="3" s="1"/>
  <c r="G71" i="3"/>
  <c r="BA73" i="3"/>
  <c r="BL77" i="3"/>
  <c r="AZ77" i="3" s="1"/>
  <c r="BA79" i="3"/>
  <c r="AZ79" i="3" s="1"/>
  <c r="BA87" i="3"/>
  <c r="BA109" i="3"/>
  <c r="P65" i="71"/>
  <c r="P66" i="71"/>
  <c r="C32" i="71"/>
  <c r="D31" i="71"/>
  <c r="D46" i="71"/>
  <c r="C47" i="71"/>
  <c r="D47" i="71" s="1"/>
  <c r="C52" i="71"/>
  <c r="D51" i="71"/>
  <c r="BL284" i="3"/>
  <c r="AZ284" i="3" s="1"/>
  <c r="G288" i="3"/>
  <c r="BL292" i="3"/>
  <c r="BA294" i="3"/>
  <c r="AZ294" i="3" s="1"/>
  <c r="BL295" i="3"/>
  <c r="BA298" i="3"/>
  <c r="AZ298" i="3" s="1"/>
  <c r="BL301" i="3"/>
  <c r="AZ301" i="3" s="1"/>
  <c r="BL302" i="3"/>
  <c r="BA114" i="3"/>
  <c r="BL123" i="3"/>
  <c r="AZ123" i="3" s="1"/>
  <c r="BA128" i="3"/>
  <c r="AZ128" i="3" s="1"/>
  <c r="BL134" i="3"/>
  <c r="BL137" i="3"/>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AZ25" i="3" s="1"/>
  <c r="BA26" i="3"/>
  <c r="BA29" i="3"/>
  <c r="AZ29" i="3" s="1"/>
  <c r="BA36" i="3"/>
  <c r="BL38" i="3"/>
  <c r="AZ38" i="3" s="1"/>
  <c r="BA39" i="3"/>
  <c r="BL47" i="3"/>
  <c r="AZ47" i="3" s="1"/>
  <c r="G49" i="3"/>
  <c r="BA52" i="3"/>
  <c r="AZ52" i="3" s="1"/>
  <c r="BA53" i="3"/>
  <c r="AZ53" i="3" s="1"/>
  <c r="BA54" i="3"/>
  <c r="BL57" i="3"/>
  <c r="G62" i="3"/>
  <c r="BL62" i="3"/>
  <c r="AZ62" i="3" s="1"/>
  <c r="BL63" i="3"/>
  <c r="G65" i="3"/>
  <c r="BL65" i="3"/>
  <c r="AZ65" i="3" s="1"/>
  <c r="BL66" i="3"/>
  <c r="G68" i="3"/>
  <c r="BL68" i="3"/>
  <c r="BA69" i="3"/>
  <c r="AZ69" i="3" s="1"/>
  <c r="G80" i="3"/>
  <c r="G85" i="3"/>
  <c r="BL85" i="3"/>
  <c r="BA86" i="3"/>
  <c r="AZ86" i="3" s="1"/>
  <c r="BA92" i="3"/>
  <c r="BL96" i="3"/>
  <c r="AZ103" i="3"/>
  <c r="G106" i="3"/>
  <c r="C55" i="71"/>
  <c r="D54" i="71"/>
  <c r="C64" i="71"/>
  <c r="D63" i="71"/>
  <c r="AB21" i="33"/>
  <c r="B68" i="43"/>
  <c r="B88" i="43"/>
  <c r="D39" i="71"/>
  <c r="C74" i="71"/>
  <c r="D74" i="71" s="1"/>
  <c r="AA3" i="71"/>
  <c r="C27" i="71"/>
  <c r="D62" i="71"/>
  <c r="U68" i="71"/>
  <c r="D30" i="71"/>
  <c r="Y27" i="71"/>
  <c r="Z27" i="71" s="1"/>
  <c r="AA34" i="71"/>
  <c r="AB35" i="71"/>
  <c r="B51" i="71"/>
  <c r="B52" i="71" s="1"/>
  <c r="S52" i="71" s="1"/>
  <c r="B71" i="71"/>
  <c r="B70" i="71" s="1"/>
  <c r="BL88" i="3"/>
  <c r="AZ88" i="3" s="1"/>
  <c r="BL90" i="3"/>
  <c r="BL92" i="3"/>
  <c r="G101" i="3"/>
  <c r="BA101" i="3"/>
  <c r="G109" i="3"/>
  <c r="BL112" i="3"/>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67" i="3"/>
  <c r="AZ67" i="3" s="1"/>
  <c r="G69" i="3"/>
  <c r="G70" i="3"/>
  <c r="BL70" i="3"/>
  <c r="AZ70" i="3" s="1"/>
  <c r="BL71" i="3"/>
  <c r="AZ71" i="3" s="1"/>
  <c r="BL72" i="3"/>
  <c r="AZ72" i="3" s="1"/>
  <c r="G74" i="3"/>
  <c r="G75" i="3"/>
  <c r="BL75" i="3"/>
  <c r="G79" i="3"/>
  <c r="BL81" i="3"/>
  <c r="BA82" i="3"/>
  <c r="AZ82" i="3" s="1"/>
  <c r="BL83" i="3"/>
  <c r="G86" i="3"/>
  <c r="G87" i="3"/>
  <c r="G88" i="3"/>
  <c r="BA90" i="3"/>
  <c r="BL94" i="3"/>
  <c r="AZ94" i="3" s="1"/>
  <c r="BA100" i="3"/>
  <c r="AZ100" i="3" s="1"/>
  <c r="BA102" i="3"/>
  <c r="BL105" i="3"/>
  <c r="AZ105" i="3" s="1"/>
  <c r="G107" i="3"/>
  <c r="BL107" i="3"/>
  <c r="BA111" i="3"/>
  <c r="AZ111" i="3" s="1"/>
  <c r="S18" i="36"/>
  <c r="B77" i="43"/>
  <c r="AA18" i="35"/>
  <c r="O66" i="71"/>
  <c r="AA28" i="71"/>
  <c r="AB27" i="71"/>
  <c r="C87" i="71"/>
  <c r="AB25" i="71"/>
  <c r="C43" i="71"/>
  <c r="C35" i="71"/>
  <c r="X33" i="71"/>
  <c r="AB37" i="71"/>
  <c r="G96" i="3"/>
  <c r="BL97" i="3"/>
  <c r="AZ97" i="3" s="1"/>
  <c r="BL101" i="3"/>
  <c r="BL102" i="3"/>
  <c r="G104" i="3"/>
  <c r="BL106" i="3"/>
  <c r="BA108" i="3"/>
  <c r="AZ108" i="3" s="1"/>
  <c r="BA110" i="3"/>
  <c r="AZ110" i="3" s="1"/>
  <c r="X28" i="71"/>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F84" i="15"/>
  <c r="F66" i="67"/>
  <c r="N68" i="15"/>
  <c r="M68" i="15"/>
  <c r="L68" i="15" s="1"/>
  <c r="F78" i="15"/>
  <c r="Q71" i="67"/>
  <c r="F75" i="15"/>
  <c r="C27" i="67"/>
  <c r="F71" i="67"/>
  <c r="C49" i="15"/>
  <c r="F77" i="15"/>
  <c r="N59" i="67"/>
  <c r="L59" i="67"/>
  <c r="M59" i="67"/>
  <c r="B13" i="70"/>
  <c r="M7" i="67"/>
  <c r="J6" i="67" s="1"/>
  <c r="F50" i="67"/>
  <c r="F68" i="67"/>
  <c r="F64" i="67"/>
  <c r="F80" i="15"/>
  <c r="D9" i="69"/>
  <c r="D15" i="80"/>
  <c r="D21" i="12"/>
  <c r="D15" i="68"/>
  <c r="F28" i="81"/>
  <c r="F22" i="81"/>
  <c r="M24" i="81"/>
  <c r="F26" i="81"/>
  <c r="C38" i="15"/>
  <c r="M28" i="81"/>
  <c r="F48" i="81"/>
  <c r="D4" i="73"/>
  <c r="C88" i="81"/>
  <c r="M6" i="81"/>
  <c r="F38" i="81"/>
  <c r="M31" i="81"/>
  <c r="D7" i="73"/>
  <c r="L57" i="81"/>
  <c r="F30" i="81"/>
  <c r="M22" i="81"/>
  <c r="C71" i="81"/>
  <c r="F52" i="81"/>
  <c r="D3" i="73"/>
  <c r="M26" i="81"/>
  <c r="M36" i="81"/>
  <c r="D5" i="73"/>
  <c r="F24" i="81"/>
  <c r="F7" i="81"/>
  <c r="M30" i="81"/>
  <c r="F6" i="81"/>
  <c r="L48" i="67"/>
  <c r="L56" i="81"/>
  <c r="L57" i="15"/>
  <c r="M9" i="81"/>
  <c r="F8" i="81"/>
  <c r="F32" i="81"/>
  <c r="F9" i="81"/>
  <c r="M8" i="81"/>
  <c r="C16" i="67"/>
  <c r="S15" i="34" l="1"/>
  <c r="AB15" i="34"/>
  <c r="U15" i="34"/>
  <c r="W15" i="34"/>
  <c r="AC15" i="34"/>
  <c r="U19" i="34"/>
  <c r="AA19" i="34"/>
  <c r="S19" i="34"/>
  <c r="W45" i="34"/>
  <c r="AC45" i="34"/>
  <c r="W9" i="34"/>
  <c r="M11" i="90"/>
  <c r="J10" i="90" s="1"/>
  <c r="J5" i="90" s="1"/>
  <c r="F11" i="90"/>
  <c r="M11" i="89"/>
  <c r="J10" i="89" s="1"/>
  <c r="J5" i="89" s="1"/>
  <c r="F11" i="89"/>
  <c r="E13" i="6"/>
  <c r="H16" i="1"/>
  <c r="Q16" i="1"/>
  <c r="F27" i="69" s="1"/>
  <c r="C47" i="69" s="1"/>
  <c r="D45" i="69" s="1"/>
  <c r="E12" i="6"/>
  <c r="E59" i="40" s="1"/>
  <c r="D20" i="53"/>
  <c r="B40" i="72" s="1"/>
  <c r="C44" i="71"/>
  <c r="D43" i="71"/>
  <c r="C56" i="71"/>
  <c r="D55" i="71"/>
  <c r="AZ39" i="3"/>
  <c r="AZ75" i="3"/>
  <c r="AZ58" i="3"/>
  <c r="AZ49" i="3"/>
  <c r="AZ5" i="3" s="1"/>
  <c r="AZ130" i="3"/>
  <c r="AZ20" i="3"/>
  <c r="AZ244" i="3"/>
  <c r="AZ239" i="3"/>
  <c r="AZ397" i="3"/>
  <c r="U45" i="39"/>
  <c r="AB45" i="39"/>
  <c r="AB33" i="39"/>
  <c r="U33" i="39"/>
  <c r="W12" i="35"/>
  <c r="AC12" i="35"/>
  <c r="AB32" i="36"/>
  <c r="U32" i="36"/>
  <c r="AZ102" i="3"/>
  <c r="AZ101" i="3"/>
  <c r="T52" i="71"/>
  <c r="D52" i="71"/>
  <c r="T32" i="71"/>
  <c r="D32" i="71"/>
  <c r="AZ277" i="3"/>
  <c r="AZ368" i="3"/>
  <c r="AZ353" i="3"/>
  <c r="AZ271" i="3"/>
  <c r="AZ464" i="3"/>
  <c r="AZ422" i="3"/>
  <c r="AA46" i="39"/>
  <c r="S46" i="39"/>
  <c r="AC46" i="39"/>
  <c r="W46" i="39"/>
  <c r="W45" i="39"/>
  <c r="AC45" i="39"/>
  <c r="AC9" i="36"/>
  <c r="W9" i="36"/>
  <c r="AB9" i="33"/>
  <c r="U9" i="33"/>
  <c r="AC27" i="37"/>
  <c r="W27" i="37"/>
  <c r="U12" i="35"/>
  <c r="AB12" i="35"/>
  <c r="AB38" i="39"/>
  <c r="U38" i="39"/>
  <c r="S29" i="33"/>
  <c r="AA29" i="33"/>
  <c r="AA32" i="36"/>
  <c r="S32" i="36"/>
  <c r="G5" i="3"/>
  <c r="B3" i="3" s="1"/>
  <c r="AT6" i="3" s="1"/>
  <c r="C86" i="71"/>
  <c r="D86" i="71" s="1"/>
  <c r="D87" i="71"/>
  <c r="B27" i="71"/>
  <c r="B26" i="71" s="1"/>
  <c r="S28" i="71"/>
  <c r="C26" i="71"/>
  <c r="D26" i="71" s="1"/>
  <c r="D27" i="71"/>
  <c r="AZ137" i="3"/>
  <c r="AZ178" i="3"/>
  <c r="AC23" i="36"/>
  <c r="W23" i="36"/>
  <c r="AZ550" i="3"/>
  <c r="W33" i="39"/>
  <c r="AC33" i="39"/>
  <c r="AC9" i="33"/>
  <c r="W9" i="33"/>
  <c r="U27" i="37"/>
  <c r="AB27" i="37"/>
  <c r="AB45" i="33"/>
  <c r="U45" i="33"/>
  <c r="U13" i="36"/>
  <c r="AB13" i="36"/>
  <c r="U23" i="35"/>
  <c r="AB23" i="35"/>
  <c r="C36" i="71"/>
  <c r="D35" i="71"/>
  <c r="AZ63" i="3"/>
  <c r="AZ57" i="3"/>
  <c r="AZ45" i="3"/>
  <c r="AZ51" i="3"/>
  <c r="AZ302" i="3"/>
  <c r="AZ256" i="3"/>
  <c r="AZ282" i="3"/>
  <c r="AB9" i="34"/>
  <c r="U9" i="34"/>
  <c r="W28" i="34"/>
  <c r="AC28" i="34"/>
  <c r="AA33" i="39"/>
  <c r="S33" i="39"/>
  <c r="AA45" i="33"/>
  <c r="S45" i="33"/>
  <c r="S13" i="36"/>
  <c r="AA13" i="36"/>
  <c r="AC23" i="35"/>
  <c r="W23" i="35"/>
  <c r="AZ585" i="3"/>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Q82" i="81"/>
  <c r="F75" i="81"/>
  <c r="F60" i="8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S7" i="36"/>
  <c r="W7" i="37"/>
  <c r="F7" i="33"/>
  <c r="E58" i="21"/>
  <c r="AC7" i="36"/>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C18" i="12"/>
  <c r="F27" i="68"/>
  <c r="C19" i="81"/>
  <c r="C19" i="15"/>
  <c r="G1" i="73"/>
  <c r="AE9" i="1"/>
  <c r="C38" i="81"/>
  <c r="C62" i="90" l="1"/>
  <c r="C57" i="90" s="1"/>
  <c r="C10" i="90"/>
  <c r="C5" i="90" s="1"/>
  <c r="J28" i="90"/>
  <c r="J26" i="90"/>
  <c r="C62" i="89"/>
  <c r="C57" i="89" s="1"/>
  <c r="C10" i="89"/>
  <c r="C5" i="89" s="1"/>
  <c r="J28" i="89"/>
  <c r="J26" i="89"/>
  <c r="F27" i="80"/>
  <c r="F52" i="80" s="1"/>
  <c r="F33" i="12"/>
  <c r="C34" i="12" s="1"/>
  <c r="F30" i="83"/>
  <c r="F45" i="69"/>
  <c r="C29" i="69"/>
  <c r="D27" i="69" s="1"/>
  <c r="E27" i="6"/>
  <c r="K26" i="6" s="1"/>
  <c r="M26" i="6" s="1"/>
  <c r="I26" i="6" s="1"/>
  <c r="S26" i="6" s="1"/>
  <c r="AY6" i="3"/>
  <c r="G16" i="1"/>
  <c r="H12" i="40" s="1"/>
  <c r="AB12" i="40" s="1"/>
  <c r="D56" i="71"/>
  <c r="T56" i="71"/>
  <c r="U7" i="36"/>
  <c r="E30" i="6"/>
  <c r="D36" i="71"/>
  <c r="T36" i="71"/>
  <c r="E16" i="6"/>
  <c r="R36" i="36"/>
  <c r="V36" i="36"/>
  <c r="I36" i="36" s="1"/>
  <c r="T44" i="71"/>
  <c r="D44" i="71"/>
  <c r="Q61" i="15"/>
  <c r="F1" i="15"/>
  <c r="J9" i="81"/>
  <c r="C10" i="15"/>
  <c r="C5" i="15" s="1"/>
  <c r="C62" i="15"/>
  <c r="C54" i="80"/>
  <c r="Q84" i="15"/>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Q61" i="81"/>
  <c r="F1" i="81"/>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6" i="1"/>
  <c r="F29" i="15"/>
  <c r="M29" i="15"/>
  <c r="AE8" i="1"/>
  <c r="F29" i="81" s="1"/>
  <c r="M29" i="81"/>
  <c r="F41" i="67"/>
  <c r="M27" i="67"/>
  <c r="AE7" i="1"/>
  <c r="R50" i="34" l="1"/>
  <c r="I53" i="34"/>
  <c r="J53" i="34" s="1"/>
  <c r="C26" i="90"/>
  <c r="F46" i="89"/>
  <c r="C46" i="89" s="1"/>
  <c r="F46" i="90"/>
  <c r="C78" i="90"/>
  <c r="C29" i="80"/>
  <c r="C26" i="89"/>
  <c r="C78" i="89"/>
  <c r="F12" i="40"/>
  <c r="S12" i="40" s="1"/>
  <c r="J12" i="39"/>
  <c r="W12" i="39" s="1"/>
  <c r="H12" i="39"/>
  <c r="U12" i="39" s="1"/>
  <c r="F12" i="39"/>
  <c r="AA12" i="39" s="1"/>
  <c r="J12" i="40"/>
  <c r="AC12" i="40" s="1"/>
  <c r="J6" i="81"/>
  <c r="J16" i="81" s="1"/>
  <c r="C57" i="15"/>
  <c r="C26"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F29" i="90"/>
  <c r="F29" i="89"/>
  <c r="C36" i="81"/>
  <c r="C39" i="15"/>
  <c r="C17" i="67"/>
  <c r="C39" i="81"/>
  <c r="C14" i="67"/>
  <c r="J31" i="89" l="1"/>
  <c r="J32" i="89" s="1"/>
  <c r="F81" i="89"/>
  <c r="F81" i="90"/>
  <c r="J31" i="90"/>
  <c r="J32" i="90" s="1"/>
  <c r="C45" i="89"/>
  <c r="C44" i="89" s="1"/>
  <c r="C46" i="90"/>
  <c r="C45" i="90"/>
  <c r="D17" i="80"/>
  <c r="C17" i="80" s="1"/>
  <c r="AA12" i="40"/>
  <c r="S12" i="39"/>
  <c r="D2" i="34"/>
  <c r="B2" i="34" s="1"/>
  <c r="W12" i="40"/>
  <c r="E54" i="34"/>
  <c r="F54" i="34" s="1"/>
  <c r="J5" i="81"/>
  <c r="J26" i="81" s="1"/>
  <c r="D24" i="12"/>
  <c r="C24" i="12" s="1"/>
  <c r="C56" i="12" s="1"/>
  <c r="F10" i="80"/>
  <c r="C12" i="80" s="1"/>
  <c r="C43" i="80"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F21" i="90"/>
  <c r="E6" i="76"/>
  <c r="M21" i="90"/>
  <c r="C36" i="15"/>
  <c r="B6" i="76"/>
  <c r="D18" i="80" l="1"/>
  <c r="C51" i="89"/>
  <c r="F74" i="89" s="1"/>
  <c r="C74" i="89" s="1"/>
  <c r="F73" i="90"/>
  <c r="C72" i="90" s="1"/>
  <c r="C20" i="90"/>
  <c r="J20" i="90"/>
  <c r="C44" i="90"/>
  <c r="C51" i="90"/>
  <c r="C18" i="80"/>
  <c r="C44" i="80" s="1"/>
  <c r="C40" i="80" s="1"/>
  <c r="C47" i="80" s="1"/>
  <c r="C53" i="80" s="1"/>
  <c r="C52" i="80" s="1"/>
  <c r="D31" i="6"/>
  <c r="C37" i="15"/>
  <c r="C43" i="68"/>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22" i="89" l="1"/>
  <c r="J68" i="89"/>
  <c r="J69" i="89" s="1"/>
  <c r="Q57" i="89" s="1"/>
  <c r="C52" i="89"/>
  <c r="Q81" i="89" s="1"/>
  <c r="Q58" i="89"/>
  <c r="J35" i="89"/>
  <c r="J22" i="89" s="1"/>
  <c r="J19" i="89"/>
  <c r="C13" i="80"/>
  <c r="C9" i="80" s="1"/>
  <c r="C21" i="80" s="1"/>
  <c r="C28" i="80" s="1"/>
  <c r="C27" i="80" s="1"/>
  <c r="F23" i="89"/>
  <c r="F74" i="90"/>
  <c r="C74" i="90" s="1"/>
  <c r="F23" i="90"/>
  <c r="C22" i="90"/>
  <c r="J19" i="90"/>
  <c r="J35" i="90"/>
  <c r="Q58" i="90"/>
  <c r="C52" i="90"/>
  <c r="Q81" i="90" s="1"/>
  <c r="J68" i="90"/>
  <c r="J69" i="90" s="1"/>
  <c r="J36" i="89"/>
  <c r="J37" i="89"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L55" i="89" l="1"/>
  <c r="C53" i="89"/>
  <c r="F76" i="89" s="1"/>
  <c r="C76" i="89" s="1"/>
  <c r="C69" i="89" s="1"/>
  <c r="C70" i="89" s="1"/>
  <c r="C67" i="89" s="1"/>
  <c r="C25" i="80"/>
  <c r="C23" i="80" s="1"/>
  <c r="M23" i="89"/>
  <c r="J36" i="90"/>
  <c r="J37" i="90" s="1"/>
  <c r="J22" i="90"/>
  <c r="M23" i="90"/>
  <c r="C53" i="90"/>
  <c r="Q57" i="90"/>
  <c r="L55" i="90"/>
  <c r="J24" i="89"/>
  <c r="J17" i="89" s="1"/>
  <c r="J18" i="89" s="1"/>
  <c r="J15" i="89" s="1"/>
  <c r="M25" i="89"/>
  <c r="C24" i="89"/>
  <c r="C17" i="89" s="1"/>
  <c r="C18" i="89" s="1"/>
  <c r="C15" i="89"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F35" i="67"/>
  <c r="F21" i="81"/>
  <c r="M21" i="67"/>
  <c r="M21" i="81"/>
  <c r="M21" i="89"/>
  <c r="M21" i="15"/>
  <c r="F21" i="89"/>
  <c r="C87" i="89" l="1"/>
  <c r="F25" i="89"/>
  <c r="C5" i="80"/>
  <c r="C32" i="80" s="1"/>
  <c r="C33" i="80" s="1"/>
  <c r="D3" i="80" s="1"/>
  <c r="B2" i="80" s="1"/>
  <c r="J24" i="90"/>
  <c r="J17" i="90" s="1"/>
  <c r="J18" i="90" s="1"/>
  <c r="J15" i="90" s="1"/>
  <c r="J14" i="90" s="1"/>
  <c r="J13" i="90" s="1"/>
  <c r="J27" i="90" s="1"/>
  <c r="M25" i="90"/>
  <c r="C87" i="90"/>
  <c r="F25" i="90"/>
  <c r="C24" i="90"/>
  <c r="C17" i="90" s="1"/>
  <c r="C18" i="90" s="1"/>
  <c r="C15" i="90" s="1"/>
  <c r="C14" i="90" s="1"/>
  <c r="C13" i="90" s="1"/>
  <c r="C27" i="90" s="1"/>
  <c r="F76" i="90"/>
  <c r="C76" i="90" s="1"/>
  <c r="C69" i="90" s="1"/>
  <c r="C70" i="90" s="1"/>
  <c r="C67" i="90" s="1"/>
  <c r="C66" i="90" s="1"/>
  <c r="C65" i="90" s="1"/>
  <c r="C79" i="90" s="1"/>
  <c r="C80" i="90" s="1"/>
  <c r="C83" i="90" s="1"/>
  <c r="F73" i="89"/>
  <c r="C72" i="89" s="1"/>
  <c r="C66" i="89" s="1"/>
  <c r="C65" i="89" s="1"/>
  <c r="C79" i="89" s="1"/>
  <c r="C80" i="89" s="1"/>
  <c r="C83" i="89" s="1"/>
  <c r="C20" i="89"/>
  <c r="C14" i="89" s="1"/>
  <c r="C13" i="89" s="1"/>
  <c r="C27" i="89" s="1"/>
  <c r="J20" i="89"/>
  <c r="J14" i="89" s="1"/>
  <c r="J13" i="89" s="1"/>
  <c r="J27" i="89"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D2" i="21" s="1"/>
  <c r="B2" i="21" s="1"/>
  <c r="C48" i="21"/>
  <c r="E53" i="21"/>
  <c r="F53" i="21" s="1"/>
  <c r="G42" i="35"/>
  <c r="H42" i="35" s="1"/>
  <c r="K67" i="40"/>
  <c r="L65" i="40"/>
  <c r="C84" i="90" l="1"/>
  <c r="F33" i="90"/>
  <c r="Q80" i="90"/>
  <c r="Q79" i="90" s="1"/>
  <c r="C28" i="90"/>
  <c r="C92" i="90"/>
  <c r="C91" i="90" s="1"/>
  <c r="F33" i="89"/>
  <c r="Q80" i="89"/>
  <c r="Q79" i="89" s="1"/>
  <c r="C28" i="89"/>
  <c r="C84" i="89"/>
  <c r="C92" i="89"/>
  <c r="C91" i="89" s="1"/>
  <c r="B3" i="80"/>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L60" i="90"/>
  <c r="L60" i="89"/>
  <c r="Q77" i="90" l="1"/>
  <c r="Q65" i="90"/>
  <c r="Q71" i="90" s="1"/>
  <c r="Q74" i="90"/>
  <c r="Q86" i="90" s="1"/>
  <c r="Q56" i="90"/>
  <c r="Q62" i="90" s="1"/>
  <c r="C31" i="90"/>
  <c r="B2" i="90"/>
  <c r="B3" i="90" s="1"/>
  <c r="C95" i="90"/>
  <c r="C94" i="90" s="1"/>
  <c r="Q77" i="89"/>
  <c r="Q56" i="89"/>
  <c r="Q62" i="89" s="1"/>
  <c r="C31" i="89"/>
  <c r="B2" i="89"/>
  <c r="B3" i="89" s="1"/>
  <c r="Q74" i="89"/>
  <c r="Q86" i="89" s="1"/>
  <c r="Q65" i="89"/>
  <c r="Q71" i="89" s="1"/>
  <c r="C95" i="89"/>
  <c r="C94" i="89" s="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F9" i="39" s="1"/>
  <c r="N71" i="39"/>
  <c r="C39" i="35"/>
  <c r="C38" i="35"/>
  <c r="N65" i="40"/>
  <c r="M67" i="40"/>
  <c r="E43" i="35"/>
  <c r="F43" i="35" s="1"/>
  <c r="E42" i="35"/>
  <c r="F42" i="35" s="1"/>
  <c r="I43" i="35"/>
  <c r="J43" i="35" s="1"/>
  <c r="C19" i="9"/>
  <c r="F2" i="33"/>
  <c r="L51" i="67"/>
  <c r="C32" i="90" l="1"/>
  <c r="C55" i="90"/>
  <c r="C32" i="89"/>
  <c r="C55" i="89"/>
  <c r="C67" i="8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4"/>
  <c r="F2" i="36"/>
  <c r="L60" i="81"/>
  <c r="F2" i="35"/>
  <c r="Q77" i="81" l="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C20" i="9"/>
  <c r="AO11" i="1"/>
  <c r="C103" i="9" l="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J32" i="15" l="1"/>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L60" i="15"/>
  <c r="Q77" i="15" l="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B3" i="40" l="1"/>
  <c r="B4" i="40"/>
  <c r="B5" i="40"/>
  <c r="C95" i="15"/>
  <c r="C94" i="15" s="1"/>
  <c r="AO8" i="1"/>
  <c r="AO6" i="1"/>
  <c r="AO9" i="1"/>
  <c r="B9" i="70" l="1"/>
  <c r="B8" i="70"/>
  <c r="B6" i="70"/>
  <c r="B3" i="15"/>
  <c r="B2" i="70" l="1"/>
  <c r="D19" i="9"/>
  <c r="D102" i="9" l="1"/>
  <c r="I19" i="9"/>
  <c r="D22" i="9"/>
  <c r="G19" i="9"/>
  <c r="B3" i="70"/>
  <c r="D35" i="9"/>
  <c r="D34" i="9"/>
  <c r="D20" i="9"/>
  <c r="G22" i="9" l="1"/>
  <c r="D103" i="9"/>
  <c r="G20" i="9"/>
  <c r="C32" i="9" s="1"/>
  <c r="N119" i="9" l="1"/>
  <c r="H118" i="9" s="1"/>
  <c r="C35" i="9"/>
  <c r="C34" i="9" s="1"/>
  <c r="N117" i="9"/>
  <c r="I118" i="9" s="1"/>
  <c r="L119" i="9" l="1"/>
  <c r="L117" i="9"/>
  <c r="I4" i="52"/>
  <c r="C105" i="9"/>
  <c r="H102" i="9"/>
  <c r="D7" i="53" s="1"/>
  <c r="B21" i="72" s="1"/>
  <c r="M119" i="9"/>
  <c r="M117" i="9"/>
  <c r="H119" i="9"/>
  <c r="H5" i="52" s="1"/>
  <c r="H101" i="9"/>
  <c r="D14" i="74" s="1"/>
  <c r="G14" i="74" s="1"/>
  <c r="B6" i="74" s="1"/>
  <c r="H4" i="52"/>
  <c r="C104" i="9"/>
  <c r="D6" i="74" l="1"/>
  <c r="C6" i="74"/>
  <c r="E14" i="74"/>
  <c r="F14" i="74"/>
  <c r="B5" i="74"/>
  <c r="D118" i="9"/>
  <c r="F118" i="9"/>
  <c r="G118" i="9" s="1"/>
  <c r="G4" i="52" s="1"/>
  <c r="B52" i="72" s="1"/>
  <c r="D5" i="53"/>
  <c r="M48" i="9"/>
  <c r="H107" i="9"/>
  <c r="D45" i="9"/>
  <c r="D5" i="74" l="1"/>
  <c r="C5" i="74"/>
  <c r="D119" i="9"/>
  <c r="D5" i="52" s="1"/>
  <c r="B49" i="72" s="1"/>
  <c r="D4" i="52"/>
  <c r="B47" i="72" s="1"/>
  <c r="E118" i="9"/>
  <c r="E4" i="52" s="1"/>
  <c r="B48" i="72" s="1"/>
  <c r="F4" i="52"/>
  <c r="B51" i="72" s="1"/>
  <c r="F119" i="9"/>
  <c r="F5" i="52" s="1"/>
  <c r="B53" i="72" s="1"/>
  <c r="D56" i="9"/>
  <c r="D52" i="9"/>
  <c r="C64" i="9"/>
  <c r="C63" i="9" s="1"/>
  <c r="C67" i="9" s="1"/>
  <c r="H65" i="9"/>
  <c r="H64" i="9" s="1"/>
  <c r="H63" i="9" s="1"/>
  <c r="C85" i="9"/>
  <c r="C72" i="9"/>
  <c r="D55" i="9"/>
  <c r="M53" i="9" s="1"/>
  <c r="H122" i="9"/>
  <c r="M49" i="9"/>
  <c r="H108" i="9"/>
  <c r="D15" i="53" s="1"/>
  <c r="B31" i="72" s="1"/>
  <c r="D13" i="53"/>
  <c r="D6" i="53"/>
  <c r="B22" i="72" s="1"/>
  <c r="B20" i="72"/>
  <c r="I4" i="84"/>
  <c r="I5" i="84"/>
  <c r="I8" i="84"/>
  <c r="I9" i="84"/>
  <c r="I10" i="84"/>
  <c r="I17" i="84"/>
  <c r="M8" i="84"/>
  <c r="M9" i="84" s="1"/>
  <c r="H123" i="9" l="1"/>
  <c r="D9" i="52" s="1"/>
  <c r="D8" i="52"/>
  <c r="D53" i="9"/>
  <c r="D54" i="9"/>
  <c r="C68" i="9"/>
  <c r="D59" i="9"/>
  <c r="M55" i="9" s="1"/>
  <c r="C78" i="9"/>
  <c r="C73" i="9" s="1"/>
  <c r="C79" i="9" s="1"/>
  <c r="D14" i="53"/>
  <c r="B32" i="72" s="1"/>
  <c r="B30" i="72"/>
  <c r="L63" i="9"/>
  <c r="M63" i="9" s="1"/>
  <c r="L67" i="9"/>
  <c r="M67" i="9" s="1"/>
  <c r="L68" i="9"/>
  <c r="M68" i="9" s="1"/>
  <c r="L66" i="9"/>
  <c r="M66" i="9" s="1"/>
  <c r="L64" i="9"/>
  <c r="M64" i="9" s="1"/>
  <c r="L65" i="9"/>
  <c r="M65" i="9" s="1"/>
  <c r="C93" i="9"/>
  <c r="C86" i="9" s="1"/>
  <c r="C95" i="9" s="1"/>
  <c r="M17" i="84"/>
  <c r="M69" i="9" l="1"/>
  <c r="N69" i="9" s="1"/>
  <c r="C96" i="9"/>
  <c r="E96" i="9" s="1"/>
  <c r="E97" i="9" s="1"/>
  <c r="C80" i="9"/>
  <c r="E80" i="9" s="1"/>
  <c r="E81" i="9" s="1"/>
  <c r="C97" i="9" l="1"/>
  <c r="D58" i="9" s="1"/>
  <c r="M54" i="9" s="1"/>
  <c r="N57" i="9" s="1"/>
  <c r="P57" i="9" s="1"/>
  <c r="C81" i="9"/>
  <c r="N59"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F8BE3B8A-4C26-4855-98E3-537FAAE4A45D}">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E8E80B9A-9329-432D-BECF-593D577EED57}">
      <text>
        <r>
          <rPr>
            <sz val="9"/>
            <color indexed="81"/>
            <rFont val="宋体"/>
            <family val="3"/>
            <charset val="134"/>
          </rPr>
          <t>依据一般经验，应比建筑物资本化率高0.5%</t>
        </r>
      </text>
    </comment>
    <comment ref="L61" authorId="0" shapeId="0" xr:uid="{4FE0FCB1-6269-4A4D-B6C0-505FA665ABCE}">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2AFEC8DD-E323-45BF-9D65-41ACDE87F4FB}">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EF24B842-3D69-44A6-9474-5B9D60E09BED}">
      <text>
        <r>
          <rPr>
            <sz val="9"/>
            <color indexed="81"/>
            <rFont val="宋体"/>
            <family val="3"/>
            <charset val="134"/>
          </rPr>
          <t>在建项目均选择“是”</t>
        </r>
      </text>
    </comment>
    <comment ref="F66" authorId="1" shapeId="0" xr:uid="{DDD0785B-7A78-4C19-AD4B-BB99365EE7E8}">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2FD23A39-C4E6-45F6-933A-BD7F8645D1B1}">
      <text>
        <r>
          <rPr>
            <sz val="10"/>
            <color indexed="81"/>
            <rFont val="宋体"/>
            <family val="3"/>
            <charset val="134"/>
          </rPr>
          <t xml:space="preserve">在建
</t>
        </r>
      </text>
    </comment>
    <comment ref="N68" authorId="0" shapeId="0" xr:uid="{0E121F80-9EC8-4D8B-B11C-C5827E18EA66}">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C360F955-7487-4BDD-805A-6E2D406C2108}">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3F484B3A-5B29-40F7-B3D5-76219D614BC0}">
      <text>
        <r>
          <rPr>
            <sz val="9"/>
            <color indexed="81"/>
            <rFont val="宋体"/>
            <family val="3"/>
            <charset val="134"/>
          </rPr>
          <t>依据一般经验，应比建筑物资本化率高0.5%</t>
        </r>
      </text>
    </comment>
    <comment ref="L61" authorId="0" shapeId="0" xr:uid="{6E531B89-C733-4A77-B17D-CD8275026815}">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B321F4C3-30E5-41A6-9B4C-8D1D981BB1EA}">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93930007-6255-4309-B773-0A3C85066BD1}">
      <text>
        <r>
          <rPr>
            <sz val="9"/>
            <color indexed="81"/>
            <rFont val="宋体"/>
            <family val="3"/>
            <charset val="134"/>
          </rPr>
          <t>在建项目均选择“是”</t>
        </r>
      </text>
    </comment>
    <comment ref="F66" authorId="1" shapeId="0" xr:uid="{EB823E3A-FC2B-465E-B054-04DFE5FB18B6}">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B0EB2EA4-D1E6-489D-B2CC-5FC0471DFAE8}">
      <text>
        <r>
          <rPr>
            <sz val="10"/>
            <color indexed="81"/>
            <rFont val="宋体"/>
            <family val="3"/>
            <charset val="134"/>
          </rPr>
          <t xml:space="preserve">在建
</t>
        </r>
      </text>
    </comment>
    <comment ref="N68" authorId="0" shapeId="0" xr:uid="{96738C11-DB4D-44E8-816E-093428658A3F}">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huangying</author>
  </authors>
  <commentList>
    <comment ref="D6" authorId="0" shapeId="0" xr:uid="{21DAEB6D-8DEB-4AD9-8ACD-B8A82B69E2B6}">
      <text>
        <r>
          <rPr>
            <sz val="9"/>
            <rFont val="宋体"/>
            <family val="3"/>
            <charset val="134"/>
          </rPr>
          <t xml:space="preserve">2027年11月15日起递增6%
</t>
        </r>
      </text>
    </comment>
    <comment ref="D7" authorId="0" shapeId="0" xr:uid="{5465E99F-A86A-442C-8A88-684F65D4F598}">
      <text>
        <r>
          <rPr>
            <sz val="9"/>
            <rFont val="宋体"/>
            <family val="3"/>
            <charset val="134"/>
          </rPr>
          <t xml:space="preserve">2027年4月16日起租金递6%
</t>
        </r>
      </text>
    </comment>
    <comment ref="D9" authorId="0" shapeId="0" xr:uid="{5B8297F3-12EA-43E4-9E7D-A67AD3BCE679}">
      <text>
        <r>
          <rPr>
            <sz val="9"/>
            <rFont val="宋体"/>
            <family val="3"/>
            <charset val="134"/>
          </rPr>
          <t xml:space="preserve">2025.11.1日起租，2027.11.1日起递增6%
</t>
        </r>
      </text>
    </comment>
    <comment ref="D10" authorId="0" shapeId="0" xr:uid="{51116077-D953-4FA2-8785-E95E188F2707}">
      <text>
        <r>
          <rPr>
            <sz val="9"/>
            <rFont val="宋体"/>
            <family val="3"/>
            <charset val="134"/>
          </rPr>
          <t>2027年6月23日起租金递增6%</t>
        </r>
      </text>
    </comment>
    <comment ref="D15" authorId="0" shapeId="0" xr:uid="{BFE86985-A3DA-4851-94F8-A72756A5F875}">
      <text>
        <r>
          <rPr>
            <sz val="9"/>
            <rFont val="宋体"/>
            <family val="3"/>
            <charset val="134"/>
          </rPr>
          <t xml:space="preserve">2027年5月8日起租金递增6%
</t>
        </r>
      </text>
    </comment>
    <comment ref="D16" authorId="0" shapeId="0" xr:uid="{A2E5277D-1139-4648-A9DA-AE7D70A6DF3A}">
      <text>
        <r>
          <rPr>
            <sz val="9"/>
            <rFont val="宋体"/>
            <family val="3"/>
            <charset val="134"/>
          </rPr>
          <t xml:space="preserve">2027年5月8日起租金递增6%
</t>
        </r>
      </text>
    </comment>
    <comment ref="D18" authorId="0" shapeId="0" xr:uid="{9A87F159-C975-43AD-9C48-49EE6CECC82B}">
      <text>
        <r>
          <rPr>
            <sz val="9"/>
            <rFont val="宋体"/>
            <family val="3"/>
            <charset val="134"/>
          </rPr>
          <t xml:space="preserve">
2027年5月4日起租金递6%
</t>
        </r>
      </text>
    </comment>
    <comment ref="D20" authorId="0" shapeId="0" xr:uid="{4EBAB866-B75B-4E06-9907-7FFAE4789B8A}">
      <text>
        <r>
          <rPr>
            <sz val="9"/>
            <rFont val="宋体"/>
            <family val="3"/>
            <charset val="134"/>
          </rPr>
          <t xml:space="preserve">2027年12月20日起租金递增6%
</t>
        </r>
      </text>
    </comment>
    <comment ref="D21" authorId="0" shapeId="0" xr:uid="{B5899621-E2FD-42BC-ADEB-4D48687D324C}">
      <text>
        <r>
          <rPr>
            <sz val="9"/>
            <rFont val="宋体"/>
            <family val="3"/>
            <charset val="134"/>
          </rPr>
          <t xml:space="preserve">2027年12月20日起租金递增6%
</t>
        </r>
      </text>
    </comment>
    <comment ref="D24" authorId="0" shapeId="0" xr:uid="{E0F46823-2AE1-46CC-9BD3-AA92266CB12C}">
      <text>
        <r>
          <rPr>
            <sz val="9"/>
            <rFont val="宋体"/>
            <family val="3"/>
            <charset val="134"/>
          </rPr>
          <t xml:space="preserve">
2026年12月1日起租金递6%</t>
        </r>
      </text>
    </comment>
    <comment ref="D25" authorId="0" shapeId="0" xr:uid="{B2D9890A-E41A-46F2-8397-867CAC90E84A}">
      <text>
        <r>
          <rPr>
            <sz val="9"/>
            <rFont val="宋体"/>
            <family val="3"/>
            <charset val="134"/>
          </rPr>
          <t xml:space="preserve">
2026年12月1日起租金递6%
</t>
        </r>
      </text>
    </comment>
    <comment ref="D26" authorId="0" shapeId="0" xr:uid="{A0C2344C-8737-4072-B55B-CC1A799BEAA8}">
      <text>
        <r>
          <rPr>
            <sz val="9"/>
            <rFont val="宋体"/>
            <family val="3"/>
            <charset val="134"/>
          </rPr>
          <t xml:space="preserve">2026年12月1日起租金递6%
</t>
        </r>
      </text>
    </comment>
    <comment ref="D27" authorId="0" shapeId="0" xr:uid="{85BF57A6-9008-4161-9103-9374A9BA03E4}">
      <text>
        <r>
          <rPr>
            <sz val="9"/>
            <rFont val="宋体"/>
            <family val="3"/>
            <charset val="134"/>
          </rPr>
          <t>管委会推荐，租金优惠
2026年3月14日起租，客户已盖章</t>
        </r>
      </text>
    </comment>
    <comment ref="D30" authorId="0" shapeId="0" xr:uid="{06940894-C298-4724-8EBC-3446EA412325}">
      <text>
        <r>
          <rPr>
            <sz val="9"/>
            <rFont val="宋体"/>
            <family val="3"/>
            <charset val="134"/>
          </rPr>
          <t xml:space="preserve">2027年12月20日起租金递增6%
</t>
        </r>
      </text>
    </comment>
    <comment ref="D33" authorId="0" shapeId="0" xr:uid="{FD34045F-28B4-47D3-A715-BDE65C00D5E0}">
      <text>
        <r>
          <rPr>
            <sz val="9"/>
            <rFont val="宋体"/>
            <family val="3"/>
            <charset val="134"/>
          </rPr>
          <t xml:space="preserve">2027年10月1日起租金递增6%
</t>
        </r>
      </text>
    </comment>
    <comment ref="D34" authorId="0" shapeId="0" xr:uid="{BCDBA1DE-0A5A-4BDC-83E4-A44F3C200A46}">
      <text>
        <r>
          <rPr>
            <sz val="9"/>
            <rFont val="宋体"/>
            <family val="3"/>
            <charset val="134"/>
          </rPr>
          <t xml:space="preserve">2027年10月1日起租金递增6%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huangying</author>
    <author>59218</author>
  </authors>
  <commentList>
    <comment ref="D6" authorId="0" shapeId="0" xr:uid="{DC9BA3AC-E355-4F40-ABE9-7FA33ADFCA1F}">
      <text>
        <r>
          <rPr>
            <sz val="9"/>
            <rFont val="宋体"/>
            <family val="3"/>
            <charset val="134"/>
          </rPr>
          <t xml:space="preserve">2027年7月15日起租金递增6%
</t>
        </r>
      </text>
    </comment>
    <comment ref="D7" authorId="0" shapeId="0" xr:uid="{523CE7F5-6E3C-4E6D-8881-774E19D502AB}">
      <text>
        <r>
          <rPr>
            <sz val="9"/>
            <rFont val="宋体"/>
            <family val="3"/>
            <charset val="134"/>
          </rPr>
          <t xml:space="preserve">
2026年8月1日起租金递增6%
</t>
        </r>
      </text>
    </comment>
    <comment ref="D18" authorId="0" shapeId="0" xr:uid="{D1D87E50-8AFA-4F06-9455-EDFF44BD9588}">
      <text>
        <r>
          <rPr>
            <sz val="9"/>
            <rFont val="宋体"/>
            <family val="3"/>
            <charset val="134"/>
          </rPr>
          <t xml:space="preserve">
2027年9月16日起租金递增6%
</t>
        </r>
      </text>
    </comment>
    <comment ref="D22" authorId="1" shapeId="0" xr:uid="{DC3B4902-DBCC-4DAC-BB66-3EC1307B088C}">
      <text>
        <r>
          <rPr>
            <sz val="9"/>
            <rFont val="宋体"/>
            <family val="3"/>
            <charset val="134"/>
          </rPr>
          <t xml:space="preserve">2027年1月30日起租金递增6%
</t>
        </r>
      </text>
    </comment>
    <comment ref="D24" authorId="0" shapeId="0" xr:uid="{0552F854-F4C6-4D0C-97BA-2F97EA8961A8}">
      <text>
        <r>
          <rPr>
            <sz val="9"/>
            <rFont val="宋体"/>
            <family val="3"/>
            <charset val="134"/>
          </rPr>
          <t xml:space="preserve">
2027年1月30日起租金递增6%
</t>
        </r>
      </text>
    </comment>
    <comment ref="D28" authorId="0" shapeId="0" xr:uid="{39BA05D4-CF62-4298-9ABF-54592E38549C}">
      <text>
        <r>
          <rPr>
            <sz val="9"/>
            <rFont val="宋体"/>
            <family val="3"/>
            <charset val="134"/>
          </rPr>
          <t xml:space="preserve">
2027年8月15日起租金递增6%
</t>
        </r>
      </text>
    </comment>
    <comment ref="D30" authorId="0" shapeId="0" xr:uid="{6E02300D-DE5A-4B49-AC03-1C5B74A3BC48}">
      <text>
        <r>
          <rPr>
            <sz val="9"/>
            <rFont val="宋体"/>
            <family val="3"/>
            <charset val="134"/>
          </rPr>
          <t xml:space="preserve">2026年9月25日起租金递增6%
</t>
        </r>
      </text>
    </comment>
    <comment ref="D31" authorId="0" shapeId="0" xr:uid="{DBA12EB4-5091-426E-9992-C7B45FC53A43}">
      <text>
        <r>
          <rPr>
            <sz val="9"/>
            <rFont val="宋体"/>
            <family val="3"/>
            <charset val="134"/>
          </rPr>
          <t xml:space="preserve">
2026年9月25日起租金递增6%
</t>
        </r>
      </text>
    </comment>
    <comment ref="D32" authorId="0" shapeId="0" xr:uid="{B258C58E-EC36-431E-8C86-FB543A14D907}">
      <text>
        <r>
          <rPr>
            <sz val="9"/>
            <rFont val="宋体"/>
            <family val="3"/>
            <charset val="134"/>
          </rPr>
          <t xml:space="preserve">
2026年9月25日起租金递增6%
</t>
        </r>
      </text>
    </comment>
    <comment ref="D33" authorId="0" shapeId="0" xr:uid="{59229918-EB66-4748-812B-F30A20B258A0}">
      <text>
        <r>
          <rPr>
            <sz val="9"/>
            <rFont val="宋体"/>
            <family val="3"/>
            <charset val="134"/>
          </rPr>
          <t xml:space="preserve">
2026年9月25日起租金递增6%
</t>
        </r>
      </text>
    </comment>
    <comment ref="D37" authorId="0" shapeId="0" xr:uid="{72A8C730-DBDE-4810-B7F8-69AA4F688EB0}">
      <text>
        <r>
          <rPr>
            <sz val="9"/>
            <rFont val="宋体"/>
            <family val="3"/>
            <charset val="134"/>
          </rPr>
          <t xml:space="preserve">2027年5月25日起租金递增6%
</t>
        </r>
      </text>
    </comment>
    <comment ref="D38" authorId="0" shapeId="0" xr:uid="{794EF7E4-1C1B-40C4-8ADC-F33FE2F1DE8B}">
      <text>
        <r>
          <rPr>
            <sz val="9"/>
            <rFont val="宋体"/>
            <family val="3"/>
            <charset val="134"/>
          </rPr>
          <t xml:space="preserve">计划新租客户，2025.12.1日起租，2027.12.1日起递增6%
</t>
        </r>
      </text>
    </comment>
    <comment ref="D39" authorId="0" shapeId="0" xr:uid="{E68C85EE-CA0E-423C-92B3-CB64603FDFA8}">
      <text>
        <r>
          <rPr>
            <sz val="9"/>
            <rFont val="宋体"/>
            <family val="3"/>
            <charset val="134"/>
          </rPr>
          <t>计划新租客户，2025.12.1日起租，2027.12.1日起递增6%</t>
        </r>
      </text>
    </comment>
    <comment ref="D40" authorId="0" shapeId="0" xr:uid="{7B9070BB-0928-45C7-A37E-492770EC44CE}">
      <text>
        <r>
          <rPr>
            <sz val="9"/>
            <rFont val="宋体"/>
            <family val="3"/>
            <charset val="134"/>
          </rPr>
          <t>计划新租客户，2025.12.1日起租，2027.12.1日起递增6%</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huangying</author>
    <author>CH</author>
  </authors>
  <commentList>
    <comment ref="L4" authorId="0" shapeId="0" xr:uid="{427FF4EC-A7F5-4B1A-9A55-D62D074AFDD5}">
      <text>
        <r>
          <rPr>
            <sz val="9"/>
            <rFont val="宋体"/>
            <family val="3"/>
            <charset val="134"/>
          </rPr>
          <t>签约价4元，2019年6月1日第一次涨租后，4.5元</t>
        </r>
      </text>
    </comment>
    <comment ref="N4" authorId="0" shapeId="0" xr:uid="{0F35AD3D-BBD6-4F41-A522-B4A837ADD551}">
      <text>
        <r>
          <rPr>
            <sz val="9"/>
            <rFont val="宋体"/>
            <family val="3"/>
            <charset val="134"/>
          </rPr>
          <t>第二次涨租</t>
        </r>
      </text>
    </comment>
    <comment ref="Q4" authorId="0" shapeId="0" xr:uid="{4567BFC0-2508-401D-A7BD-903EB7A59387}">
      <text>
        <r>
          <rPr>
            <sz val="9"/>
            <rFont val="宋体"/>
            <family val="3"/>
            <charset val="134"/>
          </rPr>
          <t>第三次涨租</t>
        </r>
      </text>
    </comment>
    <comment ref="D9" authorId="1" shapeId="0" xr:uid="{81731050-105A-46BB-9709-C666F6B7EF1B}">
      <text>
        <r>
          <rPr>
            <sz val="9"/>
            <rFont val="楷体"/>
            <family val="3"/>
            <charset val="134"/>
          </rPr>
          <t>员工配套食堂</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<sst xmlns="http://schemas.openxmlformats.org/spreadsheetml/2006/main" count="11521" uniqueCount="4301">
  <si>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</si>
  <si>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</si>
  <si>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</si>
  <si>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</si>
  <si>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</si>
  <si>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</si>
  <si>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</si>
  <si>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</si>
  <si>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</si>
  <si>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</si>
  <si>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</si>
  <si>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</si>
  <si>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</si>
  <si>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</si>
  <si>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</si>
  <si>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</si>
  <si>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</si>
  <si>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</si>
  <si>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</si>
  <si>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</si>
  <si>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</si>
  <si>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</si>
  <si>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</si>
  <si>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</si>
  <si>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</si>
  <si>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</si>
  <si>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</si>
  <si>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</si>
  <si>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</si>
  <si>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</si>
  <si>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</si>
  <si>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</si>
  <si>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</si>
  <si>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</si>
  <si>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</si>
  <si>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</si>
  <si>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</si>
  <si>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</si>
  <si>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</si>
  <si>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</si>
  <si>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</si>
  <si>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</si>
  <si>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</si>
  <si>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</si>
  <si>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</si>
  <si>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</si>
  <si>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</si>
  <si>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</si>
  <si>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</si>
  <si>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</si>
  <si>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</si>
  <si>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</si>
  <si>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</si>
  <si>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</si>
  <si>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</si>
  <si>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</si>
  <si>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</si>
  <si>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</si>
  <si>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</si>
  <si>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</si>
  <si>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</si>
  <si>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</si>
  <si>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</si>
  <si>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</si>
  <si>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</si>
  <si>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</si>
  <si>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</si>
  <si>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</si>
  <si>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</si>
  <si>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</si>
  <si>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</si>
  <si>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</si>
  <si>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</si>
  <si>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</si>
  <si>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</si>
  <si>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</si>
  <si>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</si>
  <si>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</si>
  <si>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</si>
  <si>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</si>
  <si>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</si>
  <si>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</si>
  <si>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</si>
  <si>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</si>
  <si>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</si>
  <si>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</si>
  <si>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</si>
  <si>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</si>
  <si>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</si>
  <si>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</si>
  <si>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</si>
  <si>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</si>
  <si>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</si>
  <si>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</si>
  <si>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</si>
  <si>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</si>
  <si>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</si>
  <si>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</si>
  <si>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</si>
  <si>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</si>
  <si>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</si>
  <si>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</si>
  <si>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</si>
  <si>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</si>
  <si>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</si>
  <si>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</si>
  <si>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</si>
  <si>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</si>
  <si>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</si>
  <si>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</si>
  <si>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</si>
  <si>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</si>
  <si>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</si>
  <si>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</si>
  <si>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</si>
  <si>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</si>
  <si>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</si>
  <si>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</si>
  <si>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</si>
  <si>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</si>
  <si>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</si>
  <si>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</si>
  <si>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</si>
  <si>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</si>
  <si>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</si>
  <si>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</si>
  <si>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</si>
  <si>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</si>
  <si>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</si>
  <si>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</si>
  <si>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</si>
  <si>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</si>
  <si>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</si>
  <si>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</si>
  <si>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</si>
  <si>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</si>
  <si>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</si>
  <si>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</si>
  <si>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</si>
  <si>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</si>
  <si>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</si>
  <si>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</si>
  <si>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</si>
  <si>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</si>
  <si>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</si>
  <si>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</si>
  <si>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</si>
  <si>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</si>
  <si>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</si>
  <si>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</si>
  <si>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</si>
  <si>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</si>
  <si>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</si>
  <si>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</si>
  <si>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</si>
  <si>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</si>
  <si>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</si>
  <si>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</si>
  <si>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</si>
  <si>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</si>
  <si>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</si>
  <si>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</si>
  <si>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</si>
  <si>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</si>
  <si>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</si>
  <si>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</si>
  <si>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</si>
  <si>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</si>
  <si>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</si>
  <si>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</si>
  <si>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</si>
  <si>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</si>
  <si>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</si>
  <si>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</si>
  <si>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</si>
  <si>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</si>
  <si>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</si>
  <si>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</si>
  <si>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</si>
  <si>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</si>
  <si>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</si>
  <si>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</si>
  <si>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</si>
  <si>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</si>
  <si>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</si>
  <si>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</si>
  <si>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</si>
  <si>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</si>
  <si>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</si>
  <si>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</si>
  <si>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</si>
  <si>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</si>
  <si>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</si>
  <si>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</si>
  <si>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</si>
  <si>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</si>
  <si>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</si>
  <si>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</si>
  <si>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</si>
  <si>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</si>
  <si>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</si>
  <si>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</si>
  <si>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</si>
  <si>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</si>
  <si>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</si>
  <si>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</si>
  <si>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</si>
  <si>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</si>
  <si>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</si>
  <si>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</si>
  <si>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</si>
  <si>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</si>
  <si>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</si>
  <si>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</si>
  <si>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</si>
  <si>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</si>
  <si>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</si>
  <si>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</si>
  <si>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</si>
  <si>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</si>
  <si>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</si>
  <si>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</si>
  <si>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</si>
  <si>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</si>
  <si>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</si>
  <si>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</si>
  <si>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</si>
  <si>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</si>
  <si>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</si>
  <si>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</si>
  <si>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</si>
  <si>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</si>
  <si>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</si>
  <si>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</si>
  <si>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</si>
  <si>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</si>
  <si>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</si>
  <si>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</si>
  <si>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</si>
  <si>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</si>
  <si>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</si>
  <si>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</si>
  <si>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</si>
  <si>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</si>
  <si>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</si>
  <si>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</si>
  <si>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</si>
  <si>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</si>
  <si>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</si>
  <si>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</si>
  <si>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</si>
  <si>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</si>
  <si>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</si>
  <si>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</si>
  <si>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</si>
  <si>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</si>
  <si>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</si>
  <si>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</si>
  <si>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</si>
  <si>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</si>
  <si>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</si>
  <si>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</si>
  <si>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</si>
  <si>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</si>
  <si>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</si>
  <si>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</si>
  <si>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</si>
  <si>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</si>
  <si>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</si>
  <si>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</si>
  <si>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</si>
  <si>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</si>
  <si>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</si>
  <si>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</si>
  <si>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</si>
  <si>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</si>
  <si>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</si>
  <si>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</si>
  <si>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</si>
  <si>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</si>
  <si>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</si>
  <si>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</si>
  <si>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</si>
  <si>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</si>
  <si>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</si>
  <si>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</si>
  <si>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</si>
  <si>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</si>
  <si>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</si>
  <si>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</si>
  <si>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</si>
  <si>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</si>
  <si>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</si>
  <si>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</si>
  <si>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</si>
  <si>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</si>
  <si>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</si>
  <si>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</si>
  <si>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</si>
  <si>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</si>
  <si>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</si>
  <si>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</si>
  <si>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</si>
  <si>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</si>
  <si>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</si>
  <si>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</si>
  <si>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</si>
  <si>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</si>
  <si>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</si>
  <si>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</si>
  <si>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</si>
  <si>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</si>
  <si>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</si>
  <si>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</si>
  <si>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</si>
  <si>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</si>
  <si>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</si>
  <si>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</si>
  <si>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</si>
  <si>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</si>
  <si>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</si>
  <si>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</si>
  <si>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</si>
  <si>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</si>
  <si>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</si>
  <si>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</si>
  <si>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</si>
  <si>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</si>
  <si>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</si>
  <si>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</si>
  <si>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</si>
  <si>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</si>
  <si>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</si>
  <si>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</si>
  <si>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</si>
  <si>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</si>
  <si>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</si>
  <si>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</si>
  <si>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</si>
  <si>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</si>
  <si>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</si>
  <si>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</si>
  <si>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</si>
  <si>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</si>
  <si>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</si>
  <si>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</si>
  <si>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</si>
  <si>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</si>
  <si>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</si>
  <si>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</si>
  <si>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</si>
  <si>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</si>
  <si>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</si>
  <si>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</si>
  <si>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</si>
  <si>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</si>
  <si>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</si>
  <si>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</si>
  <si>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</si>
  <si>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</si>
  <si>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</si>
  <si>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</si>
  <si>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</si>
  <si>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</si>
  <si>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</si>
  <si>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</si>
  <si>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</si>
  <si>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</si>
  <si>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</si>
  <si>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</si>
  <si>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</si>
  <si>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</si>
  <si>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</si>
  <si>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</si>
  <si>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</si>
  <si>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</si>
  <si>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</si>
  <si>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</si>
  <si>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</si>
  <si>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</si>
  <si>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</si>
  <si>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</si>
  <si>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</si>
  <si>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</si>
  <si>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</si>
  <si>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</si>
  <si>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</si>
  <si>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</si>
  <si>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</si>
  <si>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</si>
  <si>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</si>
  <si>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</si>
  <si>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</si>
  <si>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</si>
  <si>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</si>
  <si>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</si>
  <si>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</si>
  <si>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</si>
  <si>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</si>
  <si>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</si>
  <si>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</si>
  <si>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</si>
  <si>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</si>
  <si>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</si>
  <si>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</si>
  <si>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</si>
  <si>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</si>
  <si>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</si>
  <si>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</si>
  <si>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</si>
  <si>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</si>
  <si>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</si>
  <si>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</si>
  <si>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</si>
  <si>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</si>
  <si>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</si>
  <si>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</si>
  <si>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</si>
  <si>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</si>
  <si>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</si>
  <si>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</si>
  <si>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</si>
  <si>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</si>
  <si>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</si>
  <si>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</si>
  <si>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</si>
  <si>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</si>
  <si>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</si>
  <si>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</si>
  <si>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</si>
  <si>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</si>
  <si>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</si>
  <si>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</si>
  <si>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</si>
  <si>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</si>
  <si>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</si>
  <si>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</si>
  <si>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</si>
  <si>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</si>
  <si>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</si>
  <si>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</si>
  <si>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</si>
  <si>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</si>
  <si>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</si>
  <si>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</si>
  <si>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</si>
  <si>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</si>
  <si>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</si>
  <si>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</si>
  <si>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</si>
  <si>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</si>
  <si>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</si>
  <si>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</si>
  <si>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</si>
  <si>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</si>
  <si>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</si>
  <si>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</si>
  <si>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</si>
  <si>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</si>
  <si>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</si>
  <si>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</si>
  <si>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</si>
  <si>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</si>
  <si>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</si>
  <si>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</si>
  <si>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</si>
  <si>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</si>
  <si>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</si>
  <si>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</si>
  <si>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</si>
  <si>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</si>
  <si>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</si>
  <si>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</si>
  <si>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</si>
  <si>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</si>
  <si>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</si>
  <si>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</si>
  <si>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</si>
  <si>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</si>
  <si>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</si>
  <si>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</si>
  <si>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</si>
  <si>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</si>
  <si>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</si>
  <si>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</si>
  <si>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</si>
  <si>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</si>
  <si>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</si>
  <si>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</si>
  <si>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</si>
  <si>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</si>
  <si>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</si>
  <si>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</si>
  <si>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</si>
  <si>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</si>
  <si>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</si>
  <si>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</si>
  <si>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</si>
  <si>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</si>
  <si>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</si>
  <si>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</si>
  <si>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</si>
  <si>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</si>
  <si>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</si>
  <si>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</si>
  <si>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</si>
  <si>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</si>
  <si>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</si>
  <si>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</si>
  <si>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</si>
  <si>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</si>
  <si>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</si>
  <si>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</si>
  <si>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</si>
  <si>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</si>
  <si>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</si>
  <si>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</si>
  <si>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</si>
  <si>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</si>
  <si>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</si>
  <si>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</si>
  <si>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</si>
  <si>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</si>
  <si>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</si>
  <si>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</si>
  <si>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</si>
  <si>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</si>
  <si>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</si>
  <si>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</si>
  <si>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</si>
  <si>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</si>
  <si>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</si>
  <si>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</si>
  <si>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</si>
  <si>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</si>
  <si>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</si>
  <si>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</si>
  <si>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</si>
  <si>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</si>
  <si>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</si>
  <si>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</si>
  <si>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</si>
  <si>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</si>
  <si>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</si>
  <si>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</si>
  <si>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</si>
  <si>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</si>
  <si>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</si>
  <si>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</si>
  <si>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</si>
  <si>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</si>
  <si>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</si>
  <si>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</si>
  <si>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</si>
  <si>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</si>
  <si>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</si>
  <si>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</si>
  <si>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</si>
  <si>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</si>
  <si>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</si>
  <si>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</si>
  <si>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</si>
  <si>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</si>
  <si>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</si>
  <si>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</si>
  <si>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</si>
  <si>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</si>
  <si>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</si>
  <si>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</si>
  <si>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</si>
  <si>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</si>
  <si>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</si>
  <si>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</si>
  <si>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</si>
  <si>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</si>
  <si>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</si>
  <si>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</si>
  <si>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</si>
  <si>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</si>
  <si>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</si>
  <si>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</si>
  <si>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</si>
  <si>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</si>
  <si>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</si>
  <si>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</si>
  <si>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</si>
  <si>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</si>
  <si>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</si>
  <si>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</si>
  <si>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</si>
  <si>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</si>
  <si>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</si>
  <si>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</si>
  <si>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</si>
  <si>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</si>
  <si>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</si>
  <si>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</si>
  <si>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</si>
  <si>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</si>
  <si>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</si>
  <si>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</si>
  <si>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</si>
  <si>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</si>
  <si>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</si>
  <si>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</si>
  <si>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</si>
  <si>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</si>
  <si>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</si>
  <si>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</si>
  <si>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</si>
  <si>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</si>
  <si>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</si>
  <si>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</si>
  <si>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</si>
  <si>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</si>
  <si>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</si>
  <si>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</si>
  <si>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</si>
  <si>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</si>
  <si>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</si>
  <si>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</si>
  <si>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</si>
  <si>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</si>
  <si>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</si>
  <si>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</si>
  <si>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</si>
  <si>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</si>
  <si>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</si>
  <si>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</si>
  <si>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</si>
  <si>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</si>
  <si>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</si>
  <si>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</si>
  <si>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</si>
  <si>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</si>
  <si>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</si>
  <si>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</si>
  <si>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</si>
  <si>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</si>
  <si>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</si>
  <si>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</si>
  <si>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</si>
  <si>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</si>
  <si>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</si>
  <si>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</si>
  <si>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</si>
  <si>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</si>
  <si>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</si>
  <si>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</si>
  <si>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</si>
  <si>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</si>
  <si>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</si>
  <si>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</si>
  <si>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</si>
  <si>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</si>
  <si>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</si>
  <si>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</si>
  <si>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</si>
  <si>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</si>
  <si>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</si>
  <si>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</si>
  <si>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</si>
  <si>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</si>
  <si>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</si>
  <si>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</si>
  <si>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</si>
  <si>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</si>
  <si>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</si>
  <si>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</si>
  <si>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</si>
  <si>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</si>
  <si>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</si>
  <si>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</si>
  <si>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</si>
  <si>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</si>
  <si>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</si>
  <si>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</si>
  <si>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</si>
  <si>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</si>
  <si>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</si>
  <si>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</si>
  <si>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</si>
  <si>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</si>
  <si>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</si>
  <si>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</si>
  <si>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</si>
  <si>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</si>
  <si>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</si>
  <si>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</si>
  <si>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</si>
  <si>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</si>
  <si>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</si>
  <si>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</si>
  <si>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</si>
  <si>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</si>
  <si>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</si>
  <si>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</si>
  <si>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</si>
  <si>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</si>
  <si>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</si>
  <si>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</si>
  <si>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</si>
  <si>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</si>
  <si>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</si>
  <si>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</si>
  <si>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</si>
  <si>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</si>
  <si>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</si>
  <si>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</si>
  <si>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</si>
  <si>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</si>
  <si>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</si>
  <si>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</si>
  <si>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</si>
  <si>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</si>
  <si>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</si>
  <si>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</si>
  <si>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</si>
  <si>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</si>
  <si>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</si>
  <si>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</si>
  <si>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</si>
  <si>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</si>
  <si>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</si>
  <si>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</si>
  <si>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</si>
  <si>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</si>
  <si>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</si>
  <si>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</si>
  <si>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</si>
  <si>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</si>
  <si>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</si>
  <si>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</si>
  <si>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</si>
  <si>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</si>
  <si>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</si>
  <si>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</si>
  <si>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</si>
  <si>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</si>
  <si>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</si>
  <si>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</si>
  <si>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</si>
  <si>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</si>
  <si>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</si>
  <si>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</si>
  <si>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</si>
  <si>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</si>
  <si>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</si>
  <si>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</si>
  <si>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</si>
  <si>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</si>
  <si>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</si>
  <si>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</si>
  <si>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</si>
  <si>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</si>
  <si>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</si>
  <si>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</si>
  <si>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</si>
  <si>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</si>
  <si>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</si>
  <si>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</si>
  <si>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</si>
  <si>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</si>
  <si>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</si>
  <si>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</si>
  <si>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</si>
  <si>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</si>
  <si>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</si>
  <si>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</si>
  <si>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</si>
  <si>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</si>
  <si>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</si>
  <si>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</si>
  <si>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</si>
  <si>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</si>
  <si>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</si>
  <si>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</si>
  <si>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</si>
  <si>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</si>
  <si>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</si>
  <si>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</si>
  <si>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</si>
  <si>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</si>
  <si>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</si>
  <si>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</si>
  <si>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</si>
  <si>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</si>
  <si>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</si>
  <si>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</si>
  <si>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</si>
  <si>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</si>
  <si>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</si>
  <si>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</si>
  <si>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</si>
  <si>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</si>
  <si>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</si>
  <si>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</si>
  <si>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</si>
  <si>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</si>
  <si>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</si>
  <si>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</si>
  <si>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</si>
  <si>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</si>
  <si>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</si>
  <si>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</si>
  <si>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</si>
  <si>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</si>
  <si>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</si>
  <si>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</si>
  <si>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</si>
  <si>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</si>
  <si>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</si>
  <si>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</si>
  <si>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</si>
  <si>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</si>
  <si>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</si>
  <si>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</si>
  <si>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</si>
  <si>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</si>
  <si>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</si>
  <si>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</si>
  <si>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</si>
  <si>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</si>
  <si>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</si>
  <si>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</si>
  <si>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</si>
  <si>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</si>
  <si>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</si>
  <si>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</si>
  <si>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</si>
  <si>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</si>
  <si>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</si>
  <si>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</si>
  <si>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</si>
  <si>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</si>
  <si>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</si>
  <si>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</si>
  <si>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</si>
  <si>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</si>
  <si>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</si>
  <si>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</si>
  <si>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</si>
  <si>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</si>
  <si>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</si>
  <si>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</si>
  <si>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</si>
  <si>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</si>
  <si>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</si>
  <si>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</si>
  <si>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</si>
  <si>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</si>
  <si>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</si>
  <si>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</si>
  <si>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</si>
  <si>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</si>
  <si>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</si>
  <si>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</si>
  <si>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</si>
  <si>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</si>
  <si>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</si>
  <si>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</si>
  <si>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</si>
  <si>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</si>
  <si>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</si>
  <si>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</si>
  <si>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</si>
  <si>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</si>
  <si>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</si>
  <si>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</si>
  <si>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</si>
  <si>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</si>
  <si>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</si>
  <si>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</si>
  <si>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</si>
  <si>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</si>
  <si>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</si>
  <si>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</si>
  <si>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</si>
  <si>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</si>
  <si>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</si>
  <si>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</si>
  <si>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</si>
  <si>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</si>
  <si>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</si>
  <si>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</si>
  <si>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</si>
  <si>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</si>
  <si>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</si>
  <si>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</si>
  <si>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</si>
  <si>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</si>
  <si>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</si>
  <si>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</si>
  <si>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</si>
  <si>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</si>
  <si>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</si>
  <si>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</si>
  <si>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</si>
  <si>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</si>
  <si>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</si>
  <si>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</si>
  <si>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</si>
  <si>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</si>
  <si>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</si>
  <si>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</si>
  <si>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</si>
  <si>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</si>
  <si>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</si>
  <si>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</si>
  <si>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</si>
  <si>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</si>
  <si>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</si>
  <si>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</si>
  <si>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</si>
  <si>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</si>
  <si>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</si>
  <si>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</si>
  <si>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</si>
  <si>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</si>
  <si>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</si>
  <si>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</si>
  <si>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</si>
  <si>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</si>
  <si>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</si>
  <si>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</si>
  <si>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</si>
  <si>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</si>
  <si>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</si>
  <si>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</si>
  <si>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</si>
  <si>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</si>
  <si>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</si>
  <si>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</si>
  <si>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</si>
  <si>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</si>
  <si>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</si>
  <si>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</si>
  <si>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</si>
  <si>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</si>
  <si>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</si>
  <si>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</si>
  <si>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</si>
  <si>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</si>
  <si>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</si>
  <si>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</si>
  <si>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</si>
  <si>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</si>
  <si>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</si>
  <si>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</si>
  <si>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</si>
  <si>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</si>
  <si>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</si>
  <si>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</si>
  <si>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</si>
  <si>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</si>
  <si>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</si>
  <si>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</si>
  <si>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</si>
  <si>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</si>
  <si>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</si>
  <si>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</si>
  <si>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</si>
  <si>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</si>
  <si>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</si>
  <si>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</si>
  <si>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</si>
  <si>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</si>
  <si>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</si>
  <si>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</si>
  <si>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</si>
  <si>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</si>
  <si>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</si>
  <si>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</si>
  <si>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</si>
  <si>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</si>
  <si>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</si>
  <si>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</si>
  <si>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</si>
  <si>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</si>
  <si>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</si>
  <si>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</si>
  <si>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</si>
  <si>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</si>
  <si>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</si>
  <si>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</si>
  <si>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</si>
  <si>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</si>
  <si>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</si>
  <si>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</si>
  <si>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</si>
  <si>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</si>
  <si>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</si>
  <si>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</si>
  <si>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</si>
  <si>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</si>
  <si>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</si>
  <si>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</si>
  <si>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</si>
  <si>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</si>
  <si>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</si>
  <si>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</si>
  <si>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</si>
  <si>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</si>
  <si>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</si>
  <si>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</si>
  <si>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</si>
  <si>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</si>
  <si>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</si>
  <si>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</si>
  <si>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</si>
  <si>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</si>
  <si>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</si>
  <si>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</si>
  <si>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</si>
  <si>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</si>
  <si>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</si>
  <si>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</si>
  <si>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</si>
  <si>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</si>
  <si>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</si>
  <si>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</si>
  <si>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</si>
  <si>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</si>
  <si>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</si>
  <si>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</si>
  <si>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</si>
  <si>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</si>
  <si>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</si>
  <si>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</si>
  <si>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</si>
  <si>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</si>
  <si>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</si>
  <si>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</si>
  <si>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</si>
  <si>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</si>
  <si>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</si>
  <si>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</si>
  <si>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</si>
  <si>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</si>
  <si>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</si>
  <si>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</si>
  <si>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</si>
  <si>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</si>
  <si>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</si>
  <si>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</si>
  <si>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</si>
  <si>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</si>
  <si>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</si>
  <si>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</si>
  <si>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</si>
  <si>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</si>
  <si>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</si>
  <si>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</si>
  <si>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</si>
  <si>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</si>
  <si>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</si>
  <si>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</si>
  <si>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</si>
  <si>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</si>
  <si>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</si>
  <si>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</si>
  <si>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</si>
  <si>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</si>
  <si>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</si>
  <si>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</si>
  <si>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</si>
  <si>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</si>
  <si>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</si>
  <si>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</si>
  <si>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</si>
  <si>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</si>
  <si>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</si>
  <si>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</si>
  <si>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</si>
  <si>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</si>
  <si>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</si>
  <si>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</si>
  <si>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</si>
  <si>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</si>
  <si>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</si>
  <si>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</si>
  <si>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</si>
  <si>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</si>
  <si>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</si>
  <si>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</si>
  <si>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</si>
  <si>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</si>
  <si>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</si>
  <si>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</si>
  <si>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</si>
  <si>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</si>
  <si>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</si>
  <si>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</si>
  <si>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</si>
  <si>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</si>
  <si>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</si>
  <si>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</si>
  <si>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</si>
  <si>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</si>
  <si>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</si>
  <si>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</si>
  <si>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</si>
  <si>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</si>
  <si>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</si>
  <si>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</si>
  <si>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</si>
  <si>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</si>
  <si>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</si>
  <si>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</si>
  <si>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</si>
  <si>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</si>
  <si>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</si>
  <si>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</si>
  <si>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</si>
  <si>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</si>
  <si>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</si>
  <si>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</si>
  <si>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</si>
  <si>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</si>
  <si>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</si>
  <si>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</si>
  <si>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</si>
  <si>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</si>
  <si>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</si>
  <si>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</si>
  <si>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</si>
  <si>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</si>
  <si>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</si>
  <si>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</si>
  <si>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</si>
  <si>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</si>
  <si>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</si>
  <si>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</si>
  <si>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</si>
  <si>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</si>
  <si>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</si>
  <si>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</si>
  <si>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</si>
  <si>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</si>
  <si>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</si>
  <si>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</si>
  <si>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</si>
  <si>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</si>
  <si>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</si>
  <si>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</si>
  <si>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</si>
  <si>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</si>
  <si>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</si>
  <si>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</si>
  <si>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</si>
  <si>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</si>
  <si>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</si>
  <si>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</si>
  <si>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</si>
  <si>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</si>
  <si>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</si>
  <si>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</si>
  <si>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</si>
  <si>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</si>
  <si>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</si>
  <si>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</si>
  <si>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</si>
  <si>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</si>
  <si>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</si>
  <si>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</si>
  <si>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</si>
  <si>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</si>
  <si>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</si>
  <si>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</si>
  <si>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</si>
  <si>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</si>
  <si>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</si>
  <si>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</si>
  <si>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</si>
  <si>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</si>
  <si>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</si>
  <si>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</si>
  <si>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</si>
  <si>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</si>
  <si>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</si>
  <si>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</si>
  <si>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</si>
  <si>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</si>
  <si>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</si>
  <si>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</si>
  <si>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</si>
  <si>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</si>
  <si>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</si>
  <si>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</si>
  <si>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</si>
  <si>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</si>
  <si>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</si>
  <si>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</si>
  <si>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</si>
  <si>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</si>
  <si>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</si>
  <si>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</si>
  <si>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</si>
  <si>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</si>
  <si>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</si>
  <si>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</si>
  <si>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</si>
  <si>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</si>
  <si>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</si>
  <si>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</si>
  <si>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</si>
  <si>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</si>
  <si>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</si>
  <si>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</si>
  <si>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</si>
  <si>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</si>
  <si>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</si>
  <si>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</si>
  <si>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</si>
  <si>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</si>
  <si>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</si>
  <si>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</si>
  <si>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</si>
  <si>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</si>
  <si>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</si>
  <si>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</si>
  <si>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</si>
  <si>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</si>
  <si>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</si>
  <si>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</si>
  <si>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</si>
  <si>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</si>
  <si>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</si>
  <si>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</si>
  <si>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</si>
  <si>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</si>
  <si>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</si>
  <si>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</si>
  <si>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</si>
  <si>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</si>
  <si>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</si>
  <si>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</si>
  <si>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</si>
  <si>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</si>
  <si>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</si>
  <si>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</si>
  <si>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</si>
  <si>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</si>
  <si>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</si>
  <si>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</si>
  <si>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</si>
  <si>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</si>
  <si>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</si>
  <si>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</si>
  <si>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</si>
  <si>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</si>
  <si>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</si>
  <si>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</si>
  <si>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</si>
  <si>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</si>
  <si>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</si>
  <si>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</si>
  <si>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</si>
  <si>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</si>
  <si>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</si>
  <si>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</si>
  <si>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</si>
  <si>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</si>
  <si>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</si>
  <si>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</si>
  <si>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</si>
  <si>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</si>
  <si>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</si>
  <si>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</si>
  <si>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</si>
  <si>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</si>
  <si>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</si>
  <si>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</si>
  <si>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</si>
  <si>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</si>
  <si>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</si>
  <si>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</si>
  <si>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</si>
  <si>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</si>
  <si>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</si>
  <si>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</si>
  <si>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</si>
  <si>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</si>
  <si>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</si>
  <si>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</si>
  <si>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</si>
  <si>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</si>
  <si>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</si>
  <si>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</si>
  <si>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</si>
  <si>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</si>
  <si>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</si>
  <si>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</si>
  <si>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</si>
  <si>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</si>
  <si>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</si>
  <si>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</si>
  <si>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</si>
  <si>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</si>
  <si>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</si>
  <si>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</si>
  <si>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</si>
  <si>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</si>
  <si>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</si>
  <si>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</si>
  <si>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</si>
  <si>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</si>
  <si>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</si>
  <si>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</si>
  <si>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</si>
  <si>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</si>
  <si>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</si>
  <si>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</si>
  <si>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</si>
  <si>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</si>
  <si>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</si>
  <si>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</si>
  <si>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</si>
  <si>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</si>
  <si>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</si>
  <si>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</si>
  <si>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</si>
  <si>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</si>
  <si>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</si>
  <si>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</si>
  <si>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</si>
  <si>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</si>
  <si>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</si>
  <si>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</si>
  <si>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</si>
  <si>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</si>
  <si>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</si>
  <si>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</si>
  <si>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</si>
  <si>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</si>
  <si>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</si>
  <si>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</si>
  <si>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</si>
  <si>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</si>
  <si>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</si>
  <si>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</si>
  <si>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</si>
  <si>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</si>
  <si>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</si>
  <si>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</si>
  <si>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</si>
  <si>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</si>
  <si>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</si>
  <si>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</si>
  <si>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</si>
  <si>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</si>
  <si>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</si>
  <si>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</si>
  <si>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</si>
  <si>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</si>
  <si>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</si>
  <si>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</si>
  <si>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</si>
  <si>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</si>
  <si>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</si>
  <si>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</si>
  <si>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</si>
  <si>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</si>
  <si>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</si>
  <si>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</si>
  <si>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</si>
  <si>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</si>
  <si>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</si>
  <si>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</si>
  <si>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</si>
  <si>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</si>
  <si>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</si>
  <si>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</si>
  <si>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</si>
  <si>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</si>
  <si>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</si>
  <si>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</si>
  <si>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</si>
  <si>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</si>
  <si>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</si>
  <si>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</si>
  <si>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</si>
  <si>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</si>
  <si>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</si>
  <si>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</si>
  <si>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</si>
  <si>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</si>
  <si>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</si>
  <si>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</si>
  <si>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</si>
  <si>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</si>
  <si>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</si>
  <si>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</si>
  <si>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</si>
  <si>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</si>
  <si>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</si>
  <si>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</si>
  <si>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</si>
  <si>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</si>
  <si>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</si>
  <si>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</si>
  <si>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</si>
  <si>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</si>
  <si>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</si>
  <si>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</si>
  <si>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</si>
  <si>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</si>
  <si>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</si>
  <si>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</si>
  <si>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</si>
  <si>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</si>
  <si>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</si>
  <si>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</si>
  <si>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</si>
  <si>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</si>
  <si>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</si>
  <si>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</si>
  <si>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</si>
  <si>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</si>
  <si>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</si>
  <si>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</si>
  <si>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</si>
  <si>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</si>
  <si>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</si>
  <si>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</si>
  <si>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</si>
  <si>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</si>
  <si>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</si>
  <si>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</si>
  <si>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</si>
  <si>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</si>
  <si>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</si>
  <si>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</si>
  <si>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</si>
  <si>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</si>
  <si>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</si>
  <si>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</si>
  <si>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</si>
  <si>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</si>
  <si>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</si>
  <si>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</si>
  <si>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</si>
  <si>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</si>
  <si>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</si>
  <si>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</si>
  <si>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</si>
  <si>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</si>
  <si>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</si>
  <si>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</si>
  <si>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</si>
  <si>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</si>
  <si>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</si>
  <si>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</si>
  <si>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</si>
  <si>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</si>
  <si>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</si>
  <si>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</si>
  <si>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</si>
  <si>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</si>
  <si>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</si>
  <si>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</si>
  <si>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</si>
  <si>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</si>
  <si>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</si>
  <si>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</si>
  <si>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</si>
  <si>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</si>
  <si>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</si>
  <si>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</si>
  <si>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</si>
  <si>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</si>
  <si>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</si>
  <si>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</si>
  <si>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</si>
  <si>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</si>
  <si>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</si>
  <si>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</si>
  <si>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</si>
  <si>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</si>
  <si>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</si>
  <si>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</si>
  <si>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</si>
  <si>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</si>
  <si>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</si>
  <si>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</si>
  <si>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</si>
  <si>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</si>
  <si>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</si>
  <si>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</si>
  <si>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</si>
  <si>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</si>
  <si>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</si>
  <si>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</si>
  <si>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</si>
  <si>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</si>
  <si>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</si>
  <si>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</si>
  <si>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</si>
  <si>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</si>
  <si>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</si>
  <si>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</si>
  <si>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</si>
  <si>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</si>
  <si>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</si>
  <si>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</si>
  <si>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</si>
  <si>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</si>
  <si>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</si>
  <si>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</si>
  <si>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</si>
  <si>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</si>
  <si>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</si>
  <si>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</si>
  <si>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</si>
  <si>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</si>
  <si>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</si>
  <si>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</si>
  <si>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</si>
  <si>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</si>
  <si>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</si>
  <si>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</si>
  <si>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</si>
  <si>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</si>
  <si>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</si>
  <si>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</si>
  <si>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</si>
  <si>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</si>
  <si>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</si>
  <si>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</si>
  <si>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</si>
  <si>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</si>
  <si>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</si>
  <si>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</si>
  <si>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</si>
  <si>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</si>
  <si>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</si>
  <si>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</si>
  <si>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</si>
  <si>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</si>
  <si>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</si>
  <si>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</si>
  <si>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</si>
  <si>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</si>
  <si>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</si>
  <si>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</si>
  <si>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</si>
  <si>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</si>
  <si>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</si>
  <si>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</si>
  <si>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</si>
  <si>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</si>
  <si>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</si>
  <si>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</si>
  <si>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</si>
  <si>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</si>
  <si>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</si>
  <si>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</si>
  <si>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</si>
  <si>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</si>
  <si>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</si>
  <si>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</si>
  <si>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</si>
  <si>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</si>
  <si>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</si>
  <si>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</si>
  <si>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</si>
  <si>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</si>
  <si>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</si>
  <si>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</si>
  <si>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</si>
  <si>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</si>
  <si>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</si>
  <si>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</si>
  <si>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</si>
  <si>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</si>
  <si>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</si>
  <si>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</si>
  <si>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</si>
  <si>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</si>
  <si>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</si>
  <si>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</si>
  <si>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</si>
  <si>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</si>
  <si>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</si>
  <si>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</si>
  <si>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</si>
  <si>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</si>
  <si>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</si>
  <si>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</si>
  <si>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</si>
  <si>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</si>
  <si>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</si>
  <si>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</si>
  <si>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</si>
  <si>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</si>
  <si>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</si>
  <si>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</si>
  <si>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</si>
  <si>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</si>
  <si>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</si>
  <si>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</si>
  <si>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</si>
  <si>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</si>
  <si>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</si>
  <si>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</si>
  <si>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</si>
  <si>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</si>
  <si>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</si>
  <si>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</si>
  <si>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</si>
  <si>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</si>
  <si>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</si>
  <si>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</si>
  <si>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</si>
  <si>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</si>
  <si>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</si>
  <si>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</si>
  <si>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</si>
  <si>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</si>
  <si>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</si>
  <si>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</si>
  <si>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</si>
  <si>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</si>
  <si>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</si>
  <si>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</si>
  <si>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</si>
  <si>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</si>
  <si>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</si>
  <si>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</si>
  <si>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</si>
  <si>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</si>
  <si>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</si>
  <si>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</si>
  <si>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</si>
  <si>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</si>
  <si>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</si>
  <si>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</si>
  <si>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</si>
  <si>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</si>
  <si>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</si>
  <si>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</si>
  <si>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</si>
  <si>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</si>
  <si>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</si>
  <si>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</si>
  <si>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</si>
  <si>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</si>
  <si>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</si>
  <si>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</si>
  <si>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</si>
  <si>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</si>
  <si>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</si>
  <si>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</si>
  <si>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</si>
  <si>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</si>
  <si>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</si>
  <si>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</si>
  <si>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</si>
  <si>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</si>
  <si>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</si>
  <si>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</si>
  <si>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</si>
  <si>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</si>
  <si>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</si>
  <si>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</si>
  <si>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</si>
  <si>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</si>
  <si>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</si>
  <si>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</si>
  <si>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</si>
  <si>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</si>
  <si>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</si>
  <si>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</si>
  <si>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</si>
  <si>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</si>
  <si>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</si>
  <si>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</si>
  <si>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</si>
  <si>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</si>
  <si>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</si>
  <si>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</si>
  <si>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</si>
  <si>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</si>
  <si>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</si>
  <si>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</si>
  <si>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</si>
  <si>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</si>
  <si>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</si>
  <si>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</si>
  <si>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</si>
  <si>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</si>
  <si>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</si>
  <si>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</si>
  <si>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</si>
  <si>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</si>
  <si>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</si>
  <si>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</si>
  <si>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</si>
  <si>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</si>
  <si>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</si>
  <si>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</si>
  <si>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</si>
  <si>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</si>
  <si>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</si>
  <si>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</si>
  <si>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</si>
  <si>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</si>
  <si>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</si>
  <si>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</si>
  <si>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</si>
  <si>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</si>
  <si>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</si>
  <si>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</si>
  <si>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</si>
  <si>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</si>
  <si>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</si>
  <si>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</si>
  <si>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</si>
  <si>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</si>
  <si>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</si>
  <si>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</si>
  <si>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</si>
  <si>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</si>
  <si>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</si>
  <si>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</si>
  <si>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</si>
  <si>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</si>
  <si>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</si>
  <si>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</si>
  <si>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</si>
  <si>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</si>
  <si>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</si>
  <si>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</si>
  <si>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</si>
  <si>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</si>
  <si>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</si>
  <si>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</si>
  <si>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</si>
  <si>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</si>
  <si>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</si>
  <si>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</si>
  <si>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</si>
  <si>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</si>
  <si>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</si>
  <si>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</si>
  <si>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</si>
  <si>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</si>
  <si>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</si>
  <si>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</si>
  <si>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</si>
  <si>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</si>
  <si>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</si>
  <si>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</si>
  <si>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</si>
  <si>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</si>
  <si>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</si>
  <si>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</si>
  <si>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</si>
  <si>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</si>
  <si>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</si>
  <si>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</si>
  <si>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</si>
  <si>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</si>
  <si>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</si>
  <si>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</si>
  <si>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</si>
  <si>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</si>
  <si>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</si>
  <si>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</si>
  <si>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</si>
  <si>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</si>
  <si>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</si>
  <si>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</si>
  <si>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</si>
  <si>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</si>
  <si>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</si>
  <si>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</si>
  <si>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</si>
  <si>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</si>
  <si>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</si>
  <si>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</si>
  <si>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</si>
  <si>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</si>
  <si>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</si>
  <si>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</si>
  <si>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</si>
  <si>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</si>
  <si>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</si>
  <si>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</si>
  <si>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</si>
  <si>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</si>
  <si>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</si>
  <si>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</si>
  <si>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</si>
  <si>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</si>
  <si>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</si>
  <si>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</si>
  <si>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</si>
  <si>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</si>
  <si>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</si>
  <si>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</si>
  <si>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</si>
  <si>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</si>
  <si>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</si>
  <si>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</si>
  <si>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</si>
  <si>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</si>
  <si>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</si>
  <si>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</si>
  <si>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</si>
  <si>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</si>
  <si>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</si>
  <si>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</si>
  <si>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</si>
  <si>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</si>
  <si>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</si>
  <si>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</si>
  <si>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</si>
  <si>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</si>
  <si>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</si>
  <si>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</si>
  <si>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</si>
  <si>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</si>
  <si>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</si>
  <si>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</si>
  <si>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</si>
  <si>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</si>
  <si>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</si>
  <si>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</si>
  <si>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</si>
  <si>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</si>
  <si>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</si>
  <si>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</si>
  <si>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</si>
  <si>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</si>
  <si>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</si>
  <si>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</si>
  <si>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</si>
  <si>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</si>
  <si>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</si>
  <si>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</si>
  <si>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</si>
  <si>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</si>
  <si>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</si>
  <si>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</si>
  <si>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</si>
  <si>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</si>
  <si>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</si>
  <si>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</si>
  <si>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</si>
  <si>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</si>
  <si>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</si>
  <si>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</si>
  <si>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</si>
  <si>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</si>
  <si>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</si>
  <si>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</si>
  <si>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</si>
  <si>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</si>
  <si>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</si>
  <si>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</si>
  <si>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</si>
  <si>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</si>
  <si>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</si>
  <si>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</si>
  <si>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</si>
  <si>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</si>
  <si>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</si>
  <si>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</si>
  <si>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</si>
  <si>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</si>
  <si>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</si>
  <si>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</si>
  <si>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</si>
  <si>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</si>
  <si>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</si>
  <si>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</si>
  <si>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</si>
  <si>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</si>
  <si>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</si>
  <si>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</si>
  <si>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</si>
  <si>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</si>
  <si>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</si>
  <si>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</si>
  <si>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</si>
  <si>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</si>
  <si>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</si>
  <si>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</si>
  <si>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</si>
  <si>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</si>
  <si>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</si>
  <si>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</si>
  <si>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</si>
  <si>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</si>
  <si>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</si>
  <si>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</si>
  <si>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</si>
  <si>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</si>
  <si>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</si>
  <si>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</si>
  <si>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</si>
  <si>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</si>
  <si>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</si>
  <si>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</si>
  <si>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</si>
  <si>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</si>
  <si>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</si>
  <si>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</si>
  <si>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</si>
  <si>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</si>
  <si>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</si>
  <si>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</si>
  <si>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</si>
  <si>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</si>
  <si>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</si>
  <si>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</si>
  <si>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</si>
  <si>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</si>
  <si>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</si>
  <si>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</si>
  <si>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</si>
  <si>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</si>
  <si>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</si>
  <si>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</si>
  <si>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</si>
  <si>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</si>
  <si>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</si>
  <si>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</si>
  <si>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</si>
  <si>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</si>
  <si>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</si>
  <si>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</si>
  <si>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</si>
  <si>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</si>
  <si>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</si>
  <si>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</si>
  <si>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</si>
  <si>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</si>
  <si>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</si>
  <si>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</si>
  <si>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</si>
  <si>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</si>
  <si>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</si>
  <si>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</si>
  <si>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</si>
  <si>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</si>
  <si>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</si>
  <si>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</si>
  <si>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</si>
  <si>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</si>
  <si>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</si>
  <si>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</si>
  <si>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</si>
  <si>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</si>
  <si>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</si>
  <si>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</si>
  <si>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</si>
  <si>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</si>
  <si>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</si>
  <si>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</si>
  <si>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</si>
  <si>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</si>
  <si>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</si>
  <si>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</si>
  <si>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</si>
  <si>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</si>
  <si>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</si>
  <si>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</si>
  <si>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</si>
  <si>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</si>
  <si>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</si>
  <si>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</si>
  <si>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</si>
  <si>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</si>
  <si>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</si>
  <si>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</si>
  <si>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</si>
  <si>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</si>
  <si>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</si>
  <si>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</si>
  <si>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</si>
  <si>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</si>
  <si>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</si>
  <si>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</si>
  <si>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</si>
  <si>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</si>
  <si>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</si>
  <si>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</si>
  <si>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</si>
  <si>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</si>
  <si>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</si>
  <si>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</si>
  <si>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</si>
  <si>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</si>
  <si>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</si>
  <si>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</si>
  <si>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</si>
  <si>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</si>
  <si>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</si>
  <si>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</si>
  <si>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</si>
  <si>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</si>
  <si>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</si>
  <si>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</si>
  <si>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</si>
  <si>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</si>
  <si>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</si>
  <si>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</si>
  <si>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</si>
  <si>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</si>
  <si>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</si>
  <si>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</si>
  <si>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</si>
  <si>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</si>
  <si>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</si>
  <si>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</si>
  <si>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</si>
  <si>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</si>
  <si>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</si>
  <si>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</si>
  <si>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</si>
  <si>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</si>
  <si>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</si>
  <si>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</si>
  <si>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</si>
  <si>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</si>
  <si>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</si>
  <si>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</si>
  <si>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</si>
  <si>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</si>
  <si>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</si>
  <si>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</si>
  <si>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</si>
  <si>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</si>
  <si>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</si>
  <si>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</si>
  <si>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</si>
  <si>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</si>
  <si>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</si>
  <si>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</si>
  <si>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</si>
  <si>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</si>
  <si>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</si>
  <si>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</si>
  <si>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</si>
  <si>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</si>
  <si>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</si>
  <si>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</si>
  <si>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</si>
  <si>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</si>
  <si>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</si>
  <si>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</si>
  <si>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</si>
  <si>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</si>
  <si>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</si>
  <si>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</si>
  <si>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</si>
  <si>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</si>
  <si>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</si>
  <si>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</si>
  <si>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</si>
  <si>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</si>
  <si>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</si>
  <si>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</si>
  <si>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</si>
  <si>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</si>
  <si>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</si>
  <si>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</si>
  <si>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</si>
  <si>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</si>
  <si>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</si>
  <si>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</si>
  <si>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</si>
  <si>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</si>
  <si>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</si>
  <si>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</si>
  <si>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</si>
  <si>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</si>
  <si>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</si>
  <si>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</si>
  <si>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</si>
  <si>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</si>
  <si>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</si>
  <si>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</si>
  <si>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</si>
  <si>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</si>
  <si>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</si>
  <si>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</si>
  <si>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</si>
  <si>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</si>
  <si>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</si>
  <si>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</si>
  <si>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</si>
  <si>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</si>
  <si>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</si>
  <si>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</si>
  <si>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</si>
  <si>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</si>
  <si>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</si>
  <si>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</si>
  <si>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</si>
  <si>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</si>
  <si>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</si>
  <si>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</si>
  <si>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</si>
  <si>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</si>
  <si>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</si>
  <si>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</si>
  <si>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</si>
  <si>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</si>
  <si>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</si>
  <si>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</si>
  <si>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</si>
  <si>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</si>
  <si>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</si>
  <si>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</si>
  <si>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</si>
  <si>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</si>
  <si>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</si>
  <si>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</si>
  <si>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</si>
  <si>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</si>
  <si>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</si>
  <si>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</si>
  <si>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</si>
  <si>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</si>
  <si>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</si>
  <si>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</si>
  <si>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</si>
  <si>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</si>
  <si>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</si>
  <si>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</si>
  <si>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</si>
  <si>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</si>
  <si>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</si>
  <si>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</si>
  <si>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</si>
  <si>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</si>
  <si>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</si>
  <si>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</si>
  <si>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</si>
  <si>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</si>
  <si>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</si>
  <si>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</si>
  <si>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</si>
  <si>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</si>
  <si>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</si>
  <si>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</si>
  <si>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</si>
  <si>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</si>
  <si>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</si>
  <si>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</si>
  <si>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</si>
  <si>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</si>
  <si>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</si>
  <si>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</si>
  <si>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</si>
  <si>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</si>
  <si>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</si>
  <si>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</si>
  <si>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</si>
  <si>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</si>
  <si>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</si>
  <si>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</si>
  <si>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</si>
  <si>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</si>
  <si>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</si>
  <si>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</si>
  <si>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</si>
  <si>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</si>
  <si>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</si>
  <si>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</si>
  <si>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</si>
  <si>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</si>
  <si>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</si>
  <si>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</si>
  <si>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</si>
  <si>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</si>
  <si>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</si>
  <si>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</si>
  <si>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</si>
  <si>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</si>
  <si>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</si>
  <si>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</si>
  <si>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</si>
  <si>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</si>
  <si>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</si>
  <si>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</si>
  <si>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</si>
  <si>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</si>
  <si>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</si>
  <si>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</si>
  <si>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</si>
  <si>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</si>
  <si>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</si>
  <si>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</si>
  <si>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</si>
  <si>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</si>
  <si>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</si>
  <si>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</si>
  <si>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</si>
  <si>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</si>
  <si>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</si>
  <si>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</si>
  <si>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</si>
  <si>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</si>
  <si>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</si>
  <si>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</si>
  <si>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</si>
  <si>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</si>
  <si>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</si>
  <si>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</si>
  <si>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</si>
  <si>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</si>
  <si>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</si>
  <si>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</si>
  <si>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</si>
  <si>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</si>
  <si>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</si>
  <si>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</si>
  <si>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</si>
  <si>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</si>
  <si>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</si>
  <si>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</si>
  <si>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</si>
  <si>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</si>
  <si>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</si>
  <si>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</si>
  <si>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</si>
  <si>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</si>
  <si>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</si>
  <si>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</si>
  <si>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</si>
  <si>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</si>
  <si>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</si>
  <si>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</si>
  <si>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</si>
  <si>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</si>
  <si>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</si>
  <si>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</si>
  <si>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</si>
  <si>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</si>
  <si>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</si>
  <si>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</si>
  <si>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</si>
  <si>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</si>
  <si>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</si>
  <si>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</si>
  <si>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</si>
  <si>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</si>
  <si>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</si>
  <si>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</si>
  <si>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</si>
  <si>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</si>
  <si>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</si>
  <si>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</si>
  <si>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</si>
  <si>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</si>
  <si>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</si>
  <si>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</si>
  <si>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</si>
  <si>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</si>
  <si>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</si>
  <si>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</si>
  <si>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</si>
  <si>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</si>
  <si>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</si>
  <si>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</si>
  <si>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</si>
  <si>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</si>
  <si>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</si>
  <si>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</si>
  <si>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</si>
  <si>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</si>
  <si>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</si>
  <si>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</si>
  <si>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</si>
  <si>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</si>
  <si>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</si>
  <si>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</si>
  <si>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</si>
  <si>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</si>
  <si>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</si>
  <si>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</si>
  <si>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</si>
  <si>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</si>
  <si>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</si>
  <si>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</si>
  <si>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</si>
  <si>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</si>
  <si>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</si>
  <si>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</si>
  <si>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</si>
  <si>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</si>
  <si>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</si>
  <si>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</si>
  <si>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</si>
  <si>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</si>
  <si>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</si>
  <si>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</si>
  <si>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</si>
  <si>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</si>
  <si>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</si>
  <si>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</si>
  <si>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</si>
  <si>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</si>
  <si>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</si>
  <si>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</si>
  <si>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</si>
  <si>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</si>
  <si>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</si>
  <si>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</si>
  <si>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</si>
  <si>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</si>
  <si>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</si>
  <si>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</si>
  <si>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</si>
  <si>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</si>
  <si>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</si>
  <si>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</si>
  <si>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</si>
  <si>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</si>
  <si>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</si>
  <si>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</si>
  <si>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</si>
  <si>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</si>
  <si>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</si>
  <si>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</si>
  <si>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</si>
  <si>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</si>
  <si>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</si>
  <si>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</si>
  <si>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</si>
  <si>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</si>
  <si>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</si>
  <si>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</si>
  <si>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</si>
  <si>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</si>
  <si>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</si>
  <si>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</si>
  <si>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</si>
  <si>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</si>
  <si>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</si>
  <si>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</si>
  <si>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</si>
  <si>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</si>
  <si>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</si>
  <si>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</si>
  <si>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</si>
  <si>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</si>
  <si>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</si>
  <si>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</si>
  <si>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</si>
  <si>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</si>
  <si>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</si>
  <si>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</si>
  <si>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</si>
  <si>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</si>
  <si>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</si>
  <si>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</si>
  <si>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</si>
  <si>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</si>
  <si>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</si>
  <si>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</si>
  <si>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</si>
  <si>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</si>
  <si>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</si>
  <si>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</si>
  <si>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</si>
  <si>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</si>
  <si>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</si>
  <si>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</si>
  <si>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</si>
  <si>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</si>
  <si>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</si>
  <si>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</si>
  <si>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</si>
  <si>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</si>
  <si>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</si>
  <si>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</si>
  <si>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</si>
  <si>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</si>
  <si>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</si>
  <si>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</si>
  <si>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</si>
  <si>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</si>
  <si>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</si>
  <si>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</si>
  <si>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</si>
  <si>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</si>
  <si>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</si>
  <si>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</si>
  <si>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</si>
  <si>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</si>
  <si>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</si>
  <si>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</si>
  <si>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</si>
  <si>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</si>
  <si>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</si>
  <si>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</si>
  <si>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</si>
  <si>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</si>
  <si>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</si>
  <si>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</si>
  <si>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</si>
  <si>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</si>
  <si>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</si>
  <si>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</si>
  <si>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</si>
  <si>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</si>
  <si>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</si>
  <si>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</si>
  <si>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</si>
  <si>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</si>
  <si>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</si>
  <si>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</si>
  <si>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</si>
  <si>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</si>
  <si>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</si>
  <si>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</si>
  <si>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</si>
  <si>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</si>
  <si>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</si>
  <si>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</si>
  <si>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</si>
  <si>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</si>
  <si>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</si>
  <si>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</si>
  <si>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</si>
  <si>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</si>
  <si>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</si>
  <si>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</si>
  <si>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</si>
  <si>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</si>
  <si>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</si>
  <si>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</si>
  <si>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</si>
  <si>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</si>
  <si>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</si>
  <si>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</si>
  <si>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</si>
  <si>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</si>
  <si>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</si>
  <si>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</si>
  <si>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</si>
  <si>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</si>
  <si>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</si>
  <si>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</si>
  <si>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</si>
  <si>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</si>
  <si>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</si>
  <si>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</si>
  <si>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</si>
  <si>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</si>
  <si>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</si>
  <si>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</si>
  <si>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</si>
  <si>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</si>
  <si>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</si>
  <si>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</si>
  <si>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</si>
  <si>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</si>
  <si>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</si>
  <si>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</si>
  <si>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</si>
  <si>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</si>
  <si>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</si>
  <si>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</si>
  <si>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</si>
  <si>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</si>
  <si>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</si>
  <si>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</si>
  <si>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</si>
  <si>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</si>
  <si>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</si>
  <si>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</si>
  <si>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</si>
  <si>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</si>
  <si>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</si>
  <si>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</si>
  <si>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</si>
  <si>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</si>
  <si>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</si>
  <si>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</si>
  <si>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</si>
  <si>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</si>
  <si>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</si>
  <si>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</si>
  <si>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</si>
  <si>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</si>
  <si>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</si>
  <si>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</si>
  <si>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</si>
  <si>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</si>
  <si>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</si>
  <si>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</si>
  <si>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</si>
  <si>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</si>
  <si>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</si>
  <si>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</si>
  <si>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</si>
  <si>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</si>
  <si>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</si>
  <si>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</si>
  <si>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</si>
  <si>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</si>
  <si>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</si>
  <si>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</si>
  <si>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</si>
  <si>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</si>
  <si>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</si>
  <si>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</si>
  <si>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</si>
  <si>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</si>
  <si>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</si>
  <si>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</si>
  <si>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</si>
  <si>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</si>
  <si>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</si>
  <si>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</si>
  <si>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</si>
  <si>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</si>
  <si>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</si>
  <si>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</si>
  <si>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</si>
  <si>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</si>
  <si>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</si>
  <si>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</si>
  <si>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</si>
  <si>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</si>
  <si>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</si>
  <si>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</si>
  <si>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</si>
  <si>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</si>
  <si>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</si>
  <si>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</si>
  <si>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</si>
  <si>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</si>
  <si>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</si>
  <si>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</si>
  <si>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</si>
  <si>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</si>
  <si>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</si>
  <si>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</si>
  <si>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</si>
  <si>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</si>
  <si>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</si>
  <si>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</si>
  <si>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</si>
  <si>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</si>
  <si>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</si>
  <si>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</si>
  <si>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</si>
  <si>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</si>
  <si>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</si>
  <si>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</si>
  <si>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</si>
  <si>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</si>
  <si>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</si>
  <si>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</si>
  <si>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</si>
  <si>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</si>
  <si>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</si>
  <si>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</si>
  <si>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</si>
  <si>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</si>
  <si>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</si>
  <si>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</si>
  <si>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</si>
  <si>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</si>
  <si>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</si>
  <si>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</si>
  <si>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</si>
  <si>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</si>
  <si>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</si>
  <si>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</si>
  <si>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</si>
  <si>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</si>
  <si>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</si>
  <si>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</si>
  <si>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</si>
  <si>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</si>
  <si>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</si>
  <si>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</si>
  <si>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</si>
  <si>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</si>
  <si>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</si>
  <si>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</si>
  <si>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</si>
  <si>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</si>
  <si>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</si>
  <si>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</si>
  <si>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</si>
  <si>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</si>
  <si>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</si>
  <si>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</si>
  <si>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</si>
  <si>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</si>
  <si>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</si>
  <si>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</si>
  <si>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</si>
  <si>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</si>
  <si>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</si>
  <si>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</si>
  <si>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</si>
  <si>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</si>
  <si>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</si>
  <si>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</si>
  <si>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</si>
  <si>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</si>
  <si>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</si>
  <si>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</si>
  <si>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</si>
  <si>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</si>
  <si>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</si>
  <si>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</si>
  <si>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</si>
  <si>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</si>
  <si>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</si>
  <si>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</si>
  <si>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</si>
  <si>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</si>
  <si>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</si>
  <si>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</si>
  <si>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</si>
  <si>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</si>
  <si>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</si>
  <si>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</si>
  <si>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</si>
  <si>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</si>
  <si>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</si>
  <si>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</si>
  <si>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</si>
  <si>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</si>
  <si>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</si>
  <si>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</si>
  <si>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</si>
  <si>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</si>
  <si>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</si>
  <si>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</si>
  <si>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</si>
  <si>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</si>
  <si>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</si>
  <si>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</si>
  <si>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</si>
  <si>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</si>
  <si>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</si>
  <si>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</si>
  <si>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</si>
  <si>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</si>
  <si>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</si>
  <si>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</si>
  <si>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</si>
  <si>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</si>
  <si>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</si>
  <si>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</si>
  <si>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</si>
  <si>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</si>
  <si>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</si>
  <si>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</si>
  <si>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</si>
  <si>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</si>
  <si>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</si>
  <si>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</si>
  <si>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</si>
  <si>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</si>
  <si>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</si>
  <si>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</si>
  <si>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</si>
  <si>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</si>
  <si>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</si>
  <si>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</si>
  <si>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</si>
  <si>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</si>
  <si>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</si>
  <si>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</si>
  <si>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</si>
  <si>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</si>
  <si>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</si>
  <si>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</si>
  <si>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</si>
  <si>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</si>
  <si>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</si>
  <si>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</si>
  <si>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</si>
  <si>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</si>
  <si>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</si>
  <si>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</si>
  <si>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</si>
  <si>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</si>
  <si>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</si>
  <si>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</si>
  <si>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</si>
  <si>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</si>
  <si>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</si>
  <si>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</si>
  <si>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</si>
  <si>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</si>
  <si>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</si>
  <si>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</si>
  <si>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</si>
  <si>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</si>
  <si>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</si>
  <si>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</si>
  <si>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</si>
  <si>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</si>
  <si>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</si>
  <si>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</si>
  <si>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</si>
  <si>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</si>
  <si>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</si>
  <si>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</si>
  <si>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</si>
  <si>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</si>
  <si>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</si>
  <si>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</si>
  <si>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</si>
  <si>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</si>
  <si>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</si>
  <si>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</si>
  <si>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</si>
  <si>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</si>
  <si>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</si>
  <si>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</si>
  <si>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</si>
  <si>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</si>
  <si>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</si>
  <si>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</si>
  <si>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</si>
  <si>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</si>
  <si>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</si>
  <si>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</si>
  <si>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</si>
  <si>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</si>
  <si>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</si>
  <si>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</si>
  <si>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</si>
  <si>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</si>
  <si>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</si>
  <si>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</si>
  <si>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</si>
  <si>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</si>
  <si>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</si>
  <si>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</si>
  <si>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</si>
  <si>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</si>
  <si>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</si>
  <si>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</si>
  <si>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</si>
  <si>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</si>
  <si>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</si>
  <si>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</si>
  <si>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</si>
  <si>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</si>
  <si>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</si>
  <si>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</si>
  <si>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</si>
  <si>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</si>
  <si>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</si>
  <si>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</si>
  <si>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</si>
  <si>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</si>
  <si>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</si>
  <si>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</si>
  <si>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</si>
  <si>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</si>
  <si>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</si>
  <si>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</si>
  <si>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</si>
  <si>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</si>
  <si>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</si>
  <si>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</si>
  <si>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</si>
  <si>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</si>
  <si>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</si>
  <si>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</si>
  <si>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</si>
  <si>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</si>
  <si>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</si>
  <si>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</si>
  <si>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</si>
  <si>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</si>
  <si>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</si>
  <si>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</si>
  <si>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</si>
  <si>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</si>
  <si>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</si>
  <si>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</si>
  <si>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</si>
  <si>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</si>
  <si>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</si>
  <si>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</si>
  <si>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</si>
  <si>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</si>
  <si>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</si>
  <si>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</si>
  <si>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</si>
  <si>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</si>
  <si>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</si>
  <si>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</si>
  <si>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</si>
  <si>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</si>
  <si>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</si>
  <si>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</si>
  <si>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</si>
  <si>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</si>
  <si>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</si>
  <si>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</si>
  <si>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</si>
  <si>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</si>
  <si>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</si>
  <si>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</si>
  <si>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</si>
  <si>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</si>
  <si>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</si>
  <si>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</si>
  <si>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</si>
  <si>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</si>
  <si>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</si>
  <si>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</si>
  <si>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</si>
  <si>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</si>
  <si>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</si>
  <si>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</si>
  <si>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</si>
  <si>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</si>
  <si>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</si>
  <si>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</si>
  <si>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</si>
  <si>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</si>
  <si>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</si>
  <si>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</si>
  <si>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</si>
  <si>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</si>
  <si>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</si>
  <si>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</si>
  <si>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</si>
  <si>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</si>
  <si>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</si>
  <si>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</si>
  <si>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</si>
  <si>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</si>
  <si>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</si>
  <si>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</si>
  <si>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</si>
  <si>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</si>
  <si>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</si>
  <si>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</si>
  <si>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</si>
  <si>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</si>
  <si>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</si>
  <si>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</si>
  <si>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</si>
  <si>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</si>
  <si>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</si>
  <si>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</si>
  <si>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</si>
  <si>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</si>
  <si>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</si>
  <si>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</si>
  <si>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</si>
  <si>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</si>
  <si>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</si>
  <si>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</si>
  <si>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</si>
  <si>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</si>
  <si>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</si>
  <si>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</si>
  <si>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</si>
  <si>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</si>
  <si>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</si>
  <si>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</si>
  <si>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</si>
  <si>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</si>
  <si>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</si>
  <si>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</si>
  <si>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</si>
  <si>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</si>
  <si>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</si>
  <si>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</si>
  <si>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</si>
  <si>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</si>
  <si>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</si>
  <si>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</si>
  <si>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</si>
  <si>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</si>
  <si>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</si>
  <si>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</si>
  <si>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</si>
  <si>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</si>
  <si>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</si>
  <si>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</si>
  <si>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</si>
  <si>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</si>
  <si>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</si>
  <si>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</si>
  <si>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</si>
  <si>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</si>
  <si>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</si>
  <si>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</si>
  <si>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</si>
  <si>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</si>
  <si>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</si>
  <si>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</si>
  <si>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</si>
  <si>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</si>
  <si>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</si>
  <si>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</si>
  <si>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</si>
  <si>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</si>
  <si>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</si>
  <si>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</si>
  <si>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</si>
  <si>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</si>
  <si>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</si>
  <si>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</si>
  <si>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</si>
  <si>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</si>
  <si>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</si>
  <si>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</si>
  <si>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</si>
  <si>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</si>
  <si>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</si>
  <si>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</si>
  <si>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</si>
  <si>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</si>
  <si>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</si>
  <si>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</si>
  <si>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</si>
  <si>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</si>
  <si>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</si>
  <si>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</si>
  <si>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</si>
  <si>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</si>
  <si>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</si>
  <si>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</si>
  <si>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</si>
  <si>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</si>
  <si>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</si>
  <si>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</si>
  <si>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</si>
  <si>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</si>
  <si>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</si>
  <si>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</si>
  <si>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</si>
  <si>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</si>
  <si>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</si>
  <si>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</si>
  <si>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</si>
  <si>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</si>
  <si>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</si>
  <si>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</si>
  <si>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</si>
  <si>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</si>
  <si>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</si>
  <si>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</si>
  <si>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</si>
  <si>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</si>
  <si>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</si>
  <si>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</si>
  <si>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</si>
  <si>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</si>
  <si>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</si>
  <si>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</si>
  <si>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</si>
  <si>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</si>
  <si>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</si>
  <si>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</si>
  <si>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</si>
  <si>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</si>
  <si>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</si>
  <si>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</si>
  <si>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</si>
  <si>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</si>
  <si>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</si>
  <si>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</si>
  <si>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</si>
  <si>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</si>
  <si>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</si>
  <si>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</si>
  <si>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</si>
  <si>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</si>
  <si>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</si>
  <si>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</si>
  <si>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</si>
  <si>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</si>
  <si>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</si>
  <si>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</si>
  <si>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</si>
  <si>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</si>
  <si>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</si>
  <si>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</si>
  <si>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</si>
  <si>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</si>
  <si>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</si>
  <si>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</si>
  <si>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</si>
  <si>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</si>
  <si>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</si>
  <si>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</si>
  <si>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</si>
  <si>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</si>
  <si>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</si>
  <si>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</si>
  <si>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</si>
  <si>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</si>
  <si>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</si>
  <si>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</si>
  <si>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</si>
  <si>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</si>
  <si>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</si>
  <si>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</si>
  <si>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</si>
  <si>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</si>
  <si>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</si>
  <si>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</si>
  <si>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</si>
  <si>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</si>
  <si>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</si>
  <si>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</si>
  <si>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</si>
  <si>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</si>
  <si>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</si>
  <si>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</si>
  <si>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</si>
  <si>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</si>
  <si>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</si>
  <si>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</si>
  <si>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</si>
  <si>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</si>
  <si>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</si>
  <si>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</si>
  <si>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</si>
  <si>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</si>
  <si>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</si>
  <si>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</si>
  <si>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</si>
  <si>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</si>
  <si>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</si>
  <si>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</si>
  <si>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</si>
  <si>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</si>
  <si>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</si>
  <si>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</si>
  <si>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</si>
  <si>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</si>
  <si>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</si>
  <si>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</si>
  <si>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</si>
  <si>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</si>
  <si>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</si>
  <si>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</si>
  <si>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</si>
  <si>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</si>
  <si>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</si>
  <si>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</si>
  <si>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</si>
  <si>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</si>
  <si>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</si>
  <si>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</si>
  <si>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</si>
  <si>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</si>
  <si>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</si>
  <si>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</si>
  <si>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</si>
  <si>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</si>
  <si>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</si>
  <si>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</si>
  <si>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</si>
  <si>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</si>
  <si>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</si>
  <si>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</si>
  <si>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</si>
  <si>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</si>
  <si>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</si>
  <si>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</si>
  <si>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</si>
  <si>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</si>
  <si>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</si>
  <si>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</si>
  <si>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</si>
  <si>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</si>
  <si>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</si>
  <si>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</si>
  <si>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</si>
  <si>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</si>
  <si>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</si>
  <si>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</si>
  <si>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</si>
  <si>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</si>
  <si>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</si>
  <si>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</si>
  <si>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</si>
  <si>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</si>
  <si>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</si>
  <si>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</si>
  <si>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</si>
  <si>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</si>
  <si>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</si>
  <si>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</si>
  <si>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</si>
  <si>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</si>
  <si>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</si>
  <si>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</si>
  <si>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</si>
  <si>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</si>
  <si>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</si>
  <si>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</si>
  <si>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</si>
  <si>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</si>
  <si>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</si>
  <si>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</si>
  <si>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</si>
  <si>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</si>
  <si>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</si>
  <si>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</si>
  <si>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</si>
  <si>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</si>
  <si>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</si>
  <si>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</si>
  <si>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</si>
  <si>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</si>
  <si>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</si>
  <si>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</si>
  <si>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</si>
  <si>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</si>
  <si>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</si>
  <si>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</si>
  <si>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</si>
  <si>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</si>
  <si>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</si>
  <si>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</si>
  <si>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</si>
  <si>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</si>
  <si>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</si>
  <si>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</si>
  <si>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</si>
  <si>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</si>
  <si>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</si>
  <si>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</si>
  <si>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</si>
  <si>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</si>
  <si>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</si>
  <si>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</si>
  <si>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</si>
  <si>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</si>
  <si>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</si>
  <si>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</si>
  <si>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</si>
  <si>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</si>
  <si>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</si>
  <si>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</si>
  <si>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</si>
  <si>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</si>
  <si>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</si>
  <si>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</si>
  <si>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</si>
  <si>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</si>
  <si>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</si>
  <si>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</si>
  <si>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</si>
  <si>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</si>
  <si>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</si>
  <si>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</si>
  <si>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</si>
  <si>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</si>
  <si>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</si>
  <si>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</si>
  <si>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</si>
  <si>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</si>
  <si>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</si>
  <si>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</si>
  <si>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</si>
  <si>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</si>
  <si>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</si>
  <si>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</si>
  <si>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</si>
  <si>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</si>
  <si>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</si>
  <si>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</si>
  <si>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</si>
  <si>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</si>
  <si>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</si>
  <si>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</si>
  <si>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</si>
  <si>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</si>
  <si>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</si>
  <si>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</si>
  <si>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</si>
  <si>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</si>
  <si>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</si>
  <si>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</si>
  <si>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</si>
  <si>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</si>
  <si>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</si>
  <si>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</si>
  <si>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</si>
  <si>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</si>
  <si>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</si>
  <si>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</si>
  <si>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</si>
  <si>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</si>
  <si>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</si>
  <si>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</si>
  <si>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</si>
  <si>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</si>
  <si>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</si>
  <si>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</si>
  <si>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</si>
  <si>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</si>
  <si>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</si>
  <si>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</si>
  <si>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</si>
  <si>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</si>
  <si>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</si>
  <si>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</si>
  <si>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</si>
  <si>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</si>
  <si>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</si>
  <si>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</si>
  <si>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</si>
  <si>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</si>
  <si>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</si>
  <si>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</si>
  <si>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</si>
  <si>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</si>
  <si>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</si>
  <si>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</si>
  <si>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</si>
  <si>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</si>
  <si>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</si>
  <si>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</si>
  <si>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</si>
  <si>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</si>
  <si>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</si>
  <si>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</si>
  <si>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</si>
  <si>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</si>
  <si>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</si>
  <si>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</si>
  <si>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</si>
  <si>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</si>
  <si>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</si>
  <si>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</si>
  <si>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</si>
  <si>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</si>
  <si>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</si>
  <si>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</si>
  <si>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</si>
  <si>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</si>
  <si>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</si>
  <si>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</si>
  <si>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</si>
  <si>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</si>
  <si>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</si>
  <si>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</si>
  <si>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</si>
  <si>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</si>
  <si>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</si>
  <si>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</si>
  <si>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</si>
  <si>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</si>
  <si>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</si>
  <si>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</si>
  <si>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</si>
  <si>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</si>
  <si>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</si>
  <si>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</si>
  <si>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</si>
  <si>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</si>
  <si>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</si>
  <si>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</si>
  <si>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</si>
  <si>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</si>
  <si>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</si>
  <si>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</si>
  <si>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</si>
  <si>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</si>
  <si>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</si>
  <si>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</si>
  <si>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</si>
  <si>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</si>
  <si>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</si>
  <si>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</si>
  <si>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</si>
  <si>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</si>
  <si>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</si>
  <si>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</si>
  <si>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</si>
  <si>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</si>
  <si>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</si>
  <si>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</si>
  <si>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</si>
  <si>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</si>
  <si>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</si>
  <si>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</si>
  <si>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</si>
  <si>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</si>
  <si>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</si>
  <si>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</si>
  <si>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</si>
  <si>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</si>
  <si>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</si>
  <si>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</si>
  <si>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</si>
  <si>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</si>
  <si>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</si>
  <si>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</si>
  <si>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</si>
  <si>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</si>
  <si>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</si>
  <si>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</si>
  <si>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</si>
  <si>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</si>
  <si>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</si>
  <si>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</si>
  <si>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</si>
  <si>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</si>
  <si>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</si>
  <si>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</si>
  <si>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</si>
  <si>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</si>
  <si>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</si>
  <si>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</si>
  <si>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</si>
  <si>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</si>
  <si>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</si>
  <si>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</si>
  <si>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</si>
  <si>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</si>
  <si>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</si>
  <si>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</si>
  <si>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</si>
  <si>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</si>
  <si>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</si>
  <si>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</si>
  <si>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</si>
  <si>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</si>
  <si>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</si>
  <si>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</si>
  <si>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</si>
  <si>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</si>
  <si>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</si>
  <si>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</si>
  <si>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</si>
  <si>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</si>
  <si>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</si>
  <si>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</si>
  <si>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</si>
  <si>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</si>
  <si>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</si>
  <si>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</si>
  <si>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</si>
  <si>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</si>
  <si>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</si>
  <si>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</si>
  <si>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</si>
  <si>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</si>
  <si>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</si>
  <si>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</si>
  <si>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</si>
  <si>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</si>
  <si>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</si>
  <si>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</si>
  <si>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</si>
  <si>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</si>
  <si>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</si>
  <si>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</si>
  <si>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</si>
  <si>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</si>
  <si>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</si>
  <si>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</si>
  <si>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</si>
  <si>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</si>
  <si>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</si>
  <si>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</si>
  <si>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</si>
  <si>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</si>
  <si>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</si>
  <si>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</si>
  <si>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</si>
  <si>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</si>
  <si>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</si>
  <si>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</si>
  <si>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</si>
  <si>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</si>
  <si>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</si>
  <si>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</si>
  <si>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</si>
  <si>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</si>
  <si>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</si>
  <si>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</si>
  <si>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</si>
  <si>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</si>
  <si>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</si>
  <si>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</si>
  <si>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</si>
  <si>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</si>
  <si>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</si>
  <si>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</si>
  <si>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</si>
  <si>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</si>
  <si>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</si>
  <si>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</si>
  <si>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</si>
  <si>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</si>
  <si>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</si>
  <si>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</si>
  <si>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</si>
  <si>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</si>
  <si>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</si>
  <si>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</si>
  <si>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</si>
  <si>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</si>
  <si>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</si>
  <si>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</si>
  <si>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</si>
  <si>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</si>
  <si>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</si>
  <si>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</si>
  <si>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</si>
  <si>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</si>
  <si>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</si>
  <si>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</si>
  <si>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</si>
  <si>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</si>
  <si>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</si>
  <si>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</si>
  <si>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</si>
  <si>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</si>
  <si>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</si>
  <si>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</si>
  <si>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</si>
  <si>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</si>
  <si>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</si>
  <si>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</si>
  <si>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</si>
  <si>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</si>
  <si>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</si>
  <si>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</si>
  <si>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</si>
  <si>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</si>
  <si>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</si>
  <si>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</si>
  <si>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</si>
  <si>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</si>
  <si>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</si>
  <si>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</si>
  <si>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</si>
  <si>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</si>
  <si>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</si>
  <si>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</si>
  <si>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</si>
  <si>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</si>
  <si>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</si>
  <si>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</si>
  <si>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</si>
  <si>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</si>
  <si>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</si>
  <si>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</si>
  <si>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</si>
  <si>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</si>
  <si>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</si>
  <si>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</si>
  <si>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</si>
  <si>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</si>
  <si>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</si>
  <si>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</si>
  <si>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</si>
  <si>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</si>
  <si>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</si>
  <si>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</si>
  <si>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</si>
  <si>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</si>
  <si>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</si>
  <si>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</si>
  <si>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</si>
  <si>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</si>
  <si>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</si>
  <si>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</si>
  <si>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</si>
  <si>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</si>
  <si>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</si>
  <si>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</si>
  <si>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</si>
  <si>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</si>
  <si>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</si>
  <si>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</si>
  <si>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</si>
  <si>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</si>
  <si>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</si>
  <si>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</si>
  <si>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</si>
  <si>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</si>
  <si>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</si>
  <si>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</si>
  <si>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</si>
  <si>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</si>
  <si>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</si>
  <si>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</si>
  <si>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</si>
  <si>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</si>
  <si>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</si>
  <si>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</si>
  <si>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</si>
  <si>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</si>
  <si>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</si>
  <si>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</si>
  <si>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</si>
  <si>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</si>
  <si>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</si>
  <si>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</si>
  <si>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</si>
  <si>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</si>
  <si>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</si>
  <si>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</si>
  <si>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</si>
  <si>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</si>
  <si>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</si>
  <si>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</si>
  <si>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</si>
  <si>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</si>
  <si>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</si>
  <si>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</si>
  <si>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</si>
  <si>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</si>
  <si>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</si>
  <si>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</si>
  <si>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</si>
  <si>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</si>
  <si>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</si>
  <si>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</si>
  <si>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</si>
  <si>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</si>
  <si>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</si>
  <si>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</si>
  <si>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</si>
  <si>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</si>
  <si>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</si>
  <si>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</si>
  <si>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</si>
  <si>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</si>
  <si>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</si>
  <si>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</si>
  <si>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</si>
  <si>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</si>
  <si>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</si>
  <si>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</si>
  <si>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</si>
  <si>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</si>
  <si>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</si>
  <si>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</si>
  <si>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</si>
  <si>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</si>
  <si>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</si>
  <si>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</si>
  <si>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</si>
  <si>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</si>
  <si>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</si>
  <si>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</si>
  <si>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</si>
  <si>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</si>
  <si>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</si>
  <si>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</si>
  <si>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</si>
  <si>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</si>
  <si>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</si>
  <si>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</si>
  <si>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</si>
  <si>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</si>
  <si>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</si>
  <si>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</si>
  <si>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</si>
  <si>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</si>
  <si>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</si>
  <si>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</si>
  <si>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</si>
  <si>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</si>
  <si>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</si>
  <si>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</si>
  <si>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</si>
  <si>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</si>
  <si>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</si>
  <si>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</si>
  <si>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</si>
  <si>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</si>
  <si>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</si>
  <si>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</si>
  <si>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</si>
  <si>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</si>
  <si>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</si>
  <si>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</si>
  <si>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</si>
  <si>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</si>
  <si>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</si>
  <si>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</si>
  <si>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</si>
  <si>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</si>
  <si>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</si>
  <si>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</si>
  <si>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</si>
  <si>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</si>
  <si>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</si>
  <si>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</si>
  <si>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</si>
  <si>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</si>
  <si>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</si>
  <si>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</si>
  <si>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</si>
  <si>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</si>
  <si>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</si>
  <si>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</si>
  <si>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</si>
  <si>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</si>
  <si>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</si>
  <si>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</si>
  <si>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</si>
  <si>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</si>
  <si>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</si>
  <si>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</si>
  <si>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</si>
  <si>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</si>
  <si>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</si>
  <si>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</si>
  <si>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</si>
  <si>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</si>
  <si>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</si>
  <si>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</si>
  <si>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</si>
  <si>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</si>
  <si>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</si>
  <si>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</si>
  <si>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</si>
  <si>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</si>
  <si>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</si>
  <si>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</si>
  <si>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</si>
  <si>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</si>
  <si>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</si>
  <si>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</si>
  <si>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</si>
  <si>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</si>
  <si>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</si>
  <si>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</si>
  <si>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</si>
  <si>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</si>
  <si>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</si>
  <si>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</si>
  <si>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</si>
  <si>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</si>
  <si>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</si>
  <si>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</si>
  <si>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</si>
  <si>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</si>
  <si>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</si>
  <si>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</si>
  <si>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</si>
  <si>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</si>
  <si>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</si>
  <si>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</si>
  <si>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</si>
  <si>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</si>
  <si>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</si>
  <si>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</si>
  <si>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</si>
  <si>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</si>
  <si>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</si>
  <si>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</si>
  <si>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</si>
  <si>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</si>
  <si>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</si>
  <si>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</si>
  <si>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</si>
  <si>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</si>
  <si>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</si>
  <si>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</si>
  <si>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</si>
  <si>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</si>
  <si>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</si>
  <si>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</si>
  <si>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</si>
  <si>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</si>
  <si>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</si>
  <si>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</si>
  <si>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</si>
  <si>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</si>
  <si>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</si>
  <si>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</si>
  <si>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</si>
  <si>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</si>
  <si>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</si>
  <si>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</si>
  <si>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</si>
  <si>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</si>
  <si>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</si>
  <si>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</si>
  <si>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</si>
  <si>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</si>
  <si>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</si>
  <si>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</si>
  <si>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</si>
  <si>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</si>
  <si>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</si>
  <si>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</si>
  <si>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</si>
  <si>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</si>
  <si>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</si>
  <si>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</si>
  <si>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</si>
  <si>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</si>
  <si>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</si>
  <si>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</si>
  <si>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</si>
  <si>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</si>
  <si>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</si>
  <si>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</si>
  <si>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</si>
  <si>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</si>
  <si>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</si>
  <si>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</si>
  <si>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</si>
  <si>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</si>
  <si>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</si>
  <si>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</si>
  <si>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</si>
  <si>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</si>
  <si>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</si>
  <si>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</si>
  <si>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</si>
  <si>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</si>
  <si>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</si>
  <si>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</si>
  <si>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</si>
  <si>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</si>
  <si>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</si>
  <si>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</si>
  <si>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</si>
  <si>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</si>
  <si>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</si>
  <si>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</si>
  <si>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</si>
  <si>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</si>
  <si>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</si>
  <si>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</si>
  <si>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</si>
  <si>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</si>
  <si>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</si>
  <si>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</si>
  <si>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</si>
  <si>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</si>
  <si>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</si>
  <si>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</si>
  <si>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</si>
  <si>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</si>
  <si>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</si>
  <si>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</si>
  <si>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</si>
  <si>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</si>
  <si>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</si>
  <si>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</si>
  <si>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</si>
  <si>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</si>
  <si>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</si>
  <si>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</si>
  <si>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</si>
  <si>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</si>
  <si>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</si>
  <si>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</si>
  <si>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</si>
  <si>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</si>
  <si>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</si>
  <si>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</si>
  <si>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</si>
  <si>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</si>
  <si>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</si>
  <si>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</si>
  <si>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</si>
  <si>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</si>
  <si>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</si>
  <si>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</si>
  <si>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</si>
  <si>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</si>
  <si>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</si>
  <si>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</si>
  <si>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</si>
  <si>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</si>
  <si>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</si>
  <si>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</si>
  <si>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</si>
  <si>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</si>
  <si>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</si>
  <si>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</si>
  <si>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</si>
  <si>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</si>
  <si>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</si>
  <si>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</si>
  <si>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</si>
  <si>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</si>
  <si>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</si>
  <si>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</si>
  <si>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</si>
  <si>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</si>
  <si>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</si>
  <si>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</si>
  <si>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</si>
  <si>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</si>
  <si>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</si>
  <si>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</si>
  <si>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</si>
  <si>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</si>
  <si>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</si>
  <si>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</si>
  <si>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</si>
  <si>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</si>
  <si>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</si>
  <si>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</si>
  <si>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</si>
  <si>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</si>
  <si>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</si>
  <si>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</si>
  <si>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</si>
  <si>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</si>
  <si>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</si>
  <si>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</si>
  <si>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</si>
  <si>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</si>
  <si>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</si>
  <si>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</si>
  <si>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</si>
  <si>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</si>
  <si>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</si>
  <si>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</si>
  <si>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</si>
  <si>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</si>
  <si>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</si>
  <si>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</si>
  <si>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</si>
  <si>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</si>
  <si>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</si>
  <si>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</si>
  <si>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</si>
  <si>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</si>
  <si>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</si>
  <si>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</si>
  <si>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</si>
  <si>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</si>
  <si>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</si>
  <si>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</si>
  <si>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</si>
  <si>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</si>
  <si>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</si>
  <si>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</si>
  <si>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</si>
  <si>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</si>
  <si>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</si>
  <si>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</si>
  <si>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</si>
  <si>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</si>
  <si>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</si>
  <si>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</si>
  <si>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</si>
  <si>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</si>
  <si>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</si>
  <si>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</si>
  <si>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</si>
  <si>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</si>
  <si>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</si>
  <si>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</si>
  <si>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</si>
  <si>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</si>
  <si>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</si>
  <si>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</si>
  <si>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</si>
  <si>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</si>
  <si>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</si>
  <si>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</si>
  <si>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</si>
  <si>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</si>
  <si>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</si>
  <si>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</si>
  <si>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</si>
  <si>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</si>
  <si>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</si>
  <si>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</si>
  <si>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</si>
  <si>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</si>
  <si>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</si>
  <si>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</si>
  <si>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</si>
  <si>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</si>
  <si>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</si>
  <si>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</si>
  <si>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</si>
  <si>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</si>
  <si>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</si>
  <si>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</si>
  <si>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</si>
  <si>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</si>
  <si>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</si>
  <si>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</si>
  <si>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</si>
  <si>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</si>
  <si>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</si>
  <si>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</si>
  <si>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</si>
  <si>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</si>
  <si>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</si>
  <si>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</si>
  <si>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</si>
  <si>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</si>
  <si>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</si>
  <si>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</si>
  <si>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</si>
  <si>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</si>
  <si>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</si>
  <si>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</si>
  <si>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</si>
  <si>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</si>
  <si>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</si>
  <si>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</si>
  <si>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</si>
  <si>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</si>
  <si>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</si>
  <si>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</si>
  <si>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</si>
  <si>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t>（自定义押金）</t>
    <phoneticPr fontId="3" type="noConversion"/>
  </si>
  <si>
    <t>（自定义押金）</t>
    <phoneticPr fontId="3" type="noConversion"/>
  </si>
  <si>
    <r>
      <rPr>
        <b/>
        <sz val="10"/>
        <color indexed="8"/>
        <rFont val="宋体"/>
        <family val="3"/>
        <charset val="134"/>
      </rPr>
      <t>未来第一年年总收益</t>
    </r>
    <phoneticPr fontId="3" type="noConversion"/>
  </si>
  <si>
    <r>
      <t>租金</t>
    </r>
    <r>
      <rPr>
        <b/>
        <sz val="12"/>
        <color rgb="FFFF0000"/>
        <rFont val="宋体"/>
        <family val="3"/>
        <charset val="134"/>
      </rPr>
      <t>（不含税）</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</si>
  <si>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</si>
  <si>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</si>
  <si>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</si>
  <si>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</si>
  <si>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</si>
  <si>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</si>
  <si>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</si>
  <si>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</si>
  <si>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</si>
  <si>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</si>
  <si>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</si>
  <si>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</si>
  <si>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</si>
  <si>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</si>
  <si>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</si>
  <si>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</si>
  <si>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</si>
  <si>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</si>
  <si>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</si>
  <si>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</si>
  <si>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</si>
  <si>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</si>
  <si>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</si>
  <si>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</si>
  <si>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</si>
  <si>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</si>
  <si>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</si>
  <si>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</si>
  <si>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</si>
  <si>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</si>
  <si>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</si>
  <si>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</si>
  <si>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</si>
  <si>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</si>
  <si>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</si>
  <si>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</si>
  <si>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</si>
  <si>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</si>
  <si>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</si>
  <si>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</si>
  <si>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</si>
  <si>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</si>
  <si>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</si>
  <si>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</si>
  <si>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（销项税额－进项税额）×附加税税率</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</si>
  <si>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</si>
  <si>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</si>
  <si>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</si>
  <si>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</si>
  <si>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</si>
  <si>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</si>
  <si>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</si>
  <si>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</si>
  <si>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</si>
  <si>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</si>
  <si>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</si>
  <si>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</si>
  <si>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</si>
  <si>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</si>
  <si>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</si>
  <si>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抵押</t>
  </si>
  <si>
    <t>房地产抵押价值</t>
  </si>
  <si>
    <t>北京市</t>
  </si>
  <si>
    <t>企业</t>
  </si>
  <si>
    <t>含税</t>
  </si>
  <si>
    <t>其他类型—销项税率</t>
  </si>
  <si>
    <t>项目模式</t>
  </si>
  <si>
    <t>售价</t>
  </si>
  <si>
    <t>1号楼</t>
  </si>
  <si>
    <t>写字间及其他附属用房</t>
  </si>
  <si>
    <t>2号楼</t>
  </si>
  <si>
    <t>3-18层</t>
  </si>
  <si>
    <t>31号楼</t>
  </si>
  <si>
    <t>库房</t>
  </si>
  <si>
    <t>商业用房</t>
  </si>
  <si>
    <t>汽车库</t>
  </si>
  <si>
    <t>商业、展示厅、库房及其他附属用房</t>
  </si>
  <si>
    <t>写字间、商业、库房及其他附属用房</t>
  </si>
  <si>
    <t>地上办公</t>
    <phoneticPr fontId="134" type="noConversion"/>
  </si>
  <si>
    <t>地上商业</t>
    <phoneticPr fontId="134" type="noConversion"/>
  </si>
  <si>
    <t>地下商业</t>
    <phoneticPr fontId="134" type="noConversion"/>
  </si>
  <si>
    <t>地下仓储</t>
  </si>
  <si>
    <t>地下仓储</t>
    <phoneticPr fontId="134" type="noConversion"/>
  </si>
  <si>
    <t>地下车库</t>
  </si>
  <si>
    <t>地下车库</t>
    <phoneticPr fontId="134" type="noConversion"/>
  </si>
  <si>
    <t>总建筑面积</t>
    <phoneticPr fontId="134" type="noConversion"/>
  </si>
  <si>
    <t>办公</t>
    <phoneticPr fontId="3" type="noConversion"/>
  </si>
  <si>
    <t>是</t>
  </si>
  <si>
    <t>地上</t>
  </si>
  <si>
    <t>商业</t>
    <phoneticPr fontId="3" type="noConversion"/>
  </si>
  <si>
    <t>地下仓储</t>
    <phoneticPr fontId="3" type="noConversion"/>
  </si>
  <si>
    <t>地下车库</t>
    <phoneticPr fontId="3" type="noConversion"/>
  </si>
  <si>
    <t>地下</t>
  </si>
  <si>
    <t>车库—办公</t>
  </si>
  <si>
    <t>基本租赁信息</t>
  </si>
  <si>
    <t>租赁期限</t>
  </si>
  <si>
    <t>现行价格含物业</t>
  </si>
  <si>
    <t>签约租金及物业费</t>
  </si>
  <si>
    <t>租金递增情况</t>
  </si>
  <si>
    <t>序号</t>
  </si>
  <si>
    <t>楼栋</t>
  </si>
  <si>
    <t>单元号</t>
  </si>
  <si>
    <t>租户名称</t>
  </si>
  <si>
    <t>所属行业</t>
  </si>
  <si>
    <t>合同类型</t>
  </si>
  <si>
    <t>建筑面积</t>
  </si>
  <si>
    <t>开始日期</t>
  </si>
  <si>
    <t>结束日期</t>
  </si>
  <si>
    <t>租期</t>
  </si>
  <si>
    <t>日租金</t>
  </si>
  <si>
    <t>月管理费</t>
  </si>
  <si>
    <t>第1次涨租日</t>
  </si>
  <si>
    <t>增幅</t>
  </si>
  <si>
    <t>调整后日租金</t>
  </si>
  <si>
    <t>租赁租户</t>
  </si>
  <si>
    <t/>
  </si>
  <si>
    <t>3层整层</t>
  </si>
  <si>
    <t>北银消费金融有限公司</t>
  </si>
  <si>
    <t>金融、投资及保险业</t>
  </si>
  <si>
    <t>4层整层</t>
  </si>
  <si>
    <t>5层整层</t>
  </si>
  <si>
    <t>北京禾森弘泽园林绿化工程有限公司</t>
  </si>
  <si>
    <t>工程</t>
  </si>
  <si>
    <t>6层整层</t>
  </si>
  <si>
    <t>咫美（北京）科技有限公司</t>
  </si>
  <si>
    <t>零售业（含餐饮）</t>
  </si>
  <si>
    <t>北京恒一易拍科技有限公司</t>
  </si>
  <si>
    <t>专业服务业</t>
  </si>
  <si>
    <t>北京钧元数智科技有限公司</t>
  </si>
  <si>
    <t>IT及高科技</t>
  </si>
  <si>
    <t>北京亿昕韵新能源技术有限公司</t>
  </si>
  <si>
    <t>8层整层</t>
  </si>
  <si>
    <t>中科联芯（广州）科技有限公司</t>
  </si>
  <si>
    <t>空置</t>
  </si>
  <si>
    <t>北京博睿天成科技有限公司</t>
  </si>
  <si>
    <t>中诚食安（北京）供应链管理有限公司</t>
  </si>
  <si>
    <t>北京中电华安科技股份有限公司</t>
  </si>
  <si>
    <t>人民电器集团有限公司</t>
  </si>
  <si>
    <t>制造业</t>
  </si>
  <si>
    <t>北京中安浩达建筑工程有限公司</t>
  </si>
  <si>
    <t>通讯设备集成</t>
  </si>
  <si>
    <t>北京中建远程建设有限公司</t>
  </si>
  <si>
    <t>专业技术服务</t>
  </si>
  <si>
    <t>北京言鼎运动文化股份有限公司</t>
  </si>
  <si>
    <t>文体娱乐</t>
  </si>
  <si>
    <t>北京言鼎中创健康科技有限公司</t>
  </si>
  <si>
    <t>北京言鼎华创体育发展有限公司</t>
  </si>
  <si>
    <t>北京涌泉私募基金管理有限公司</t>
  </si>
  <si>
    <t>金融业</t>
  </si>
  <si>
    <t>卓世科技（海南）有限公司</t>
  </si>
  <si>
    <t>15层整层</t>
  </si>
  <si>
    <t>北京础瑜广告有限公司</t>
  </si>
  <si>
    <t>北京美澄广告有限公司</t>
  </si>
  <si>
    <t>17层整层</t>
  </si>
  <si>
    <t>北京聚星动力文化传媒有限公司</t>
  </si>
  <si>
    <t>文化传媒</t>
  </si>
  <si>
    <t>18层整层</t>
  </si>
  <si>
    <t>总面积</t>
  </si>
  <si>
    <t>出租面积</t>
  </si>
  <si>
    <t>总出租率</t>
  </si>
  <si>
    <t>占用面积</t>
  </si>
  <si>
    <t>可租面积</t>
  </si>
  <si>
    <t>出租率</t>
  </si>
  <si>
    <t>办公可租</t>
  </si>
  <si>
    <t>办公占用</t>
  </si>
  <si>
    <t>办公出租率</t>
  </si>
  <si>
    <t>龙鼎（内蒙古）农业股份有限公司</t>
  </si>
  <si>
    <t>贸易</t>
  </si>
  <si>
    <t>北京壹芯科技有限公司</t>
  </si>
  <si>
    <t>北京云集至科技有限公司</t>
  </si>
  <si>
    <t>中灵智汇（北京）科技有限公司</t>
  </si>
  <si>
    <t>广西东呈酒店管理集团股份有限公司</t>
  </si>
  <si>
    <t>502、503</t>
  </si>
  <si>
    <t>鹿鸣影业有限公司</t>
  </si>
  <si>
    <t>北京中航科电测控技术股份有限公司</t>
  </si>
  <si>
    <t>北京中能诺泰节能环保技术有限责任公司</t>
  </si>
  <si>
    <t>能源行业</t>
  </si>
  <si>
    <t>7层整层</t>
  </si>
  <si>
    <t>香阁娜国际生物科技（北京）有限公司</t>
  </si>
  <si>
    <t>北京旋极安辰计算科技有限公司</t>
  </si>
  <si>
    <t>802-1</t>
  </si>
  <si>
    <t>固安县赛末点服饰中心</t>
  </si>
  <si>
    <t>802-2</t>
  </si>
  <si>
    <t>北京德西语贸易有限公司</t>
  </si>
  <si>
    <t>北京贝亿医疗器械有限公司</t>
  </si>
  <si>
    <t>北京汇亚昊正管理咨询服务集团有限公司</t>
  </si>
  <si>
    <t>北京青藤谷禧干细胞科技研究院有限公司</t>
  </si>
  <si>
    <t>生物医疗</t>
  </si>
  <si>
    <t>美丽人生国际生物科技（北京）有限公司</t>
  </si>
  <si>
    <t>北京优路成检测技术有限公司</t>
  </si>
  <si>
    <t>设备工程（智能环保/电网）</t>
  </si>
  <si>
    <t>北京真开心网络科技有限公司</t>
  </si>
  <si>
    <t>北京安优伟业科技开发有限公司</t>
  </si>
  <si>
    <t>北京熵行科技有限公司</t>
  </si>
  <si>
    <t>北京京扬物业管理有限责任公司</t>
  </si>
  <si>
    <t>12层整层</t>
  </si>
  <si>
    <t>北京市波司登贸易有限公司</t>
  </si>
  <si>
    <t>西能（北京）投资有限公司</t>
  </si>
  <si>
    <t>西部传媒有限公司</t>
  </si>
  <si>
    <t>西开资本有限公司</t>
  </si>
  <si>
    <t>西科极成电子科技（北京）有限公司</t>
  </si>
  <si>
    <t>北京奇峰聚能科技有限公司</t>
  </si>
  <si>
    <t>北京迪艾尔软件技术有限公司</t>
  </si>
  <si>
    <t>北京京威保安服务有限公司</t>
  </si>
  <si>
    <t>16层整层</t>
  </si>
  <si>
    <t>北京讯客信息技术有限公司</t>
  </si>
  <si>
    <t>第2次涨租日</t>
  </si>
  <si>
    <t>北京星巴克咖啡有限公司</t>
  </si>
  <si>
    <t>1-2层</t>
  </si>
  <si>
    <t>南段部分一、二层单元</t>
  </si>
  <si>
    <t>北京瑞程医院管理有限公司瑞泰口腔医院丰台分院</t>
  </si>
  <si>
    <t>110A/110B/111A/111B/112A/112B/113A/113B/103A/103B；201A/210B/211A/211B</t>
  </si>
  <si>
    <t>北京丰台众仁堂中医医院</t>
  </si>
  <si>
    <t>R02002-2</t>
  </si>
  <si>
    <t>B1层B101-B104</t>
  </si>
  <si>
    <t>北京全意餐饮管理有限公司</t>
  </si>
  <si>
    <t>115、116、117、205、215、216、217</t>
  </si>
  <si>
    <t>北京爱康国宾总部基地门诊部有限公司</t>
  </si>
  <si>
    <t>31号商业106-206</t>
  </si>
  <si>
    <t>101-146</t>
  </si>
  <si>
    <t>北京好麦餐饮管理有限公司南四环西路分公司</t>
  </si>
  <si>
    <t>101-147/148</t>
  </si>
  <si>
    <t>北京蓝悦心水文化有限公司</t>
  </si>
  <si>
    <t>押一</t>
  </si>
  <si>
    <t>按不含税租金收入（有效毛租金收入）计税</t>
  </si>
  <si>
    <t>钢混</t>
  </si>
  <si>
    <t>非生产用房</t>
  </si>
  <si>
    <t>否</t>
  </si>
  <si>
    <t>成新度</t>
  </si>
  <si>
    <t>收益法-办公</t>
  </si>
  <si>
    <t>收益法-办公</t>
    <phoneticPr fontId="16" type="noConversion"/>
  </si>
  <si>
    <t>收益法-商业</t>
  </si>
  <si>
    <t>收益法-商业</t>
    <phoneticPr fontId="16" type="noConversion"/>
  </si>
  <si>
    <t>收益法-仓储</t>
  </si>
  <si>
    <t>收益法-仓储</t>
    <phoneticPr fontId="16" type="noConversion"/>
  </si>
  <si>
    <t>收益法-车库</t>
  </si>
  <si>
    <t>收益法-车库</t>
    <phoneticPr fontId="16" type="noConversion"/>
  </si>
  <si>
    <t>收益法（汇总）</t>
  </si>
  <si>
    <t>成交时间</t>
  </si>
  <si>
    <t>楼栋号</t>
  </si>
  <si>
    <t>楼层号</t>
  </si>
  <si>
    <t>房间号</t>
  </si>
  <si>
    <t>许可证号</t>
  </si>
  <si>
    <t>物业类型</t>
  </si>
  <si>
    <t>户型</t>
  </si>
  <si>
    <t>套数</t>
  </si>
  <si>
    <t>成交面积(㎡)</t>
  </si>
  <si>
    <t>成交金额(万元)</t>
  </si>
  <si>
    <t>成交单价(元/㎡)</t>
  </si>
  <si>
    <t>7号楼</t>
  </si>
  <si>
    <t>现：京(2023)丰不动产权第0029386号</t>
  </si>
  <si>
    <t>其他</t>
  </si>
  <si>
    <t>正常</t>
  </si>
  <si>
    <t>商业、办公</t>
  </si>
  <si>
    <t>商业、办公</t>
    <phoneticPr fontId="31" type="noConversion"/>
  </si>
  <si>
    <t>写字楼</t>
  </si>
  <si>
    <t>悦荣中心</t>
    <phoneticPr fontId="3" type="noConversion"/>
  </si>
  <si>
    <t>上市时间</t>
  </si>
  <si>
    <t>成交周期(天)</t>
  </si>
  <si>
    <t>总楼层</t>
  </si>
  <si>
    <t>B2023</t>
  </si>
  <si>
    <t>现：京(2023)朝不动产权第0022044号</t>
  </si>
  <si>
    <t>车库/车位</t>
  </si>
  <si>
    <t>B3054</t>
  </si>
  <si>
    <t>B2018</t>
  </si>
  <si>
    <t>B2027</t>
  </si>
  <si>
    <t>B2024</t>
  </si>
  <si>
    <t>B3014</t>
  </si>
  <si>
    <t>B3020</t>
  </si>
  <si>
    <t>B3007</t>
  </si>
  <si>
    <t>B3028</t>
  </si>
  <si>
    <t>B3011</t>
  </si>
  <si>
    <t>B3009</t>
  </si>
  <si>
    <t>B2017</t>
  </si>
  <si>
    <t>B3018</t>
  </si>
  <si>
    <t>B3006</t>
  </si>
  <si>
    <t>B2010</t>
  </si>
  <si>
    <t>B3030</t>
  </si>
  <si>
    <t>B3005</t>
  </si>
  <si>
    <t>B2021</t>
  </si>
  <si>
    <t>B2025</t>
  </si>
  <si>
    <t>B3049</t>
  </si>
  <si>
    <t>B2003</t>
  </si>
  <si>
    <t>B3008</t>
  </si>
  <si>
    <t>B3057</t>
  </si>
  <si>
    <t>B3056</t>
  </si>
  <si>
    <t>B3053</t>
  </si>
  <si>
    <t>B3019</t>
  </si>
  <si>
    <t>B2008</t>
  </si>
  <si>
    <t>B2019</t>
  </si>
  <si>
    <t>B3004</t>
  </si>
  <si>
    <t>B3012</t>
  </si>
  <si>
    <t>B3002</t>
  </si>
  <si>
    <t>B2002</t>
  </si>
  <si>
    <t>B3026</t>
  </si>
  <si>
    <t>B3021</t>
  </si>
  <si>
    <t>B3016</t>
  </si>
  <si>
    <t>B3029</t>
  </si>
  <si>
    <t>B3017</t>
  </si>
  <si>
    <t>B2032</t>
  </si>
  <si>
    <t>B3003</t>
  </si>
  <si>
    <t>B3055</t>
  </si>
  <si>
    <t>B2029</t>
  </si>
  <si>
    <t>B2015</t>
  </si>
  <si>
    <t>B3048</t>
  </si>
  <si>
    <t>B2016</t>
  </si>
  <si>
    <t>B2006</t>
  </si>
  <si>
    <t>B2030</t>
  </si>
  <si>
    <t>B2007</t>
  </si>
  <si>
    <t>B3024</t>
  </si>
  <si>
    <t>B2009</t>
  </si>
  <si>
    <t>B2020</t>
  </si>
  <si>
    <t>B3031</t>
  </si>
  <si>
    <t>B3027</t>
  </si>
  <si>
    <t>B3032</t>
  </si>
  <si>
    <t>B3001</t>
  </si>
  <si>
    <t>B2026</t>
  </si>
  <si>
    <t>B3023</t>
  </si>
  <si>
    <t>B3015</t>
  </si>
  <si>
    <t>B2004</t>
  </si>
  <si>
    <t>B3022</t>
  </si>
  <si>
    <t>B3010</t>
  </si>
  <si>
    <t>B3051</t>
  </si>
  <si>
    <t>B3013</t>
  </si>
  <si>
    <t>B2031</t>
  </si>
  <si>
    <t>B3050</t>
  </si>
  <si>
    <t>B3052</t>
  </si>
  <si>
    <t>B2005</t>
  </si>
  <si>
    <t>B3025</t>
  </si>
  <si>
    <t>B2001</t>
  </si>
  <si>
    <t>B2022</t>
  </si>
  <si>
    <t>B2028</t>
  </si>
  <si>
    <t>地上面积</t>
  </si>
  <si>
    <t>地下面积</t>
  </si>
  <si>
    <t>地下面积占比</t>
  </si>
  <si>
    <t>现：京(2022)朝不动产权第0073209号</t>
  </si>
  <si>
    <t>华樾北京</t>
    <phoneticPr fontId="3" type="noConversion"/>
  </si>
  <si>
    <t>精装修</t>
  </si>
  <si>
    <t>专业物业</t>
  </si>
  <si>
    <t>普通装修</t>
  </si>
  <si>
    <t>0-5%</t>
  </si>
  <si>
    <r>
      <rPr>
        <sz val="11"/>
        <color rgb="FF000000"/>
        <rFont val="Arial"/>
        <family val="2"/>
      </rPr>
      <t>40-50</t>
    </r>
    <r>
      <rPr>
        <sz val="11"/>
        <color rgb="FF000000"/>
        <rFont val="宋体"/>
        <family val="3"/>
        <charset val="134"/>
      </rPr>
      <t>（含）</t>
    </r>
  </si>
  <si>
    <r>
      <t>20-30</t>
    </r>
    <r>
      <rPr>
        <sz val="11"/>
        <color indexed="8"/>
        <rFont val="宋体"/>
        <family val="3"/>
        <charset val="134"/>
      </rPr>
      <t>（含）</t>
    </r>
    <phoneticPr fontId="31" type="noConversion"/>
  </si>
  <si>
    <t>地下占比</t>
    <phoneticPr fontId="31" type="noConversion"/>
  </si>
  <si>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</si>
  <si>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</si>
  <si>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</si>
  <si>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t>简单装修</t>
  </si>
  <si>
    <t>毛坯</t>
  </si>
  <si>
    <t>20-25%</t>
  </si>
  <si>
    <t>15-20%</t>
  </si>
  <si>
    <t>10-15%</t>
  </si>
  <si>
    <t>5-10%</t>
  </si>
  <si>
    <t>地下用途</t>
    <phoneticPr fontId="31" type="noConversion"/>
  </si>
  <si>
    <t>商业、仓储、车库</t>
    <phoneticPr fontId="31" type="noConversion"/>
  </si>
  <si>
    <t>无</t>
    <phoneticPr fontId="31" type="noConversion"/>
  </si>
  <si>
    <t>商业、车库</t>
    <phoneticPr fontId="31" type="noConversion"/>
  </si>
  <si>
    <t>商业</t>
    <phoneticPr fontId="31" type="noConversion"/>
  </si>
  <si>
    <t>20-25%</t>
    <phoneticPr fontId="31" type="noConversion"/>
  </si>
  <si>
    <t>15-20%</t>
    <phoneticPr fontId="31" type="noConversion"/>
  </si>
  <si>
    <r>
      <t>40-50</t>
    </r>
    <r>
      <rPr>
        <sz val="11"/>
        <rFont val="宋体"/>
        <family val="3"/>
        <charset val="134"/>
      </rPr>
      <t>（含）</t>
    </r>
    <phoneticPr fontId="31" type="noConversion"/>
  </si>
  <si>
    <t>比较法-办公</t>
  </si>
  <si>
    <t>总价</t>
  </si>
  <si>
    <t>收益比率</t>
  </si>
  <si>
    <t>1号楼年收入</t>
    <phoneticPr fontId="134" type="noConversion"/>
  </si>
  <si>
    <t>2号楼年收入</t>
    <phoneticPr fontId="134" type="noConversion"/>
  </si>
  <si>
    <t>31号楼年收入</t>
    <phoneticPr fontId="134" type="noConversion"/>
  </si>
  <si>
    <t>不含税</t>
    <phoneticPr fontId="134" type="noConversion"/>
  </si>
  <si>
    <t>平均租金</t>
    <phoneticPr fontId="134" type="noConversion"/>
  </si>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</sst>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 numFmtId="196" formatCode="yyyy\-mm\-dd"/>
    <numFmt numFmtId="197" formatCode="_(* #,##0.00_);_(* \(#,##0.00\);_(* &quot;-&quot;??_);_(@_)"/>
    <numFmt numFmtId="198" formatCode="#,##0.00_);\(#,##0.00\)"/>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b/>
      <sz val="11"/>
      <name val="楷体"/>
      <family val="3"/>
      <charset val="134"/>
    </font>
    <font>
      <sz val="12"/>
      <name val="Times New Roman"/>
      <family val="1"/>
    </font>
    <font>
      <sz val="8"/>
      <name val="微软雅黑"/>
      <family val="2"/>
      <charset val="134"/>
    </font>
    <font>
      <sz val="11"/>
      <name val="楷体"/>
      <family val="3"/>
      <charset val="134"/>
    </font>
    <font>
      <sz val="11"/>
      <color rgb="FF000000"/>
      <name val="楷体"/>
      <family val="3"/>
      <charset val="134"/>
    </font>
    <font>
      <sz val="8"/>
      <name val="楷体"/>
      <family val="3"/>
      <charset val="134"/>
    </font>
    <font>
      <sz val="12"/>
      <name val="楷体"/>
      <family val="3"/>
      <charset val="134"/>
    </font>
    <font>
      <b/>
      <sz val="11"/>
      <color rgb="FF08090C"/>
      <name val="楷体"/>
      <family val="3"/>
      <charset val="134"/>
    </font>
    <font>
      <sz val="9"/>
      <name val="楷体"/>
      <family val="3"/>
      <charset val="134"/>
    </font>
    <font>
      <sz val="11"/>
      <color rgb="FF000000"/>
      <name val="Arial"/>
      <family val="2"/>
    </font>
    <font>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4" tint="0.79989013336588644"/>
        <bgColor indexed="64"/>
      </patternFill>
    </fill>
  </fills>
  <borders count="1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style="thin">
        <color theme="4"/>
      </left>
      <right style="thin">
        <color rgb="FFFFFFFF"/>
      </right>
      <top style="thin">
        <color theme="4"/>
      </top>
      <bottom/>
      <diagonal/>
    </border>
    <border>
      <left style="thin">
        <color rgb="FFFFFFFF"/>
      </left>
      <right style="thin">
        <color rgb="FFFFFFFF"/>
      </right>
      <top style="thin">
        <color theme="4"/>
      </top>
      <bottom/>
      <diagonal/>
    </border>
    <border>
      <left style="thin">
        <color theme="4"/>
      </left>
      <right style="thin">
        <color rgb="FFFFFFFF"/>
      </right>
      <top/>
      <bottom style="thin">
        <color theme="4" tint="0.6599017303994873"/>
      </bottom>
      <diagonal/>
    </border>
    <border>
      <left style="thin">
        <color rgb="FFFFFFFF"/>
      </left>
      <right style="thin">
        <color rgb="FFFFFFFF"/>
      </right>
      <top/>
      <bottom style="thin">
        <color theme="4" tint="0.6599017303994873"/>
      </bottom>
      <diagonal/>
    </border>
    <border>
      <left style="thin">
        <color theme="4"/>
      </left>
      <right style="thin">
        <color theme="4" tint="0.6599017303994873"/>
      </right>
      <top/>
      <bottom style="thin">
        <color theme="4" tint="0.6599017303994873"/>
      </bottom>
      <diagonal/>
    </border>
    <border>
      <left style="thin">
        <color theme="4" tint="0.6599017303994873"/>
      </left>
      <right style="thin">
        <color theme="4" tint="0.6599017303994873"/>
      </right>
      <top/>
      <bottom style="thin">
        <color theme="4" tint="0.6599017303994873"/>
      </bottom>
      <diagonal/>
    </border>
    <border>
      <left style="thin">
        <color theme="4"/>
      </left>
      <right style="thin">
        <color theme="4" tint="0.6599017303994873"/>
      </right>
      <top style="thin">
        <color theme="4" tint="0.6599017303994873"/>
      </top>
      <bottom style="thin">
        <color theme="4" tint="0.6599017303994873"/>
      </bottom>
      <diagonal/>
    </border>
    <border>
      <left style="thin">
        <color theme="4" tint="0.6599017303994873"/>
      </left>
      <right style="thin">
        <color theme="4" tint="0.6599017303994873"/>
      </right>
      <top style="thin">
        <color theme="4" tint="0.6599017303994873"/>
      </top>
      <bottom style="thin">
        <color theme="4" tint="0.6599017303994873"/>
      </bottom>
      <diagonal/>
    </border>
    <border>
      <left style="thin">
        <color theme="4"/>
      </left>
      <right style="thin">
        <color theme="4" tint="0.6599017303994873"/>
      </right>
      <top style="thin">
        <color theme="4" tint="0.6599017303994873"/>
      </top>
      <bottom style="thin">
        <color theme="4"/>
      </bottom>
      <diagonal/>
    </border>
    <border>
      <left style="thin">
        <color theme="4" tint="0.6599017303994873"/>
      </left>
      <right style="thin">
        <color theme="4" tint="0.6599017303994873"/>
      </right>
      <top style="thin">
        <color theme="4" tint="0.6599017303994873"/>
      </top>
      <bottom style="thin">
        <color theme="4"/>
      </bottom>
      <diagonal/>
    </border>
    <border>
      <left/>
      <right style="thin">
        <color rgb="FFFFFFFF"/>
      </right>
      <top style="thin">
        <color theme="4"/>
      </top>
      <bottom/>
      <diagonal/>
    </border>
  </borders>
  <cellStyleXfs count="26">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xf numFmtId="0" fontId="217" fillId="0" borderId="0">
      <alignment vertical="center"/>
    </xf>
    <xf numFmtId="0" fontId="295" fillId="0" borderId="0"/>
    <xf numFmtId="197" fontId="295" fillId="0" borderId="0" applyFont="0" applyFill="0" applyBorder="0" applyAlignment="0" applyProtection="0"/>
    <xf numFmtId="9" fontId="295" fillId="0" borderId="0" applyFont="0" applyFill="0" applyBorder="0" applyAlignment="0" applyProtection="0"/>
    <xf numFmtId="0" fontId="147" fillId="0" borderId="0"/>
    <xf numFmtId="9" fontId="95" fillId="0" borderId="0" applyFont="0" applyFill="0" applyBorder="0" applyAlignment="0" applyProtection="0">
      <alignment vertical="center"/>
    </xf>
    <xf numFmtId="0" fontId="147" fillId="0" borderId="0"/>
  </cellStyleXfs>
  <cellXfs count="477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77" fillId="6" borderId="2" xfId="0" applyFont="1" applyFill="1" applyBorder="1" applyAlignment="1">
      <alignment horizontal="right" vertical="center"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lignment horizontal="right" vertical="center"/>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185" fontId="52" fillId="6" borderId="13"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49" fontId="50"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 xfId="0" applyFont="1" applyFill="1" applyBorder="1" applyAlignment="1" applyProtection="1">
      <alignment horizontal="left" vertical="center"/>
      <protection locked="0"/>
    </xf>
    <xf numFmtId="0" fontId="52" fillId="6" borderId="5"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49" fontId="52" fillId="6" borderId="11" xfId="0" applyNumberFormat="1" applyFont="1" applyFill="1" applyBorder="1" applyAlignment="1">
      <alignment horizontal="left" vertical="center"/>
    </xf>
    <xf numFmtId="0" fontId="79" fillId="6" borderId="13" xfId="0" applyFont="1" applyFill="1" applyBorder="1" applyAlignment="1">
      <alignment vertical="top" wrapText="1"/>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60" fillId="20" borderId="3" xfId="0" applyFont="1" applyFill="1" applyBorder="1">
      <alignmen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6"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0" fontId="47" fillId="5" borderId="24" xfId="0" applyFont="1" applyFill="1" applyBorder="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294" fillId="0" borderId="176" xfId="19" applyFont="1" applyBorder="1" applyAlignment="1">
      <alignment horizontal="center" vertical="center" wrapText="1"/>
    </xf>
    <xf numFmtId="0" fontId="296" fillId="0" borderId="0" xfId="20" applyFont="1" applyAlignment="1">
      <alignment vertical="center"/>
    </xf>
    <xf numFmtId="0" fontId="294" fillId="0" borderId="177" xfId="19" applyFont="1" applyBorder="1" applyAlignment="1">
      <alignment horizontal="center" vertical="center" wrapText="1"/>
    </xf>
    <xf numFmtId="0" fontId="294" fillId="0" borderId="178" xfId="19" applyFont="1" applyBorder="1" applyAlignment="1">
      <alignment horizontal="center" vertical="center" wrapText="1"/>
    </xf>
    <xf numFmtId="43" fontId="294" fillId="0" borderId="178" xfId="19" applyNumberFormat="1" applyFont="1" applyBorder="1" applyAlignment="1">
      <alignment horizontal="center" vertical="center" wrapText="1"/>
    </xf>
    <xf numFmtId="1" fontId="297" fillId="0" borderId="179" xfId="19" applyNumberFormat="1" applyFont="1" applyBorder="1" applyAlignment="1" applyProtection="1">
      <alignment horizontal="center" vertical="center" wrapText="1"/>
      <protection locked="0"/>
    </xf>
    <xf numFmtId="1" fontId="297" fillId="0" borderId="180" xfId="19" applyNumberFormat="1" applyFont="1" applyBorder="1" applyAlignment="1" applyProtection="1">
      <alignment horizontal="center" vertical="center" wrapText="1"/>
      <protection locked="0"/>
    </xf>
    <xf numFmtId="1" fontId="297" fillId="0" borderId="180" xfId="19" applyNumberFormat="1" applyFont="1" applyBorder="1" applyAlignment="1" applyProtection="1">
      <alignment horizontal="left" vertical="center" wrapText="1"/>
      <protection locked="0"/>
    </xf>
    <xf numFmtId="0" fontId="297" fillId="0" borderId="180" xfId="20" applyFont="1" applyBorder="1" applyAlignment="1">
      <alignment horizontal="center" vertical="center" wrapText="1"/>
    </xf>
    <xf numFmtId="196" fontId="297" fillId="0" borderId="180" xfId="19" applyNumberFormat="1" applyFont="1" applyBorder="1" applyAlignment="1" applyProtection="1">
      <alignment horizontal="center" vertical="center" wrapText="1"/>
      <protection locked="0"/>
    </xf>
    <xf numFmtId="43" fontId="297" fillId="0" borderId="180" xfId="19" applyNumberFormat="1" applyFont="1" applyBorder="1" applyAlignment="1" applyProtection="1">
      <alignment horizontal="center" vertical="center" wrapText="1"/>
      <protection locked="0"/>
    </xf>
    <xf numFmtId="0" fontId="296" fillId="7" borderId="0" xfId="20" applyFont="1" applyFill="1" applyAlignment="1">
      <alignment vertical="center"/>
    </xf>
    <xf numFmtId="1" fontId="297" fillId="7" borderId="181" xfId="19" applyNumberFormat="1" applyFont="1" applyFill="1" applyBorder="1" applyAlignment="1" applyProtection="1">
      <alignment horizontal="center" vertical="center" wrapText="1"/>
      <protection locked="0"/>
    </xf>
    <xf numFmtId="1" fontId="297" fillId="7" borderId="182" xfId="19" applyNumberFormat="1" applyFont="1" applyFill="1" applyBorder="1" applyAlignment="1" applyProtection="1">
      <alignment horizontal="center" vertical="center" wrapText="1"/>
      <protection locked="0"/>
    </xf>
    <xf numFmtId="0" fontId="297" fillId="7" borderId="182" xfId="19" applyFont="1" applyFill="1" applyBorder="1" applyAlignment="1" applyProtection="1">
      <alignment horizontal="left" vertical="center" wrapText="1"/>
      <protection locked="0"/>
    </xf>
    <xf numFmtId="1" fontId="297" fillId="7" borderId="182" xfId="19" applyNumberFormat="1" applyFont="1" applyFill="1" applyBorder="1" applyAlignment="1" applyProtection="1">
      <alignment horizontal="left" vertical="center" wrapText="1"/>
      <protection locked="0"/>
    </xf>
    <xf numFmtId="197" fontId="297" fillId="7" borderId="182" xfId="21" applyFont="1" applyFill="1" applyBorder="1" applyAlignment="1" applyProtection="1">
      <alignment horizontal="center" vertical="center" wrapText="1"/>
      <protection locked="0"/>
    </xf>
    <xf numFmtId="196" fontId="297" fillId="7" borderId="182" xfId="19" applyNumberFormat="1" applyFont="1" applyFill="1" applyBorder="1" applyAlignment="1" applyProtection="1">
      <alignment horizontal="center" vertical="center" wrapText="1"/>
      <protection locked="0"/>
    </xf>
    <xf numFmtId="198" fontId="297" fillId="7" borderId="182" xfId="21" applyNumberFormat="1" applyFont="1" applyFill="1" applyBorder="1" applyAlignment="1" applyProtection="1">
      <alignment horizontal="center" vertical="center" wrapText="1"/>
      <protection locked="0"/>
    </xf>
    <xf numFmtId="43" fontId="297" fillId="7" borderId="182" xfId="19" applyNumberFormat="1" applyFont="1" applyFill="1" applyBorder="1" applyAlignment="1" applyProtection="1">
      <alignment horizontal="center" vertical="center" wrapText="1"/>
      <protection locked="0"/>
    </xf>
    <xf numFmtId="9" fontId="297" fillId="7" borderId="182" xfId="22" applyFont="1" applyFill="1" applyBorder="1" applyAlignment="1" applyProtection="1">
      <alignment horizontal="center" vertical="center" wrapText="1"/>
      <protection locked="0"/>
    </xf>
    <xf numFmtId="43" fontId="297" fillId="7" borderId="182" xfId="21" applyNumberFormat="1" applyFont="1" applyFill="1" applyBorder="1" applyAlignment="1" applyProtection="1">
      <alignment horizontal="center" vertical="center" wrapText="1"/>
      <protection locked="0"/>
    </xf>
    <xf numFmtId="0" fontId="298" fillId="7" borderId="181" xfId="20" applyFont="1" applyFill="1" applyBorder="1" applyAlignment="1">
      <alignment horizontal="center" vertical="center" wrapText="1"/>
    </xf>
    <xf numFmtId="0" fontId="298" fillId="7" borderId="182" xfId="20" applyFont="1" applyFill="1" applyBorder="1" applyAlignment="1">
      <alignment horizontal="center" vertical="center" wrapText="1"/>
    </xf>
    <xf numFmtId="0" fontId="298" fillId="7" borderId="182" xfId="20" applyFont="1" applyFill="1" applyBorder="1" applyAlignment="1">
      <alignment horizontal="left" vertical="center" wrapText="1"/>
    </xf>
    <xf numFmtId="0" fontId="298" fillId="7" borderId="182" xfId="19" applyFont="1" applyFill="1" applyBorder="1" applyAlignment="1">
      <alignment horizontal="center" vertical="center" wrapText="1"/>
    </xf>
    <xf numFmtId="43" fontId="298" fillId="7" borderId="182" xfId="20" applyNumberFormat="1" applyFont="1" applyFill="1" applyBorder="1" applyAlignment="1">
      <alignment horizontal="center" vertical="center" wrapText="1"/>
    </xf>
    <xf numFmtId="10" fontId="298" fillId="7" borderId="182" xfId="20" applyNumberFormat="1" applyFont="1" applyFill="1" applyBorder="1" applyAlignment="1">
      <alignment horizontal="center" vertical="center" wrapText="1"/>
    </xf>
    <xf numFmtId="9" fontId="298" fillId="7" borderId="182" xfId="20" applyNumberFormat="1" applyFont="1" applyFill="1" applyBorder="1" applyAlignment="1">
      <alignment horizontal="center" vertical="center" wrapText="1"/>
    </xf>
    <xf numFmtId="0" fontId="298" fillId="7" borderId="183" xfId="20" applyFont="1" applyFill="1" applyBorder="1" applyAlignment="1">
      <alignment horizontal="center" vertical="center" wrapText="1"/>
    </xf>
    <xf numFmtId="0" fontId="298" fillId="7" borderId="184" xfId="20" applyFont="1" applyFill="1" applyBorder="1" applyAlignment="1">
      <alignment horizontal="center" vertical="center" wrapText="1"/>
    </xf>
    <xf numFmtId="0" fontId="298" fillId="7" borderId="184" xfId="20" applyFont="1" applyFill="1" applyBorder="1" applyAlignment="1">
      <alignment horizontal="left" vertical="center" wrapText="1"/>
    </xf>
    <xf numFmtId="0" fontId="298" fillId="7" borderId="184" xfId="19" applyFont="1" applyFill="1" applyBorder="1" applyAlignment="1">
      <alignment horizontal="center" vertical="center" wrapText="1"/>
    </xf>
    <xf numFmtId="2" fontId="298" fillId="7" borderId="184" xfId="20" applyNumberFormat="1" applyFont="1" applyFill="1" applyBorder="1" applyAlignment="1">
      <alignment horizontal="center" vertical="center" wrapText="1"/>
    </xf>
    <xf numFmtId="43" fontId="298" fillId="7" borderId="184" xfId="20" applyNumberFormat="1" applyFont="1" applyFill="1" applyBorder="1" applyAlignment="1">
      <alignment horizontal="center" vertical="center" wrapText="1"/>
    </xf>
    <xf numFmtId="0" fontId="299" fillId="7" borderId="0" xfId="19" applyFont="1" applyFill="1">
      <alignment vertical="center"/>
    </xf>
    <xf numFmtId="0" fontId="299" fillId="7" borderId="0" xfId="20" applyFont="1" applyFill="1" applyAlignment="1">
      <alignment vertical="center"/>
    </xf>
    <xf numFmtId="0" fontId="300" fillId="7" borderId="0" xfId="20" applyFont="1" applyFill="1" applyAlignment="1">
      <alignment vertical="center"/>
    </xf>
    <xf numFmtId="0" fontId="299" fillId="7" borderId="0" xfId="20" applyFont="1" applyFill="1" applyAlignment="1">
      <alignment horizontal="center" vertical="center"/>
    </xf>
    <xf numFmtId="43" fontId="299" fillId="7" borderId="0" xfId="20" applyNumberFormat="1" applyFont="1" applyFill="1" applyAlignment="1">
      <alignment vertical="center"/>
    </xf>
    <xf numFmtId="197" fontId="298" fillId="7" borderId="182" xfId="21" applyFont="1" applyFill="1" applyBorder="1" applyAlignment="1" applyProtection="1">
      <alignment horizontal="center" vertical="center" wrapText="1"/>
      <protection locked="0"/>
    </xf>
    <xf numFmtId="10" fontId="299" fillId="7" borderId="0" xfId="22" applyNumberFormat="1" applyFont="1" applyFill="1" applyAlignment="1">
      <alignment vertical="center"/>
    </xf>
    <xf numFmtId="0" fontId="299" fillId="0" borderId="0" xfId="20" applyFont="1" applyAlignment="1">
      <alignment vertical="center"/>
    </xf>
    <xf numFmtId="0" fontId="299" fillId="0" borderId="0" xfId="20" applyFont="1" applyAlignment="1">
      <alignment horizontal="center" vertical="center"/>
    </xf>
    <xf numFmtId="43" fontId="299" fillId="0" borderId="0" xfId="20" applyNumberFormat="1" applyFont="1" applyAlignment="1">
      <alignment vertical="center"/>
    </xf>
    <xf numFmtId="0" fontId="299" fillId="0" borderId="0" xfId="20" applyFont="1" applyAlignment="1">
      <alignment vertical="center" wrapText="1"/>
    </xf>
    <xf numFmtId="0" fontId="299" fillId="0" borderId="0" xfId="20" applyFont="1" applyAlignment="1">
      <alignment horizontal="right" vertical="center"/>
    </xf>
    <xf numFmtId="10" fontId="299" fillId="0" borderId="0" xfId="22" applyNumberFormat="1" applyFont="1" applyAlignment="1">
      <alignment vertical="center"/>
    </xf>
    <xf numFmtId="1" fontId="297" fillId="0" borderId="181" xfId="19" applyNumberFormat="1" applyFont="1" applyBorder="1" applyAlignment="1" applyProtection="1">
      <alignment horizontal="center" vertical="center" wrapText="1"/>
      <protection locked="0"/>
    </xf>
    <xf numFmtId="1" fontId="297" fillId="0" borderId="182" xfId="19" applyNumberFormat="1" applyFont="1" applyBorder="1" applyAlignment="1" applyProtection="1">
      <alignment horizontal="center" vertical="center" wrapText="1"/>
      <protection locked="0"/>
    </xf>
    <xf numFmtId="0" fontId="297" fillId="0" borderId="182" xfId="19" applyFont="1" applyBorder="1" applyAlignment="1" applyProtection="1">
      <alignment horizontal="left" vertical="center" wrapText="1"/>
      <protection locked="0"/>
    </xf>
    <xf numFmtId="197" fontId="297" fillId="0" borderId="182" xfId="21" applyFont="1" applyFill="1" applyBorder="1" applyAlignment="1" applyProtection="1">
      <alignment horizontal="center" vertical="center" wrapText="1"/>
      <protection locked="0"/>
    </xf>
    <xf numFmtId="196" fontId="297" fillId="0" borderId="182" xfId="19" applyNumberFormat="1" applyFont="1" applyBorder="1" applyAlignment="1" applyProtection="1">
      <alignment horizontal="center" vertical="center" wrapText="1"/>
      <protection locked="0"/>
    </xf>
    <xf numFmtId="198" fontId="297" fillId="0" borderId="182" xfId="21" applyNumberFormat="1" applyFont="1" applyFill="1" applyBorder="1" applyAlignment="1" applyProtection="1">
      <alignment horizontal="center" vertical="center" wrapText="1"/>
      <protection locked="0"/>
    </xf>
    <xf numFmtId="43" fontId="297" fillId="0" borderId="182" xfId="19" applyNumberFormat="1" applyFont="1" applyBorder="1" applyAlignment="1" applyProtection="1">
      <alignment horizontal="center" vertical="center" wrapText="1"/>
      <protection locked="0"/>
    </xf>
    <xf numFmtId="9" fontId="297" fillId="0" borderId="182" xfId="22" applyFont="1" applyFill="1" applyBorder="1" applyAlignment="1" applyProtection="1">
      <alignment horizontal="center" vertical="center" wrapText="1"/>
      <protection locked="0"/>
    </xf>
    <xf numFmtId="43" fontId="297" fillId="0" borderId="182" xfId="21" applyNumberFormat="1" applyFont="1" applyFill="1" applyBorder="1" applyAlignment="1" applyProtection="1">
      <alignment horizontal="center" vertical="center" wrapText="1"/>
      <protection locked="0"/>
    </xf>
    <xf numFmtId="1" fontId="297" fillId="0" borderId="182" xfId="19" applyNumberFormat="1" applyFont="1" applyBorder="1" applyAlignment="1" applyProtection="1">
      <alignment horizontal="left" vertical="center" wrapText="1"/>
      <protection locked="0"/>
    </xf>
    <xf numFmtId="0" fontId="297" fillId="0" borderId="182" xfId="20" applyFont="1" applyBorder="1" applyAlignment="1">
      <alignment horizontal="center" vertical="center" wrapText="1"/>
    </xf>
    <xf numFmtId="0" fontId="298" fillId="12" borderId="182" xfId="20" applyFont="1" applyFill="1" applyBorder="1" applyAlignment="1">
      <alignment horizontal="center" vertical="center" wrapText="1"/>
    </xf>
    <xf numFmtId="0" fontId="298" fillId="12" borderId="182" xfId="19" applyFont="1" applyFill="1" applyBorder="1" applyAlignment="1">
      <alignment horizontal="center" vertical="center" wrapText="1"/>
    </xf>
    <xf numFmtId="43" fontId="298" fillId="12" borderId="182" xfId="20" applyNumberFormat="1" applyFont="1" applyFill="1" applyBorder="1" applyAlignment="1">
      <alignment horizontal="center" vertical="center" wrapText="1"/>
    </xf>
    <xf numFmtId="9" fontId="298" fillId="12" borderId="182" xfId="22" applyFont="1" applyFill="1" applyBorder="1" applyAlignment="1">
      <alignment horizontal="center" vertical="center" wrapText="1"/>
    </xf>
    <xf numFmtId="10" fontId="298" fillId="12" borderId="182" xfId="20" applyNumberFormat="1" applyFont="1" applyFill="1" applyBorder="1" applyAlignment="1">
      <alignment horizontal="center" vertical="center" wrapText="1"/>
    </xf>
    <xf numFmtId="9" fontId="298" fillId="12" borderId="182" xfId="20" applyNumberFormat="1" applyFont="1" applyFill="1" applyBorder="1" applyAlignment="1">
      <alignment horizontal="center" vertical="center" wrapText="1"/>
    </xf>
    <xf numFmtId="0" fontId="298" fillId="12" borderId="184" xfId="19" applyFont="1" applyFill="1" applyBorder="1" applyAlignment="1">
      <alignment horizontal="center" vertical="center" wrapText="1"/>
    </xf>
    <xf numFmtId="2" fontId="298" fillId="12" borderId="184" xfId="20" applyNumberFormat="1" applyFont="1" applyFill="1" applyBorder="1" applyAlignment="1">
      <alignment horizontal="center" vertical="center" wrapText="1"/>
    </xf>
    <xf numFmtId="0" fontId="298" fillId="12" borderId="184" xfId="20" applyFont="1" applyFill="1" applyBorder="1" applyAlignment="1">
      <alignment horizontal="center" vertical="center" wrapText="1"/>
    </xf>
    <xf numFmtId="43" fontId="298" fillId="12" borderId="184" xfId="20" applyNumberFormat="1" applyFont="1" applyFill="1" applyBorder="1" applyAlignment="1">
      <alignment horizontal="center" vertical="center" wrapText="1"/>
    </xf>
    <xf numFmtId="9" fontId="298" fillId="12" borderId="184" xfId="22" applyFont="1" applyFill="1" applyBorder="1" applyAlignment="1">
      <alignment horizontal="center" vertical="center" wrapText="1"/>
    </xf>
    <xf numFmtId="0" fontId="299" fillId="0" borderId="0" xfId="19" applyFont="1">
      <alignment vertical="center"/>
    </xf>
    <xf numFmtId="9" fontId="299" fillId="0" borderId="0" xfId="22" applyFont="1" applyFill="1" applyAlignment="1">
      <alignment vertical="center"/>
    </xf>
    <xf numFmtId="9" fontId="299" fillId="0" borderId="0" xfId="22" applyFont="1" applyAlignment="1">
      <alignment vertical="center"/>
    </xf>
    <xf numFmtId="0" fontId="301" fillId="23" borderId="185" xfId="19" applyFont="1" applyFill="1" applyBorder="1" applyAlignment="1">
      <alignment horizontal="center" vertical="center" wrapText="1"/>
    </xf>
    <xf numFmtId="0" fontId="301" fillId="23" borderId="177" xfId="19" applyFont="1" applyFill="1" applyBorder="1" applyAlignment="1">
      <alignment horizontal="center" vertical="center" wrapText="1"/>
    </xf>
    <xf numFmtId="0" fontId="301" fillId="23" borderId="178" xfId="19" applyFont="1" applyFill="1" applyBorder="1" applyAlignment="1">
      <alignment horizontal="center" vertical="center" wrapText="1"/>
    </xf>
    <xf numFmtId="43" fontId="301" fillId="23" borderId="178" xfId="19" applyNumberFormat="1" applyFont="1" applyFill="1" applyBorder="1" applyAlignment="1">
      <alignment horizontal="center" vertical="center" wrapText="1"/>
    </xf>
    <xf numFmtId="1" fontId="298" fillId="12" borderId="179" xfId="19" applyNumberFormat="1" applyFont="1" applyFill="1" applyBorder="1" applyAlignment="1" applyProtection="1">
      <alignment horizontal="center" vertical="center" wrapText="1"/>
      <protection locked="0"/>
    </xf>
    <xf numFmtId="1" fontId="298" fillId="12" borderId="180" xfId="19" applyNumberFormat="1" applyFont="1" applyFill="1" applyBorder="1" applyAlignment="1" applyProtection="1">
      <alignment horizontal="center" vertical="center" wrapText="1"/>
      <protection locked="0"/>
    </xf>
    <xf numFmtId="1" fontId="298" fillId="12" borderId="180" xfId="19" applyNumberFormat="1" applyFont="1" applyFill="1" applyBorder="1" applyAlignment="1" applyProtection="1">
      <alignment horizontal="left" vertical="center" wrapText="1"/>
      <protection locked="0"/>
    </xf>
    <xf numFmtId="0" fontId="298" fillId="12" borderId="180" xfId="20" applyFont="1" applyFill="1" applyBorder="1" applyAlignment="1">
      <alignment horizontal="center" vertical="center" wrapText="1"/>
    </xf>
    <xf numFmtId="196" fontId="298" fillId="12" borderId="180" xfId="19" applyNumberFormat="1" applyFont="1" applyFill="1" applyBorder="1" applyAlignment="1" applyProtection="1">
      <alignment horizontal="center" vertical="center" wrapText="1"/>
      <protection locked="0"/>
    </xf>
    <xf numFmtId="43" fontId="298" fillId="12" borderId="180" xfId="19" applyNumberFormat="1" applyFont="1" applyFill="1" applyBorder="1" applyAlignment="1" applyProtection="1">
      <alignment horizontal="center" vertical="center" wrapText="1"/>
      <protection locked="0"/>
    </xf>
    <xf numFmtId="1" fontId="298" fillId="12" borderId="181" xfId="19" applyNumberFormat="1" applyFont="1" applyFill="1" applyBorder="1" applyAlignment="1" applyProtection="1">
      <alignment horizontal="center" vertical="center" wrapText="1"/>
      <protection locked="0"/>
    </xf>
    <xf numFmtId="1" fontId="298" fillId="12" borderId="182" xfId="19" applyNumberFormat="1" applyFont="1" applyFill="1" applyBorder="1" applyAlignment="1" applyProtection="1">
      <alignment horizontal="center" vertical="center" wrapText="1"/>
      <protection locked="0"/>
    </xf>
    <xf numFmtId="1" fontId="298" fillId="12" borderId="182" xfId="19" applyNumberFormat="1" applyFont="1" applyFill="1" applyBorder="1" applyAlignment="1" applyProtection="1">
      <alignment horizontal="left" vertical="center" wrapText="1"/>
      <protection locked="0"/>
    </xf>
    <xf numFmtId="197" fontId="298" fillId="12" borderId="182" xfId="21" applyFont="1" applyFill="1" applyBorder="1" applyAlignment="1" applyProtection="1">
      <alignment horizontal="center" vertical="center" wrapText="1"/>
      <protection locked="0"/>
    </xf>
    <xf numFmtId="196" fontId="298" fillId="12" borderId="182" xfId="19" applyNumberFormat="1" applyFont="1" applyFill="1" applyBorder="1" applyAlignment="1" applyProtection="1">
      <alignment horizontal="center" vertical="center" wrapText="1"/>
      <protection locked="0"/>
    </xf>
    <xf numFmtId="198" fontId="298" fillId="12" borderId="182" xfId="21" applyNumberFormat="1" applyFont="1" applyFill="1" applyBorder="1" applyAlignment="1" applyProtection="1">
      <alignment horizontal="center" vertical="center" wrapText="1"/>
      <protection locked="0"/>
    </xf>
    <xf numFmtId="43" fontId="298" fillId="12" borderId="182" xfId="19" applyNumberFormat="1" applyFont="1" applyFill="1" applyBorder="1" applyAlignment="1" applyProtection="1">
      <alignment horizontal="center" vertical="center" wrapText="1"/>
      <protection locked="0"/>
    </xf>
    <xf numFmtId="9" fontId="298" fillId="12" borderId="182" xfId="22" applyFont="1" applyFill="1" applyBorder="1" applyAlignment="1" applyProtection="1">
      <alignment horizontal="center" vertical="center" wrapText="1"/>
      <protection locked="0"/>
    </xf>
    <xf numFmtId="1" fontId="298" fillId="7" borderId="181" xfId="19" applyNumberFormat="1" applyFont="1" applyFill="1" applyBorder="1" applyAlignment="1" applyProtection="1">
      <alignment horizontal="center" vertical="center" wrapText="1"/>
      <protection locked="0"/>
    </xf>
    <xf numFmtId="1" fontId="298" fillId="7" borderId="182" xfId="19" applyNumberFormat="1" applyFont="1" applyFill="1" applyBorder="1" applyAlignment="1" applyProtection="1">
      <alignment horizontal="center" vertical="center" wrapText="1"/>
      <protection locked="0"/>
    </xf>
    <xf numFmtId="1" fontId="298" fillId="7" borderId="182" xfId="19" applyNumberFormat="1" applyFont="1" applyFill="1" applyBorder="1" applyAlignment="1" applyProtection="1">
      <alignment horizontal="left" vertical="center" wrapText="1"/>
      <protection locked="0"/>
    </xf>
    <xf numFmtId="196" fontId="298" fillId="7" borderId="182" xfId="19" applyNumberFormat="1" applyFont="1" applyFill="1" applyBorder="1" applyAlignment="1" applyProtection="1">
      <alignment horizontal="center" vertical="center" wrapText="1"/>
      <protection locked="0"/>
    </xf>
    <xf numFmtId="198" fontId="298" fillId="7" borderId="182" xfId="21" applyNumberFormat="1" applyFont="1" applyFill="1" applyBorder="1" applyAlignment="1" applyProtection="1">
      <alignment horizontal="center" vertical="center" wrapText="1"/>
      <protection locked="0"/>
    </xf>
    <xf numFmtId="43" fontId="298" fillId="7" borderId="182" xfId="19" applyNumberFormat="1" applyFont="1" applyFill="1" applyBorder="1" applyAlignment="1" applyProtection="1">
      <alignment horizontal="center" vertical="center" wrapText="1"/>
      <protection locked="0"/>
    </xf>
    <xf numFmtId="9" fontId="298" fillId="7" borderId="182" xfId="22" applyFont="1" applyFill="1" applyBorder="1" applyAlignment="1" applyProtection="1">
      <alignment horizontal="center" vertical="center" wrapText="1"/>
      <protection locked="0"/>
    </xf>
    <xf numFmtId="2" fontId="298" fillId="7" borderId="182" xfId="19" applyNumberFormat="1" applyFont="1" applyFill="1" applyBorder="1" applyAlignment="1" applyProtection="1">
      <alignment horizontal="center" vertical="center" wrapText="1"/>
      <protection locked="0"/>
    </xf>
    <xf numFmtId="43" fontId="298" fillId="12" borderId="182" xfId="21" applyNumberFormat="1" applyFont="1" applyFill="1" applyBorder="1" applyAlignment="1" applyProtection="1">
      <alignment horizontal="center" vertical="center" wrapText="1"/>
      <protection locked="0"/>
    </xf>
    <xf numFmtId="0" fontId="295" fillId="0" borderId="0" xfId="20"/>
    <xf numFmtId="0" fontId="298" fillId="12" borderId="181" xfId="20" applyFont="1" applyFill="1" applyBorder="1" applyAlignment="1">
      <alignment horizontal="center" vertical="center" wrapText="1"/>
    </xf>
    <xf numFmtId="0" fontId="298" fillId="12" borderId="182" xfId="20" applyFont="1" applyFill="1" applyBorder="1" applyAlignment="1">
      <alignment horizontal="left" vertical="center" wrapText="1"/>
    </xf>
    <xf numFmtId="0" fontId="298" fillId="12" borderId="183" xfId="20" applyFont="1" applyFill="1" applyBorder="1" applyAlignment="1">
      <alignment horizontal="center" vertical="center" wrapText="1"/>
    </xf>
    <xf numFmtId="0" fontId="298" fillId="12" borderId="184" xfId="20" applyFont="1" applyFill="1" applyBorder="1" applyAlignment="1">
      <alignment horizontal="left" vertical="center" wrapText="1"/>
    </xf>
    <xf numFmtId="0" fontId="300" fillId="0" borderId="0" xfId="20" applyFont="1" applyAlignment="1">
      <alignment vertical="center"/>
    </xf>
    <xf numFmtId="0" fontId="147" fillId="0" borderId="0" xfId="23"/>
    <xf numFmtId="0" fontId="95" fillId="0" borderId="0" xfId="10">
      <alignment vertical="center"/>
    </xf>
    <xf numFmtId="14" fontId="147" fillId="0" borderId="0" xfId="23" applyNumberFormat="1"/>
    <xf numFmtId="10" fontId="147" fillId="0" borderId="0" xfId="24" applyNumberFormat="1" applyFont="1" applyAlignment="1"/>
    <xf numFmtId="0" fontId="128" fillId="0" borderId="51" xfId="0" applyFont="1" applyBorder="1" applyAlignment="1" applyProtection="1">
      <alignment horizontal="center" vertical="center" wrapText="1"/>
      <protection locked="0"/>
    </xf>
    <xf numFmtId="0" fontId="147" fillId="0" borderId="0" xfId="25"/>
    <xf numFmtId="14" fontId="147" fillId="0" borderId="0" xfId="25" applyNumberFormat="1"/>
    <xf numFmtId="0" fontId="128" fillId="0" borderId="5" xfId="0"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10" fontId="44" fillId="0" borderId="41"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 xfId="0" applyFont="1" applyFill="1" applyBorder="1">
      <alignmen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94" fillId="0" borderId="175" xfId="19" applyFont="1" applyBorder="1" applyAlignment="1">
      <alignment horizontal="center" vertical="center" wrapText="1"/>
    </xf>
    <xf numFmtId="0" fontId="294" fillId="0" borderId="176" xfId="19" applyFont="1" applyBorder="1" applyAlignment="1">
      <alignment horizontal="center" vertical="center" wrapText="1"/>
    </xf>
    <xf numFmtId="43" fontId="294" fillId="0" borderId="176" xfId="19" applyNumberFormat="1" applyFont="1" applyBorder="1" applyAlignment="1">
      <alignment horizontal="center" vertical="center" wrapText="1"/>
    </xf>
    <xf numFmtId="0" fontId="298" fillId="7" borderId="182" xfId="19" applyFont="1" applyFill="1" applyBorder="1" applyAlignment="1">
      <alignment horizontal="center" vertical="center" wrapText="1"/>
    </xf>
    <xf numFmtId="0" fontId="299" fillId="7" borderId="0" xfId="20" applyFont="1" applyFill="1" applyAlignment="1">
      <alignment horizontal="center" vertical="center" wrapText="1"/>
    </xf>
    <xf numFmtId="0" fontId="299" fillId="0" borderId="0" xfId="20" applyFont="1" applyAlignment="1">
      <alignment horizontal="center" vertical="center" wrapText="1"/>
    </xf>
    <xf numFmtId="0" fontId="301" fillId="23" borderId="175" xfId="19" applyFont="1" applyFill="1" applyBorder="1" applyAlignment="1">
      <alignment horizontal="center" vertical="center" wrapText="1"/>
    </xf>
    <xf numFmtId="0" fontId="301" fillId="23" borderId="176" xfId="19" applyFont="1" applyFill="1" applyBorder="1" applyAlignment="1">
      <alignment horizontal="center" vertical="center" wrapText="1"/>
    </xf>
    <xf numFmtId="43" fontId="301" fillId="23" borderId="176" xfId="19" applyNumberFormat="1"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26">
    <cellStyle name="百分比" xfId="17" builtinId="5"/>
    <cellStyle name="百分比 2" xfId="14" xr:uid="{00000000-0005-0000-0000-000001000000}"/>
    <cellStyle name="百分比 3" xfId="22" xr:uid="{F0503C11-AA8B-4618-B4C8-A6B72BDD9A86}"/>
    <cellStyle name="百分比 4" xfId="24" xr:uid="{8A455F13-3594-4DAD-AB08-5AF68865EF4E}"/>
    <cellStyle name="常规" xfId="0" builtinId="0"/>
    <cellStyle name="常规 10" xfId="20" xr:uid="{E877782A-C457-48A4-BD71-0F4154E44847}"/>
    <cellStyle name="常规 10 2" xfId="23" xr:uid="{81F2D371-1571-4809-93C0-71878ED20A8B}"/>
    <cellStyle name="常规 11" xfId="18" xr:uid="{00000000-0005-0000-0000-000003000000}"/>
    <cellStyle name="常规 12" xfId="25" xr:uid="{883D1A72-0BE0-4321-82C5-0AF879A81162}"/>
    <cellStyle name="常规 16" xfId="10" xr:uid="{00000000-0005-0000-0000-000004000000}"/>
    <cellStyle name="常规 18" xfId="19" xr:uid="{EE4A3E7E-4E80-4A15-BB1E-A7DF05C16C02}"/>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1" xr:uid="{64EC8FA6-9B6B-4661-A7CD-A6E6AC513277}"/>
  </cellStyles>
  <dxfs count="18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390305</xdr:colOff>
      <xdr:row>15</xdr:row>
      <xdr:rowOff>56821</xdr:rowOff>
    </xdr:to>
    <xdr:pic>
      <xdr:nvPicPr>
        <xdr:cNvPr id="2" name="图片 1">
          <a:extLst>
            <a:ext uri="{FF2B5EF4-FFF2-40B4-BE49-F238E27FC236}">
              <a16:creationId xmlns:a16="http://schemas.microsoft.com/office/drawing/2014/main" id="{EC9ACCFA-4C5B-0639-3321-13C0B3FD9960}"/>
            </a:ext>
          </a:extLst>
        </xdr:cNvPr>
        <xdr:cNvPicPr>
          <a:picLocks noChangeAspect="1"/>
        </xdr:cNvPicPr>
      </xdr:nvPicPr>
      <xdr:blipFill>
        <a:blip xmlns:r="http://schemas.openxmlformats.org/officeDocument/2006/relationships" r:embed="rId1"/>
        <a:stretch>
          <a:fillRect/>
        </a:stretch>
      </xdr:blipFill>
      <xdr:spPr>
        <a:xfrm>
          <a:off x="0" y="0"/>
          <a:ext cx="1761905" cy="2628571"/>
        </a:xfrm>
        <a:prstGeom prst="rect">
          <a:avLst/>
        </a:prstGeom>
      </xdr:spPr>
    </xdr:pic>
    <xdr:clientData/>
  </xdr:twoCellAnchor>
  <xdr:twoCellAnchor editAs="oneCell">
    <xdr:from>
      <xdr:col>2</xdr:col>
      <xdr:colOff>485775</xdr:colOff>
      <xdr:row>0</xdr:row>
      <xdr:rowOff>0</xdr:rowOff>
    </xdr:from>
    <xdr:to>
      <xdr:col>5</xdr:col>
      <xdr:colOff>418851</xdr:colOff>
      <xdr:row>15</xdr:row>
      <xdr:rowOff>123488</xdr:rowOff>
    </xdr:to>
    <xdr:pic>
      <xdr:nvPicPr>
        <xdr:cNvPr id="3" name="图片 2">
          <a:extLst>
            <a:ext uri="{FF2B5EF4-FFF2-40B4-BE49-F238E27FC236}">
              <a16:creationId xmlns:a16="http://schemas.microsoft.com/office/drawing/2014/main" id="{FC0ACA32-79D6-9626-1205-11F8A30C6C05}"/>
            </a:ext>
          </a:extLst>
        </xdr:cNvPr>
        <xdr:cNvPicPr>
          <a:picLocks noChangeAspect="1"/>
        </xdr:cNvPicPr>
      </xdr:nvPicPr>
      <xdr:blipFill>
        <a:blip xmlns:r="http://schemas.openxmlformats.org/officeDocument/2006/relationships" r:embed="rId2"/>
        <a:stretch>
          <a:fillRect/>
        </a:stretch>
      </xdr:blipFill>
      <xdr:spPr>
        <a:xfrm>
          <a:off x="1857375" y="0"/>
          <a:ext cx="1990476" cy="2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IJUTSUBU01\DBase_H200#2\&#65399;&#65388;&#65391;&#65404;&#65389;&#22338;&#65420;&#65435;&#65392;\CF1000&#65412;&#65437;.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C:\Users\Administrator\Downloads\&#26329;&#20809;&#35199;&#37324;&#27979;&#31639;&#34920;&#26368;&#26032;&#34920;-cui-&#19968;&#23457;&#37026;&#36722;-&#29579;&#29577;&#32874;20260129-081403.xlsx" TargetMode="External"/><Relationship Id="rId1" Type="http://schemas.openxmlformats.org/officeDocument/2006/relationships/externalLinkPath" Target="file:///C:\Users\Administrator\Downloads\&#26329;&#20809;&#35199;&#37324;&#27979;&#31639;&#34920;&#26368;&#26032;&#34920;-cui-&#19968;&#23457;&#37026;&#36722;-&#29579;&#29577;&#32874;20260129-08140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amartin5/Desktop/Fuel/Weekly%20volumes/Weekly%20Fuel%20Report%20Week19%20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ttp:\www.dft.gov.uk\RoadLengths\RoadAre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2006%20Mar%20closing\Final%20Product\LPSH%201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ork/Asset%20Management/&#20135;&#19994;&#22253;/Project%20Highland%20(&#24344;&#27589;)/Asset%20Management/&#25237;&#21518;&#31649;&#29702;&#27169;&#22411;/&#12304;&#28023;&#25511;&#31435;&#39033;&#25237;&#36164;&#27169;&#22411;&#12305;&#24344;&#27589;&#20135;&#19994;&#22253;&#25237;&#36164;&#27169;&#22411;_20220131-NOI&#32771;&#26680;&#30446;&#26631;.xlsx%20-%20Alan%20Revis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2006%20Mar%20closing\Final%20Product\LPSH%2011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0.96.129.158\Backup%20Data%20Jakkrit\&#3591;&#3634;&#3609;&#3648;&#3626;&#3609;&#3629;&#3619;&#3634;&#3588;&#3634;%20(&#3605;&#3657;&#3629;&#3591;)\Peak%20(C5)\WINDOWS\390338R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indows/TEMP/Period%209/0905bpv2-LBE@P9%20Updated%2019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S3"/>
      <sheetName val="Sheet2"/>
      <sheetName val="電気設備表"/>
      <sheetName val="#REF"/>
      <sheetName val="jobhist"/>
      <sheetName val="ﾁｪｯｸ用"/>
      <sheetName val="外気負荷"/>
      <sheetName val="工場棟・目次"/>
      <sheetName val="事務棟・目次"/>
      <sheetName val="外構・目次"/>
      <sheetName val="見積書"/>
      <sheetName val="General"/>
      <sheetName val="COMP"/>
      <sheetName val="工事名、社内ﾚｰﾄ"/>
      <sheetName val="出図表"/>
      <sheetName val="SW-TEO"/>
      <sheetName val="基本"/>
      <sheetName val="门窗表"/>
      <sheetName val="合成単価作成表-BLDG"/>
      <sheetName val="車会集約"/>
      <sheetName val="AG原単位"/>
      <sheetName val="決裁時原価"/>
      <sheetName val="外国人所得税Table"/>
      <sheetName val="CF1000ﾄﾝ"/>
      <sheetName val="MOTO"/>
      <sheetName val="管理区分"/>
      <sheetName val="工場棟"/>
      <sheetName val="面积指标"/>
      <sheetName val="A1~A4钢结构明细表"/>
      <sheetName val="下拉"/>
      <sheetName val="Fee Rate Summary"/>
      <sheetName val="预算表"/>
      <sheetName val="概総括1"/>
      <sheetName val="比較表(上)"/>
      <sheetName val="MN T.B."/>
      <sheetName val="墙面"/>
      <sheetName val="Cash bal"/>
      <sheetName val="预算"/>
      <sheetName val="Cash bal Mar"/>
      <sheetName val="選択肢"/>
      <sheetName val="LB020A(月)"/>
      <sheetName val="照度計算"/>
      <sheetName val="2017.7.25 竹中増減表"/>
      <sheetName val="#REF!"/>
      <sheetName val="敏感参数"/>
      <sheetName val="一発シート"/>
      <sheetName val="Data"/>
      <sheetName val="投资估算表"/>
      <sheetName val="A翼写字楼"/>
      <sheetName val="Con"/>
      <sheetName val="VO-006"/>
      <sheetName val="VO-001"/>
      <sheetName val="SUMMARY"/>
      <sheetName val="Annex B"/>
      <sheetName val="fin stmt"/>
      <sheetName val="Financ. Overview"/>
      <sheetName val="Toolbox"/>
      <sheetName val="FI"/>
      <sheetName val="常用项目"/>
      <sheetName val="Budget"/>
      <sheetName val="21"/>
      <sheetName val="base case"/>
      <sheetName val="可视对讲、公共弱电"/>
      <sheetName val="强电进户"/>
      <sheetName val="公共、应急照明"/>
      <sheetName val="消防报警"/>
      <sheetName val="弱电户内"/>
      <sheetName val="强电动力"/>
      <sheetName val="弱电进户"/>
      <sheetName val="雨污水及围墙计算单"/>
      <sheetName val="混凝土"/>
      <sheetName val="单位"/>
      <sheetName val="（加气块）计算单  "/>
      <sheetName val="（水泥）计算单"/>
      <sheetName val="（砖）计算单 "/>
      <sheetName val="（道渣）计算单"/>
      <sheetName val="eqpmad2"/>
      <sheetName val="8.1"/>
      <sheetName val="单位库"/>
      <sheetName val="BQ"/>
      <sheetName val="Bill-2.1"/>
      <sheetName val="汇总"/>
      <sheetName val="Control"/>
      <sheetName val="Acumu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成本法 (元)-fei"/>
      <sheetName val="比较法-办公"/>
      <sheetName val="收益法"/>
      <sheetName val="收益法 (元)"/>
      <sheetName val="收益法 (元)fei"/>
      <sheetName val="收益法-酒店模型"/>
      <sheetName val="收益法（汇总）"/>
      <sheetName val="典型户型修正"/>
      <sheetName val="比较法-住宅"/>
      <sheetName val="比较法-商业"/>
      <sheetName val="比较法-工业"/>
      <sheetName val="比较法-车位"/>
      <sheetName val="比较法-仓储"/>
      <sheetName val="土地比较法-住宅、综合"/>
      <sheetName val="土地比较法-工业"/>
      <sheetName val="假设开发法"/>
      <sheetName val="基准地价（汇总）"/>
      <sheetName val="20号楼面积-E座"/>
      <sheetName val="华樾北京"/>
      <sheetName val="华樾北京2"/>
      <sheetName val="悦荣中心"/>
      <sheetName val="市调"/>
      <sheetName val="租金案例"/>
      <sheetName val="中指"/>
      <sheetName val="基准地价图"/>
      <sheetName val="成本法"/>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办公</v>
          </cell>
        </row>
      </sheetData>
      <sheetData sheetId="14">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5" refreshError="1"/>
      <sheetData sheetId="16" refreshError="1"/>
      <sheetData sheetId="17" refreshError="1"/>
      <sheetData sheetId="18" refreshError="1"/>
      <sheetData sheetId="19" refreshError="1"/>
      <sheetData sheetId="20">
        <row r="62">
          <cell r="A62" t="str">
            <v>交易情况</v>
          </cell>
          <cell r="C62" t="str">
            <v>正常</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21" refreshError="1"/>
      <sheetData sheetId="22" refreshError="1"/>
      <sheetData sheetId="23" refreshError="1"/>
      <sheetData sheetId="24" refreshError="1"/>
      <sheetData sheetId="25" refreshError="1"/>
      <sheetData sheetId="2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3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HiddenSheet1"/>
      <sheetName val="Summary"/>
      <sheetName val="Unleaded"/>
      <sheetName val="Ultimate Unleaded"/>
      <sheetName val="Diesel"/>
      <sheetName val="Ultimate Diesel"/>
      <sheetName val="Bunker Fuel"/>
      <sheetName val="_pcHiddenSheet2"/>
      <sheetName val="_pcHiddenSheet3"/>
      <sheetName val="LPG"/>
      <sheetName val="Gas Oil"/>
      <sheetName val="_pcHiddenSheet4"/>
      <sheetName val="_pcHiddenSheet5"/>
      <sheetName val="_pcHiddenSheet6"/>
      <sheetName val="_pcHiddenSheet7"/>
      <sheetName val="CFS3"/>
      <sheetName val="Co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data"/>
      <sheetName val="00data"/>
      <sheetName val="Road_surface_area"/>
      <sheetName val="English_area"/>
      <sheetName val="Total road area"/>
      <sheetName val="1990_figs"/>
      <sheetName val="PC's_figures"/>
      <sheetName val="UK_figs"/>
      <sheetName val="Controls"/>
      <sheetName val="Bullfrog - EPU page from model"/>
      <sheetName val="Links"/>
      <sheetName val="Debt - NZD"/>
      <sheetName val="MCW"/>
      <sheetName val="Debt - US HT"/>
      <sheetName val="#REF!"/>
      <sheetName val="Validation"/>
      <sheetName val="pcQueryData"/>
      <sheetName val="C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Con"/>
      <sheetName val="1"/>
      <sheetName val="2"/>
      <sheetName val="3"/>
      <sheetName val="4"/>
      <sheetName val="4 (2)"/>
      <sheetName val="6"/>
      <sheetName val="7"/>
      <sheetName val="8"/>
      <sheetName val="12"/>
      <sheetName val="13"/>
      <sheetName val="14"/>
      <sheetName val="15"/>
      <sheetName val="16"/>
      <sheetName val="17"/>
      <sheetName val="18"/>
      <sheetName val="19"/>
      <sheetName val="20"/>
      <sheetName val="21"/>
      <sheetName val="23"/>
      <sheetName val="24"/>
      <sheetName val="25"/>
      <sheetName val="27"/>
      <sheetName val="5"/>
      <sheetName val="TB"/>
      <sheetName val="V1"/>
      <sheetName val="V2"/>
      <sheetName val="Type"/>
      <sheetName val="P&amp;L"/>
      <sheetName val="总表"/>
      <sheetName val="选项"/>
      <sheetName val="Account Code"/>
      <sheetName val="pcQueryData"/>
      <sheetName val="Total road area"/>
      <sheetName val="管理费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
      <sheetName val="NOI考核目标"/>
      <sheetName val="Output"/>
      <sheetName val="JQ-CF"/>
      <sheetName val="JQ-RR"/>
      <sheetName val="ZJ-CF"/>
      <sheetName val="ZJ-RR"/>
      <sheetName val="ZGC-CF"/>
      <sheetName val="ZGC-RR"/>
      <sheetName val="SD-CF"/>
      <sheetName val="SD-RR"/>
      <sheetName val="Total road area"/>
      <sheetName val="C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Con"/>
      <sheetName val="1"/>
      <sheetName val="2"/>
      <sheetName val="3"/>
      <sheetName val="4"/>
      <sheetName val="4 (2)"/>
      <sheetName val="6"/>
      <sheetName val="7"/>
      <sheetName val="8"/>
      <sheetName val="12"/>
      <sheetName val="13"/>
      <sheetName val="14"/>
      <sheetName val="15"/>
      <sheetName val="16"/>
      <sheetName val="17"/>
      <sheetName val="18"/>
      <sheetName val="19"/>
      <sheetName val="20"/>
      <sheetName val="21"/>
      <sheetName val="23"/>
      <sheetName val="24"/>
      <sheetName val="25"/>
      <sheetName val="27"/>
      <sheetName val="5"/>
      <sheetName val="TB"/>
      <sheetName val="V1"/>
      <sheetName val="V2"/>
      <sheetName val="Type"/>
      <sheetName val="选项"/>
      <sheetName val="Tennancy"/>
      <sheetName val="总表"/>
      <sheetName val="Total road area"/>
      <sheetName val="Output"/>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General"/>
      <sheetName val="应收账款Mx"/>
      <sheetName val="Sheet3 _2_"/>
      <sheetName val="BBEuros"/>
      <sheetName val="DEPRE"/>
      <sheetName val="InvoiceList"/>
      <sheetName val="Income &amp; Occupancy Customer"/>
      <sheetName val="노무비"/>
      <sheetName val="Summary"/>
      <sheetName val="Set"/>
      <sheetName val="Income Statements"/>
      <sheetName val="QoQ Forecast"/>
      <sheetName val="유통망계획"/>
      <sheetName val="CV"/>
      <sheetName val="ES(Kor)"/>
      <sheetName val="Calculation (2)"/>
      <sheetName val="JCF"/>
      <sheetName val="Multiple output"/>
      <sheetName val="sheet6"/>
      <sheetName val="ABP inputs"/>
      <sheetName val="Synergy Sales Budget"/>
      <sheetName val="Project Budget Worksheet"/>
      <sheetName val="analysis"/>
      <sheetName val="Builtup Area"/>
      <sheetName val="Headings"/>
      <sheetName val="RCC,Ret. Wall"/>
      <sheetName val="BOQ T4B"/>
      <sheetName val="Aladdin Macro1"/>
      <sheetName val="BalSht"/>
      <sheetName val="Acc_10.5"/>
      <sheetName val="Global Assm."/>
      <sheetName val="F1a-Pile"/>
      <sheetName val="INDIGINEOUS ITEMS "/>
      <sheetName val="fco"/>
      <sheetName val="Formulas"/>
      <sheetName val="TIll_Q_sal"/>
      <sheetName val="tiller"/>
      <sheetName val="Material "/>
      <sheetName val="Labour &amp; Plant"/>
      <sheetName val="Lead"/>
      <sheetName val="Main-Material"/>
      <sheetName val="Sheet1"/>
      <sheetName val="GBW"/>
      <sheetName val="Design"/>
      <sheetName val="BOQ"/>
      <sheetName val=" B3"/>
      <sheetName val=" B1"/>
      <sheetName val="beam-reinft-IIInd floor"/>
      <sheetName val="Sheet2"/>
      <sheetName val="Portfolio Summary"/>
      <sheetName val="Depreciation"/>
      <sheetName val="CapitalOutlay"/>
      <sheetName val="Assum"/>
      <sheetName val="Approved MTD Proj #'s"/>
      <sheetName val="Sheet3_(2)"/>
      <sheetName val="Sheet3__2_"/>
      <sheetName val="MN T.B."/>
      <sheetName val="CFForecast detail"/>
      <sheetName val="Site Dev BOQ"/>
      <sheetName val="Break up Sheet"/>
      <sheetName val="Load Details-220kV"/>
      <sheetName val="Block A - BOQ"/>
      <sheetName val="strand"/>
      <sheetName val="Rollup Summary"/>
      <sheetName val="Vind-BtB"/>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Acc_10_5"/>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download"/>
      <sheetName val="170810-lease tax"/>
      <sheetName val="Assumptions"/>
      <sheetName val="EBITDA"/>
      <sheetName val="IMPORT T12"/>
      <sheetName val="NewCo"/>
      <sheetName val="TB_FOR_MIS"/>
      <sheetName val="Area"/>
      <sheetName val="TB FOR MIS"/>
      <sheetName val="INPUT SHEET"/>
      <sheetName val="Current Bill MB ref"/>
      <sheetName val="Meas.-Hotel Part"/>
      <sheetName val="Occ"/>
      <sheetName val="Demand"/>
      <sheetName val="Inputs"/>
      <sheetName val="Ref"/>
      <sheetName val="van khuon"/>
      <sheetName val="Names"/>
      <sheetName val="Introduction"/>
      <sheetName val="IDC macro"/>
      <sheetName val="SALE"/>
      <sheetName val="SCH-E-1"/>
      <sheetName val="BIPR"/>
      <sheetName val="BPCA"/>
      <sheetName val="BBRS"/>
      <sheetName val="KPM DT"/>
      <sheetName val="Pay_Sep06"/>
      <sheetName val="A-1"/>
      <sheetName val="GL Links"/>
      <sheetName val="Main Sheet (MTD)"/>
      <sheetName val="Consl Daily Report"/>
      <sheetName val="Input"/>
      <sheetName val="Master Price List"/>
      <sheetName val="reference"/>
      <sheetName val="Company"/>
      <sheetName val="Index"/>
      <sheetName val="F"/>
      <sheetName val="EXHIBIT&quot; T&quot;"/>
      <sheetName val="Turnover"/>
      <sheetName val="compu"/>
      <sheetName val="PLAN_FEB97"/>
      <sheetName val="Fin Sum"/>
      <sheetName val="Preside"/>
      <sheetName val="balance sheet"/>
      <sheetName val="Factor_Sheet"/>
      <sheetName val="LISTS"/>
      <sheetName val="02022005"/>
      <sheetName val="16022005"/>
      <sheetName val="05012005"/>
      <sheetName val="19012005"/>
      <sheetName val="02032005"/>
      <sheetName val="16032005"/>
      <sheetName val="30032005"/>
      <sheetName val="P &amp; L"/>
      <sheetName val="Balance Sheet "/>
      <sheetName val="new_data"/>
      <sheetName val="earnmodl"/>
      <sheetName val="Dom Cell (IS)"/>
      <sheetName val="ras"/>
      <sheetName val="Summary Excise"/>
      <sheetName val="BS"/>
      <sheetName val="Other BS Sch 5-9"/>
      <sheetName val="Excess Calc"/>
      <sheetName val="Grouping Master"/>
      <sheetName val="March Analysts"/>
      <sheetName val="Rates"/>
      <sheetName val="M-2 Adjusted"/>
      <sheetName val="OpRes"/>
      <sheetName val="master"/>
      <sheetName val="Main workings"/>
      <sheetName val="CABLE DATA"/>
      <sheetName val="1st flr"/>
      <sheetName val="Civil Boq"/>
      <sheetName val="final abstract"/>
      <sheetName val="Rate analysis"/>
      <sheetName val="02"/>
      <sheetName val="03"/>
      <sheetName val="04"/>
      <sheetName val="01"/>
      <sheetName val="q-details"/>
      <sheetName val="van_khuon"/>
      <sheetName val="IDC_macro"/>
      <sheetName val="Portfolio_Summary"/>
      <sheetName val="Current_Bill_MB_ref"/>
      <sheetName val="Meas_-Hotel_Part"/>
      <sheetName val="Fin_Sum"/>
      <sheetName val="Base"/>
      <sheetName val=" Acc. Sched."/>
      <sheetName val="EDS  Bestshore Migration"/>
      <sheetName val="sept-plan"/>
      <sheetName val="International"/>
      <sheetName val="Internet"/>
      <sheetName val="Macro1"/>
      <sheetName val="Licences"/>
      <sheetName val="LBO Financials"/>
      <sheetName val="Hot"/>
      <sheetName val="Mico"/>
      <sheetName val="03 (2)"/>
      <sheetName val="WIng F(Typical)"/>
      <sheetName val="Legal Risk Analysis"/>
      <sheetName val="IMPORT_T12"/>
      <sheetName val="KPM_DT"/>
      <sheetName val="Task"/>
      <sheetName val="MASTER_RATE ANALYSIS"/>
      <sheetName val="Valuation - block 2"/>
      <sheetName val="classes"/>
      <sheetName val="IT Block"/>
      <sheetName val="Location CODE"/>
      <sheetName val="Location TYPE"/>
      <sheetName val="sub class"/>
      <sheetName val=" sub Loc "/>
      <sheetName val="LBO"/>
      <sheetName val="AOR"/>
      <sheetName val="MIS - kINR"/>
      <sheetName val="AOP13"/>
      <sheetName val="CashFlow"/>
      <sheetName val="TB"/>
      <sheetName val="CAP"/>
      <sheetName val="ANN.K"/>
      <sheetName val="OpTrack"/>
      <sheetName val="Training Deposits coding"/>
      <sheetName val="Sheet3"/>
      <sheetName val="FA Schedule Dec 07"/>
      <sheetName val="CARO"/>
      <sheetName val="269T(final)"/>
      <sheetName val="PLGroupings"/>
      <sheetName val="Results"/>
      <sheetName val="Base Assumptions"/>
      <sheetName val="RNT"/>
      <sheetName val="Combi"/>
      <sheetName val="NEW-IDs Fun &amp; Group"/>
      <sheetName val="Code"/>
      <sheetName val="Trial Balance"/>
      <sheetName val="GenAssump"/>
      <sheetName val="Summ"/>
      <sheetName val="Fossil_DCF"/>
      <sheetName val="SOPMA DD"/>
      <sheetName val="RES-PLANNING"/>
      <sheetName val="Cost_any"/>
      <sheetName val="10. &amp; 11. Rate Code &amp; BQ"/>
      <sheetName val="FlashMgtMo"/>
      <sheetName val="FlashMgtYTD"/>
      <sheetName val="FITZ MORT 94"/>
      <sheetName val="QoQ In Lakhs"/>
      <sheetName val="GENERAL2"/>
      <sheetName val="YTD"/>
      <sheetName val="vb 9&amp;10"/>
      <sheetName val="Goldberg Portfolio Combined"/>
      <sheetName val="Commercial Research"/>
      <sheetName val="Data"/>
      <sheetName val="Contribution"/>
      <sheetName val="Rx"/>
      <sheetName val="Variables_x"/>
      <sheetName val="A-Mum"/>
      <sheetName val="#REF"/>
      <sheetName val="BKCSTOCKVAL"/>
      <sheetName val="MAHSTOCKVAL"/>
      <sheetName val="Portfolio_Summary1"/>
      <sheetName val="Current_Bill_MB_ref1"/>
      <sheetName val="Meas_-Hotel_Part1"/>
      <sheetName val="Intaccrual"/>
      <sheetName val="SBU"/>
      <sheetName val="Operating Statistics"/>
      <sheetName val="Checks"/>
      <sheetName val="DET0900"/>
      <sheetName val="Theatre mgmt cont"/>
      <sheetName val=""/>
      <sheetName val="Menu"/>
      <sheetName val="9. Package split - Cost "/>
      <sheetName val="Service Invoice"/>
      <sheetName val="Cash Flow Working"/>
      <sheetName val="Retail Mall"/>
      <sheetName val="IO LIST"/>
      <sheetName val="Master list"/>
      <sheetName val="Labour List"/>
      <sheetName val="Material List"/>
      <sheetName val="Architectural Summary"/>
      <sheetName val="Labor abs-NMR"/>
      <sheetName val="Beam at Ground flr lvl(Steel)"/>
      <sheetName val="AREAS"/>
      <sheetName val="sumary"/>
      <sheetName val="1st -vpd"/>
      <sheetName val="conc-foot-gradeslab"/>
      <sheetName val="Material List "/>
      <sheetName val="SCHEDULE"/>
      <sheetName val="Database"/>
      <sheetName val="schedule nos"/>
      <sheetName val="WT-LIST"/>
      <sheetName val="Material"/>
      <sheetName val="Sensitivity"/>
      <sheetName val="Fill this out first..."/>
      <sheetName val="Leasing Commision"/>
      <sheetName val="Params"/>
      <sheetName val="XZLC003_PART1"/>
      <sheetName val="15-21"/>
      <sheetName val="P.R. TAXES"/>
      <sheetName val="BILLING SUM"/>
      <sheetName val="SODA02"/>
      <sheetName val="MIS AC wise"/>
      <sheetName val="Cover"/>
      <sheetName val="Output"/>
      <sheetName val="Con"/>
      <sheetName val="建築工事（工場棟）"/>
      <sheetName val="Control"/>
      <sheetName val="RA"/>
      <sheetName val="Related party - P&amp;L"/>
      <sheetName val="Night Shift"/>
      <sheetName val="97-98"/>
      <sheetName val="horizontal"/>
      <sheetName val="Rev Opt - Rollup"/>
      <sheetName val="Debtors analysis"/>
      <sheetName val="A1-Continuous"/>
      <sheetName val="pile Fabrication"/>
      <sheetName val="Improvements"/>
      <sheetName val="Notes-pivot1 "/>
      <sheetName val="Scope"/>
      <sheetName val="Estimate"/>
      <sheetName val="12-ACTPL"/>
      <sheetName val="apr-aug"/>
      <sheetName val="CASHFLOWS"/>
      <sheetName val="170810-lease_tax"/>
      <sheetName val="Main_Sheet_(MTD)"/>
      <sheetName val="Consl_Daily_Report"/>
      <sheetName val="balance_sheet"/>
      <sheetName val="drop-dwn list"/>
      <sheetName val="tngst1"/>
      <sheetName val="Boiler&amp;TG"/>
      <sheetName val="Sheet3_(2)5"/>
      <sheetName val="Sheet3__2_5"/>
      <sheetName val="Calculation_(2)5"/>
      <sheetName val="Multiple_output5"/>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Aladdin_Macro15"/>
      <sheetName val="Acc_10_55"/>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Timeline"/>
      <sheetName val="Open Items-311208"/>
      <sheetName val="ES"/>
      <sheetName val="Variables"/>
      <sheetName val="Publicbuilding"/>
      <sheetName val="Non-Factory"/>
      <sheetName val="extra work elec bill "/>
      <sheetName val="SEW4"/>
      <sheetName val="MFG"/>
      <sheetName val="Assump"/>
      <sheetName val="exp"/>
      <sheetName val="Sheet4"/>
      <sheetName val="A.O.R."/>
      <sheetName val="HBI NCD"/>
      <sheetName val="CUSTOM Jun99"/>
      <sheetName val="Gen_Ass"/>
      <sheetName val="Op_Ass"/>
      <sheetName val="Staff Costs"/>
      <sheetName val="General_Assumptions"/>
      <sheetName val="Tender Summary"/>
      <sheetName val="Bill 1-BOQ-Civil Works"/>
      <sheetName val="UNP-NCW "/>
      <sheetName val="CrRajWMM"/>
      <sheetName val="소상 &quot;1&quot;"/>
      <sheetName val="Graph (LGEN)"/>
      <sheetName val="out_prog"/>
      <sheetName val="선적schedule (2)"/>
      <sheetName val="Cost summary"/>
      <sheetName val="RCC Rates"/>
      <sheetName val="FORM7"/>
      <sheetName val="目录"/>
      <sheetName val="PRECAST lightconc-II"/>
      <sheetName val="4.4 External Plaster"/>
      <sheetName val="Felix Street Summary"/>
      <sheetName val="Newspapers"/>
      <sheetName val="AccDil"/>
      <sheetName val="Overall Summary"/>
      <sheetName val="Assumption"/>
      <sheetName val="EVA1"/>
      <sheetName val="ITEM  STUDY (2)"/>
      <sheetName val="EXPENSES"/>
      <sheetName val="TDS Certificate-Format"/>
      <sheetName val="FA"/>
      <sheetName val="ASSETS P&amp;M"/>
      <sheetName val="Assets Land &amp; Mise FA"/>
      <sheetName val="MultipleSecurities"/>
      <sheetName val="Ins Erection"/>
      <sheetName val="Determination of Threshold"/>
      <sheetName val="Debt"/>
      <sheetName val="cl 14 Annex 7 "/>
      <sheetName val="Encl 7A"/>
      <sheetName val="RA-markate"/>
      <sheetName val="Rollup"/>
      <sheetName val="0. Data Validation List"/>
      <sheetName val="Crest"/>
      <sheetName val="Pinnacle"/>
      <sheetName val="Zenith"/>
      <sheetName val="stacking sheet"/>
      <sheetName val="Basement Budget"/>
      <sheetName val="labour"/>
      <sheetName val="currency"/>
      <sheetName val="7 Jan 02"/>
      <sheetName val="Cash bal Mar"/>
      <sheetName val="Quotation"/>
      <sheetName val="RCC_Ret_ Wall"/>
      <sheetName val="HRD1"/>
      <sheetName val="Taluka wise dealer (2)"/>
      <sheetName val="TMasterCurrency"/>
      <sheetName val="TMasterSeg"/>
      <sheetName val="Notes"/>
      <sheetName val="FY2001-02"/>
      <sheetName val="XLR_NoRangeSheet"/>
      <sheetName val="Kontensalden"/>
      <sheetName val="BOM"/>
      <sheetName val="FA(Apr 07)"/>
      <sheetName val="Reco O.S"/>
      <sheetName val="Accounts"/>
      <sheetName val="Sheet3_(2)6"/>
      <sheetName val="QoQ_Forecast6"/>
      <sheetName val="Income_Statements6"/>
      <sheetName val="Sheet3__2_6"/>
      <sheetName val="Income_&amp;_Occupancy_Customer6"/>
      <sheetName val="Acc_10_56"/>
      <sheetName val="Aladdin_Macro16"/>
      <sheetName val="Global_Assm_6"/>
      <sheetName val="IMPORT_T121"/>
      <sheetName val="Portfolio_Summary2"/>
      <sheetName val="van_khuon1"/>
      <sheetName val="ABP_inputs6"/>
      <sheetName val="Synergy_Sales_Budget6"/>
      <sheetName val="Project_Budget_Worksheet6"/>
      <sheetName val="Calculation_(2)6"/>
      <sheetName val="Multiple_output6"/>
      <sheetName val="Builtup_Area6"/>
      <sheetName val="RCC,Ret__Wall6"/>
      <sheetName val="BOQ_T4B6"/>
      <sheetName val="INDIGINEOUS_ITEMS_6"/>
      <sheetName val="IDC_macro1"/>
      <sheetName val="170810-lease_tax1"/>
      <sheetName val="Main_Sheet_(MTD)1"/>
      <sheetName val="Consl_Daily_Report1"/>
      <sheetName val="balance_sheet1"/>
      <sheetName val="Rollup_Summary1"/>
      <sheetName val="TB_FOR_MIS1"/>
      <sheetName val="INPUT_SHEET"/>
      <sheetName val="Current_Bill_MB_ref2"/>
      <sheetName val="Meas_-Hotel_Part2"/>
      <sheetName val="Approved_MTD_Proj_#'s6"/>
      <sheetName val="Material_6"/>
      <sheetName val="Labour_&amp;_Plant6"/>
      <sheetName val="_B36"/>
      <sheetName val="_B16"/>
      <sheetName val="beam-reinft-IIInd_floor6"/>
      <sheetName val="MN_T_B_6"/>
      <sheetName val="CFForecast_detail6"/>
      <sheetName val="Site_Dev_BOQ6"/>
      <sheetName val="Break_up_Sheet6"/>
      <sheetName val="Load_Details-220kV6"/>
      <sheetName val="Block_A_-_BOQ6"/>
      <sheetName val="Fin_Sum1"/>
      <sheetName val="KPM_DT1"/>
      <sheetName val="March_Analysts"/>
      <sheetName val="CABLE_DATA1"/>
      <sheetName val="1st_flr1"/>
      <sheetName val="Civil_Boq1"/>
      <sheetName val="EXHIBIT&quot;_T&quot;"/>
      <sheetName val="P_&amp;_L"/>
      <sheetName val="M-2_Adjusted"/>
      <sheetName val="Master_Price_List"/>
      <sheetName val="Main_workings"/>
      <sheetName val="Balance_Sheet_"/>
      <sheetName val="Summary_Excise"/>
      <sheetName val="Other_BS_Sch_5-9"/>
      <sheetName val="Excess_Calc"/>
      <sheetName val="Grouping_Master"/>
      <sheetName val="final_abstract1"/>
      <sheetName val="Rate_analysis1"/>
      <sheetName val="Dom_Cell_(IS)"/>
      <sheetName val="_Acc__Sched_"/>
      <sheetName val="EDS__Bestshore_Migration"/>
      <sheetName val="MASTER_RATE_ANALYSIS"/>
      <sheetName val="Valuation_-_block_2"/>
      <sheetName val="IT_Block"/>
      <sheetName val="Location_CODE"/>
      <sheetName val="Location_TYPE"/>
      <sheetName val="sub_class"/>
      <sheetName val="_sub_Loc_"/>
      <sheetName val="Trial_Balance"/>
      <sheetName val="MIS_AC_wise"/>
      <sheetName val="Base_Assumptions"/>
      <sheetName val="SOPMA_DD"/>
      <sheetName val="03_(2)"/>
      <sheetName val="WIng_F(Typical)"/>
      <sheetName val="10__&amp;_11__Rate_Code_&amp;_BQ"/>
      <sheetName val="FITZ_MORT_94"/>
      <sheetName val="QoQ_In_Lakhs"/>
      <sheetName val="vb_9&amp;10"/>
      <sheetName val="Goldberg_Portfolio_Combined"/>
      <sheetName val="Commercial_Research"/>
      <sheetName val="Material_List_"/>
      <sheetName val="NEW-IDs_Fun_&amp;_Group"/>
      <sheetName val="IO_LIST"/>
      <sheetName val="Legal_Risk_Analysis"/>
      <sheetName val="MIS_-_kINR1"/>
      <sheetName val="9__Package_split_-_Cost_"/>
      <sheetName val="Operating_Statistics"/>
      <sheetName val="FA_Schedule_Dec_07"/>
      <sheetName val="Theatre_mgmt_cont"/>
      <sheetName val="P_R__TAXES"/>
      <sheetName val="BILLING_SUM"/>
      <sheetName val="Master_list"/>
      <sheetName val="Labour_List"/>
      <sheetName val="Material_List"/>
      <sheetName val="Architectural_Summary"/>
      <sheetName val="Labor_abs-NMR"/>
      <sheetName val="Beam_at_Ground_flr_lvl(Steel)"/>
      <sheetName val="1st_-vpd"/>
      <sheetName val="schedule_nos"/>
      <sheetName val="Fill_this_out_first___"/>
      <sheetName val="Leasing_Commision"/>
      <sheetName val="Service_Invoice"/>
      <sheetName val="Cash_Flow_Working"/>
      <sheetName val="Retail_Mall"/>
      <sheetName val="Training_Deposits_coding"/>
      <sheetName val="Related_party_-_P&amp;L"/>
      <sheetName val="Rev_Opt_-_Rollup"/>
      <sheetName val="Debtors_analysis"/>
      <sheetName val="pile_Fabrication"/>
      <sheetName val="LBO_Financials"/>
      <sheetName val="ANN_K"/>
      <sheetName val="Notes-pivot1_"/>
      <sheetName val="ASSETS_P&amp;M"/>
      <sheetName val="Assets_Land_&amp;_Mise_FA"/>
      <sheetName val="Open_Items-311208"/>
      <sheetName val="drop-dwn_list"/>
      <sheetName val="extra_work_elec_bill_"/>
      <sheetName val="소상_&quot;1&quot;"/>
      <sheetName val="Felix_Street_Summary"/>
      <sheetName val="Overall_Summary"/>
      <sheetName val="RCC_Rates"/>
      <sheetName val="Cost_summary"/>
      <sheetName val="PRECAST_lightconc-II"/>
      <sheetName val="Tender_Summary"/>
      <sheetName val="Bill_1-BOQ-Civil_Works"/>
      <sheetName val="UNP-NCW_"/>
      <sheetName val="4_4_External_Plaster"/>
      <sheetName val="HBI_NCD"/>
      <sheetName val="CUSTOM_Jun99"/>
      <sheetName val="A_O_R_"/>
      <sheetName val="Ins_Erection"/>
      <sheetName val="Staff_Costs"/>
      <sheetName val="0__Data_Validation_List"/>
      <sheetName val="stacking_sheet"/>
      <sheetName val="Basement_Budget"/>
      <sheetName val="Night_Shift"/>
      <sheetName val="ITEM__STUDY_(2)"/>
      <sheetName val="TDS_Certificate-Format"/>
      <sheetName val="BQ"/>
      <sheetName val="USB 1"/>
      <sheetName val="BOQ Distribution"/>
      <sheetName val="wordsdata"/>
      <sheetName val="GM &amp; TA"/>
      <sheetName val="steam outlet"/>
      <sheetName val="crs"/>
      <sheetName val="PIMS"/>
      <sheetName val="SCH 10"/>
      <sheetName val="SAP EMP"/>
      <sheetName val="?????"/>
      <sheetName val="Budget Summary"/>
      <sheetName val="PERHW"/>
      <sheetName val="Standalone"/>
      <sheetName val="RATE LIST (2)"/>
      <sheetName val="Control Sheet"/>
      <sheetName val="Recon"/>
      <sheetName val="Loss 3004"/>
      <sheetName val="Reconciliation of GL &amp; FAR"/>
      <sheetName val="schedules"/>
      <sheetName val="Summary_Local"/>
      <sheetName val="Settings"/>
      <sheetName val="HELP"/>
      <sheetName val="BS-2005"/>
      <sheetName val="MAIN_MENU"/>
      <sheetName val="exec summ"/>
      <sheetName val="TH"/>
      <sheetName val="details"/>
      <sheetName val="Phasing"/>
      <sheetName val="Hardware"/>
      <sheetName val="Power &amp; Fuel (S)"/>
      <sheetName val="concrete"/>
      <sheetName val="CSCCincSKR"/>
      <sheetName val="IO"/>
      <sheetName val="SALES"/>
      <sheetName val="Basework"/>
      <sheetName val="Monthly Inputs"/>
      <sheetName val="2000-1 Monthly Cashflows"/>
      <sheetName val="2002-2 Monthly Cashflows"/>
      <sheetName val="wdr bldg"/>
      <sheetName val="Formated Trial Balance"/>
      <sheetName val="SAP downloaded schedule"/>
      <sheetName val="Audit"/>
      <sheetName val="Transaction"/>
      <sheetName val="register"/>
      <sheetName val="EAST"/>
      <sheetName val="YOEMAGUM"/>
      <sheetName val="FCIIHyperion"/>
      <sheetName val="Multipliers &amp; KRA"/>
      <sheetName val="I"/>
      <sheetName val="Parameter"/>
      <sheetName val="Timesheet"/>
      <sheetName val="Loads"/>
      <sheetName val="p&amp;m"/>
      <sheetName val="S &amp; A"/>
      <sheetName val="Schedule v1"/>
      <sheetName val="Dep"/>
      <sheetName val="cash_flow"/>
      <sheetName val="sales_value"/>
      <sheetName val="colaw_dep"/>
      <sheetName val="freight"/>
      <sheetName val="gm"/>
      <sheetName val="interest"/>
      <sheetName val="jb_cost"/>
      <sheetName val="c_flow_%"/>
      <sheetName val="consum_cost"/>
      <sheetName val="form26"/>
      <sheetName val="F29B"/>
      <sheetName val=" "/>
      <sheetName val="Inv_Data"/>
      <sheetName val="Lease Expiry"/>
      <sheetName val="Tyre1"/>
      <sheetName val="Auto"/>
      <sheetName val="Customize Your Invoice"/>
      <sheetName val="Sale Charts"/>
      <sheetName val="EXIS-COMBINED"/>
      <sheetName val="HOUSE RENT DEPO."/>
      <sheetName val="Approval"/>
      <sheetName val="final 061106"/>
      <sheetName val="SAB P&amp;L"/>
      <sheetName val="cash flow"/>
      <sheetName val="Misc. Master"/>
      <sheetName val="Base data Security Procedures"/>
      <sheetName val="Expansion"/>
      <sheetName val="Capital Structure"/>
      <sheetName val="GROUPING"/>
      <sheetName val="NGS Data Sheet"/>
      <sheetName val="SGS Data Sheet"/>
      <sheetName val="WC analytics (+data pages)"/>
      <sheetName val="Collection"/>
      <sheetName val="dlvoid"/>
      <sheetName val="Redelvery provision changed"/>
      <sheetName val="CPR"/>
      <sheetName val="MARCH"/>
      <sheetName val="SEP "/>
      <sheetName val="Sources"/>
      <sheetName val="Earnings"/>
      <sheetName val="DYN PP"/>
      <sheetName val="TXN97"/>
      <sheetName val="June Reserve - Far East"/>
      <sheetName val="TBAL9697 -group wise  sdpl"/>
      <sheetName val="Coalmine"/>
      <sheetName val="Account title"/>
      <sheetName val="Titel"/>
      <sheetName val="Rs in lacs"/>
      <sheetName val="800CC_FR_HOSE"/>
      <sheetName val="Esteem Rear"/>
      <sheetName val="PROV_CONSOLIDATED"/>
      <sheetName val="Fin"/>
      <sheetName val="Intro"/>
      <sheetName val="Micro"/>
      <sheetName val="Macro"/>
      <sheetName val="Scaff-Rose"/>
      <sheetName val="Tickmarks"/>
      <sheetName val="Check Register"/>
      <sheetName val="EBITDA Bridge"/>
      <sheetName val="Detailed"/>
      <sheetName val="2003 Budget-PL-case1"/>
      <sheetName val="STATSUM"/>
      <sheetName val="TB9899"/>
      <sheetName val="Lease-rents"/>
      <sheetName val="Key Assumption"/>
      <sheetName val="Master Information"/>
      <sheetName val="Cases"/>
      <sheetName val="Fin. Assumpt. - Sensitivities"/>
      <sheetName val="现金流量分析表"/>
      <sheetName val="边际贡献分析表"/>
      <sheetName val="Temp"/>
      <sheetName val="4 Annex 1 Basic rate"/>
      <sheetName val="oresreqsum"/>
      <sheetName val="Elec Summ"/>
      <sheetName val="ELEC BOQ"/>
      <sheetName val="TRACK BUSWAY"/>
      <sheetName val="BBT"/>
      <sheetName val="LIGHTING"/>
      <sheetName val="LMS"/>
      <sheetName val="Other notes"/>
      <sheetName val="OHT_Abs"/>
      <sheetName val="1"/>
      <sheetName val="Linked Lead"/>
      <sheetName val="hist&amp;proj"/>
      <sheetName val="L"/>
      <sheetName val="STAFFSCHED "/>
      <sheetName val="Basic Rate"/>
      <sheetName val=" COP"/>
      <sheetName val="Main"/>
      <sheetName val="HIDDEN"/>
      <sheetName val="DEP99"/>
      <sheetName val="IGAAP"/>
      <sheetName val="INI"/>
      <sheetName val="meeting rectification control"/>
      <sheetName val="Loan Data"/>
      <sheetName val="Challan"/>
      <sheetName val="Standalone seg"/>
      <sheetName val="Sch5TO10"/>
      <sheetName val="macroDat"/>
      <sheetName val="Power_&amp;_Fuel_(S)"/>
      <sheetName val="Budget_Summary"/>
      <sheetName val="MIS"/>
      <sheetName val="ADV-TK-HORT"/>
      <sheetName val="Classification"/>
      <sheetName val="XREF"/>
      <sheetName val="Income"/>
      <sheetName val="EPS"/>
      <sheetName val="currency (2)"/>
      <sheetName val="Companies"/>
      <sheetName val="People"/>
      <sheetName val="NW RTU"/>
      <sheetName val="Clause 9"/>
      <sheetName val="Financials"/>
      <sheetName val="Bgt_Lst"/>
      <sheetName val="Cnt_Lst"/>
      <sheetName val="labour rates"/>
      <sheetName val="old_serial no."/>
      <sheetName val="tot_ass_9697"/>
      <sheetName val="Budget_CF - Overall"/>
      <sheetName val="공사비 내역 (가)"/>
      <sheetName val="4K - (6a) Non Manual Breakdown"/>
      <sheetName val="3. Elemental Summary"/>
      <sheetName val="p1-costg"/>
      <sheetName val="costing"/>
      <sheetName val="August TB"/>
      <sheetName val="Trial Balance_Format"/>
      <sheetName val="Jan"/>
      <sheetName val="SP Break Up"/>
      <sheetName val="Cash Flow "/>
      <sheetName val="Sheet3_(2)7"/>
      <sheetName val="KPM_DT2"/>
      <sheetName val="EXHIBIT&quot;_T&quot;1"/>
      <sheetName val="Sheet3__2_7"/>
      <sheetName val="Income_&amp;_Occupancy_Customer7"/>
      <sheetName val="Income_Statements7"/>
      <sheetName val="QoQ_Forecast7"/>
      <sheetName val="Aladdin_Macro17"/>
      <sheetName val="Acc_10_57"/>
      <sheetName val="Global_Assm_7"/>
      <sheetName val="van_khuon2"/>
      <sheetName val="Portfolio_Summary3"/>
      <sheetName val="Current_Bill_MB_ref3"/>
      <sheetName val="Meas_-Hotel_Part3"/>
      <sheetName val="Builtup_Area7"/>
      <sheetName val="Project_Budget_Worksheet7"/>
      <sheetName val="IDC_macro2"/>
      <sheetName val="ABP_inputs7"/>
      <sheetName val="Synergy_Sales_Budget7"/>
      <sheetName val="Calculation_(2)7"/>
      <sheetName val="Multiple_output7"/>
      <sheetName val="RCC,Ret__Wall7"/>
      <sheetName val="BOQ_T4B7"/>
      <sheetName val="INDIGINEOUS_ITEMS_7"/>
      <sheetName val="Material_7"/>
      <sheetName val="Labour_&amp;_Plant7"/>
      <sheetName val="_B37"/>
      <sheetName val="_B17"/>
      <sheetName val="beam-reinft-IIInd_floor7"/>
      <sheetName val="Approved_MTD_Proj_#'s7"/>
      <sheetName val="TB_FOR_MIS2"/>
      <sheetName val="INPUT_SHEET1"/>
      <sheetName val="Main_Sheet_(MTD)2"/>
      <sheetName val="Consl_Daily_Report2"/>
      <sheetName val="IMPORT_T122"/>
      <sheetName val="Rollup_Summary2"/>
      <sheetName val="MN_T_B_7"/>
      <sheetName val="CFForecast_detail7"/>
      <sheetName val="Site_Dev_BOQ7"/>
      <sheetName val="Break_up_Sheet7"/>
      <sheetName val="Load_Details-220kV7"/>
      <sheetName val="Block_A_-_BOQ7"/>
      <sheetName val="170810-lease_tax2"/>
      <sheetName val="Master_Price_List1"/>
      <sheetName val="ASSETS_P&amp;M1"/>
      <sheetName val="Assets_Land_&amp;_Mise_FA1"/>
      <sheetName val="03_(2)1"/>
      <sheetName val="IO_LIST1"/>
      <sheetName val="Fill_this_out_first___1"/>
      <sheetName val="Fin_Sum2"/>
      <sheetName val="Material_List_1"/>
      <sheetName val="NEW-IDs_Fun_&amp;_Group1"/>
      <sheetName val="SOPMA_DD1"/>
      <sheetName val="WIng_F(Typical)1"/>
      <sheetName val="Master_list1"/>
      <sheetName val="Labour_List1"/>
      <sheetName val="Material_List1"/>
      <sheetName val="Architectural_Summary1"/>
      <sheetName val="March_Analysts1"/>
      <sheetName val="CABLE_DATA2"/>
      <sheetName val="1st_flr2"/>
      <sheetName val="Civil_Boq2"/>
      <sheetName val="Legal_Risk_Analysis1"/>
      <sheetName val="Labor_abs-NMR1"/>
      <sheetName val="Beam_at_Ground_flr_lvl(Steel)1"/>
      <sheetName val="1st_-vpd1"/>
      <sheetName val="Summary_Excise1"/>
      <sheetName val="Other_BS_Sch_5-91"/>
      <sheetName val="Excess_Calc1"/>
      <sheetName val="Grouping_Master1"/>
      <sheetName val="balance_sheet2"/>
      <sheetName val="P_&amp;_L1"/>
      <sheetName val="M-2_Adjusted1"/>
      <sheetName val="final_abstract2"/>
      <sheetName val="Rate_analysis2"/>
      <sheetName val="_Acc__Sched_1"/>
      <sheetName val="Balance_Sheet_1"/>
      <sheetName val="Dom_Cell_(IS)1"/>
      <sheetName val="Main_workings1"/>
      <sheetName val="Training_Deposits_coding1"/>
      <sheetName val="EDS__Bestshore_Migration1"/>
      <sheetName val="IT_Block1"/>
      <sheetName val="Location_CODE1"/>
      <sheetName val="Location_TYPE1"/>
      <sheetName val="sub_class1"/>
      <sheetName val="_sub_Loc_1"/>
      <sheetName val="Rev_Opt_-_Rollup1"/>
      <sheetName val="Open_Items-3112081"/>
      <sheetName val="MASTER_RATE_ANALYSIS1"/>
      <sheetName val="Valuation_-_block_21"/>
      <sheetName val="Trial_Balance1"/>
      <sheetName val="MIS_AC_wise1"/>
      <sheetName val="Base_Assumptions1"/>
      <sheetName val="10__&amp;_11__Rate_Code_&amp;_BQ1"/>
      <sheetName val="FITZ_MORT_941"/>
      <sheetName val="QoQ_In_Lakhs1"/>
      <sheetName val="vb_9&amp;101"/>
      <sheetName val="Goldberg_Portfolio_Combined1"/>
      <sheetName val="Commercial_Research1"/>
      <sheetName val="MIS_-_kINR2"/>
      <sheetName val="9__Package_split_-_Cost_1"/>
      <sheetName val="Operating_Statistics1"/>
      <sheetName val="FA_Schedule_Dec_071"/>
      <sheetName val="Theatre_mgmt_cont1"/>
      <sheetName val="P_R__TAXES1"/>
      <sheetName val="BILLING_SUM1"/>
      <sheetName val="schedule_nos1"/>
      <sheetName val="Leasing_Commision1"/>
      <sheetName val="Service_Invoice1"/>
      <sheetName val="Cash_Flow_Working1"/>
      <sheetName val="Retail_Mall1"/>
      <sheetName val="Related_party_-_P&amp;L1"/>
      <sheetName val="Debtors_analysis1"/>
      <sheetName val="pile_Fabrication1"/>
      <sheetName val="LBO_Financials1"/>
      <sheetName val="ANN_K1"/>
      <sheetName val="Notes-pivot1_1"/>
      <sheetName val="drop-dwn_list1"/>
      <sheetName val="extra_work_elec_bill_1"/>
      <sheetName val="소상_&quot;1&quot;1"/>
      <sheetName val="Felix_Street_Summary1"/>
      <sheetName val="Overall_Summary1"/>
      <sheetName val="RCC_Rates1"/>
      <sheetName val="Cost_summary1"/>
      <sheetName val="PRECAST_lightconc-II1"/>
      <sheetName val="Tender_Summary1"/>
      <sheetName val="Bill_1-BOQ-Civil_Works1"/>
      <sheetName val="UNP-NCW_1"/>
      <sheetName val="4_4_External_Plaster1"/>
      <sheetName val="HBI_NCD1"/>
      <sheetName val="CUSTOM_Jun991"/>
      <sheetName val="A_O_R_1"/>
      <sheetName val="Ins_Erection1"/>
      <sheetName val="0__Data_Validation_List1"/>
      <sheetName val="stacking_sheet1"/>
      <sheetName val="Basement_Budget1"/>
      <sheetName val="Night_Shift1"/>
      <sheetName val="ITEM__STUDY_(2)1"/>
      <sheetName val="TDS_Certificate-Format1"/>
      <sheetName val="Staff_Costs1"/>
      <sheetName val="Taluka_wise_dealer_(2)"/>
      <sheetName val="FA(Apr_07)"/>
      <sheetName val="Reco_O_S"/>
      <sheetName val="Determination_of_Threshold"/>
      <sheetName val="cl_14_Annex_7_"/>
      <sheetName val="Encl_7A"/>
      <sheetName val="Graph_(LGEN)"/>
      <sheetName val="선적schedule_(2)"/>
      <sheetName val="USB_1"/>
      <sheetName val="BOQ_Distribution"/>
      <sheetName val="GM_&amp;_TA"/>
      <sheetName val="steam_outlet"/>
      <sheetName val="SCH_10"/>
      <sheetName val="SAP_EMP"/>
      <sheetName val="RATE_LIST_(2)"/>
      <sheetName val="Control_Sheet"/>
      <sheetName val="Loss_3004"/>
      <sheetName val="Reconciliation_of_GL_&amp;_FAR"/>
      <sheetName val="exec_summ"/>
      <sheetName val="RCC_Ret__Wall"/>
      <sheetName val="wdr_bldg"/>
      <sheetName val="Formated_Trial_Balance"/>
      <sheetName val="Monthly_Inputs"/>
      <sheetName val="2000-1_Monthly_Cashflows"/>
      <sheetName val="2002-2_Monthly_Cashflows"/>
      <sheetName val="SAP_downloaded_schedule"/>
      <sheetName val="S_&amp;_A"/>
      <sheetName val="_"/>
      <sheetName val="Lease_Expiry"/>
      <sheetName val="Customize_Your_Invoice"/>
      <sheetName val="Base_data_Security_Procedures"/>
      <sheetName val="HOUSE_RENT_DEPO_"/>
      <sheetName val="Key_Assumption"/>
      <sheetName val="Master_Information"/>
      <sheetName val="Sale_Charts"/>
      <sheetName val="DYN_PP"/>
      <sheetName val="June_Reserve_-_Far_East"/>
      <sheetName val="Schedule_v1"/>
      <sheetName val="Multipliers_&amp;_KRA"/>
      <sheetName val="WC_analytics_(+data_pages)"/>
      <sheetName val="final_061106"/>
      <sheetName val="SAB_P&amp;L"/>
      <sheetName val="cash_flow1"/>
      <sheetName val="3-dep"/>
      <sheetName val="PetroChina"/>
      <sheetName val="DUMP "/>
      <sheetName val="Bspl Main"/>
      <sheetName val="Sch_BS"/>
      <sheetName val="BM"/>
      <sheetName val="PARAMETERS"/>
      <sheetName val="Misc__Master"/>
      <sheetName val="Capital_Structure"/>
      <sheetName val="TBAL9697_-group_wise__sdpl"/>
      <sheetName val="SEP_"/>
      <sheetName val="Account_title"/>
      <sheetName val="Redelvery_provision_changed"/>
      <sheetName val="Total MTH"/>
      <sheetName val="Grp_PL"/>
      <sheetName val="Charts"/>
      <sheetName val="Infinite Studios"/>
      <sheetName val="Neuros &amp; Immunos"/>
      <sheetName val="Nucleos"/>
      <sheetName val="차수"/>
      <sheetName val="P&amp;L"/>
      <sheetName val="DIVBUD99"/>
      <sheetName val="Configurator"/>
      <sheetName val="PriceDB"/>
      <sheetName val="Balance Sheet_US$"/>
      <sheetName val="HONOTES"/>
      <sheetName val="GF Columns"/>
      <sheetName val="earnings model"/>
      <sheetName val="NOA Data"/>
      <sheetName val="DB"/>
      <sheetName val="Base Data"/>
      <sheetName val="080 (2)"/>
      <sheetName val="F.01 - June 2005"/>
      <sheetName val="HW SW"/>
      <sheetName val="CRITERIA1"/>
      <sheetName val="PL"/>
      <sheetName val="Annexure-I"/>
      <sheetName val="EMPMAST"/>
      <sheetName val="agrolist"/>
      <sheetName val="Overheads"/>
      <sheetName val="Molasses-FG"/>
      <sheetName val="BASIS -DEC 08"/>
      <sheetName val="TASKRSRC (2)"/>
      <sheetName val="TARGET"/>
      <sheetName val="BASELINE"/>
      <sheetName val="exec_summ1"/>
      <sheetName val="Customize_Your_Invoice1"/>
      <sheetName val="Sale_Charts1"/>
      <sheetName val="Budget_Summary1"/>
      <sheetName val="Loss_30041"/>
      <sheetName val="Reconciliation_of_GL_&amp;_FAR1"/>
      <sheetName val="Power_&amp;_Fuel_(S)1"/>
      <sheetName val="GF_Columns"/>
      <sheetName val="Trial_Balance_Format"/>
      <sheetName val="labour_rates"/>
      <sheetName val="old_serial_no_"/>
      <sheetName val="Budget_CF_-_Overall"/>
      <sheetName val="공사비_내역_(가)"/>
      <sheetName val="4K_-_(6a)_Non_Manual_Breakdown"/>
      <sheetName val="3__Elemental_Summary"/>
      <sheetName val="August_TB"/>
      <sheetName val="_COP"/>
      <sheetName val="HOUSE_RENT_DEPO_1"/>
      <sheetName val="NOA_Data"/>
      <sheetName val="Unmatched"/>
      <sheetName val="Matched"/>
      <sheetName val="Severity"/>
      <sheetName val="Feb_Prfl_28"/>
      <sheetName val="grp "/>
      <sheetName val="전체현황"/>
      <sheetName val="인원계획"/>
      <sheetName val="Prov for exp-April'08 - June'08"/>
      <sheetName val="Provision for exp-Upto Mar'08"/>
      <sheetName val="creditors to others"/>
      <sheetName val="other amt&amp;recoveries payable"/>
      <sheetName val="other exp.charges recoverable"/>
      <sheetName val="rental deposits"/>
      <sheetName val="other deposits "/>
      <sheetName val="prepaid expenses"/>
      <sheetName val="sal.adv"/>
      <sheetName val="Pur"/>
      <sheetName val="SCH4"/>
      <sheetName val="FixedAssets"/>
      <sheetName val="Costs"/>
      <sheetName val="FIFO"/>
      <sheetName val="Links"/>
      <sheetName val="GL Master Data"/>
      <sheetName val="Lookups"/>
      <sheetName val="pri-com"/>
      <sheetName val="Factors"/>
      <sheetName val="NOT FULL RESTRAINT"/>
      <sheetName val="UC"/>
      <sheetName val="BEARING &amp; BUCKLING"/>
      <sheetName val="COM"/>
      <sheetName val="FSA"/>
      <sheetName val="B"/>
      <sheetName val="FF-2 (1)"/>
      <sheetName val="addl cost"/>
      <sheetName val="FF-1"/>
      <sheetName val="accumdeprn"/>
      <sheetName val="Names&amp;Cases"/>
      <sheetName val="COSTMAR"/>
      <sheetName val="Jun 2000"/>
      <sheetName val="Sheet2 (2)"/>
      <sheetName val="C120102"/>
      <sheetName val="nela"/>
      <sheetName val="COST-MTRS"/>
      <sheetName val="FLASH"/>
      <sheetName val="Annexure"/>
      <sheetName val="Schedules 3-8"/>
      <sheetName val="BHANDUP"/>
      <sheetName val="BS-203"/>
      <sheetName val="MPR_PA_1"/>
      <sheetName val="A"/>
      <sheetName val="Maping_Other"/>
      <sheetName val="Indices"/>
      <sheetName val="BOQ CIVIL"/>
      <sheetName val="Price Comparison"/>
      <sheetName val="Measurment"/>
      <sheetName val="entitlements"/>
      <sheetName val="Final Summary"/>
      <sheetName val="Figures in"/>
      <sheetName val="INQVAR PY"/>
      <sheetName val="EAW Final Accounts - 99"/>
      <sheetName val="Supplier"/>
      <sheetName val="Rates Basic"/>
      <sheetName val="Bal_Gr"/>
      <sheetName val="XWR"/>
      <sheetName val="Mthly CFS (Kha)"/>
      <sheetName val="sch"/>
      <sheetName val="grid"/>
      <sheetName val="O2.1"/>
      <sheetName val="RELACION REFERENCIAS"/>
      <sheetName val="GSTR-3B"/>
      <sheetName val="Collateral"/>
      <sheetName val="Category"/>
      <sheetName val="Repayment Summary"/>
      <sheetName val="cs1997"/>
      <sheetName val="2004"/>
      <sheetName val="2005"/>
      <sheetName val="Jul HK"/>
      <sheetName val="RMSCALC"/>
      <sheetName val="FSM"/>
      <sheetName val="cashflow-mgat"/>
      <sheetName val="Stack Expiry"/>
      <sheetName val="Stacking Plan"/>
      <sheetName val="Stacking Plan &amp; LEP"/>
      <sheetName val="Calendar"/>
      <sheetName val="Selection "/>
      <sheetName val="TENSCH"/>
      <sheetName val="Sheet1 (2)"/>
      <sheetName val="재무가정"/>
      <sheetName val="建築面積"/>
      <sheetName val="BPR"/>
      <sheetName val="Q1 Est"/>
      <sheetName val="gl"/>
      <sheetName val="Proforma"/>
      <sheetName val="B_S"/>
      <sheetName val="HSA"/>
      <sheetName val="WGSRL"/>
      <sheetName val="ADDN0304"/>
      <sheetName val="AR Graphs"/>
      <sheetName val="Jul 96 Worksheet"/>
      <sheetName val="NEES"/>
      <sheetName val="G02"/>
      <sheetName val="Périodes"/>
      <sheetName val="ANALY"/>
      <sheetName val="PERFO"/>
      <sheetName val="EXIT"/>
      <sheetName val="C30"/>
      <sheetName val="C"/>
      <sheetName val="電気設備表"/>
      <sheetName val="Book 1 Summary"/>
      <sheetName val="PROCESS"/>
      <sheetName val="2006-Cleancoded TB"/>
      <sheetName val="選択肢"/>
      <sheetName val="Sheet376"/>
      <sheetName val="EQUIP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sheetData sheetId="430"/>
      <sheetData sheetId="431"/>
      <sheetData sheetId="432"/>
      <sheetData sheetId="433" refreshError="1"/>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sheetData sheetId="526"/>
      <sheetData sheetId="527"/>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sheetData sheetId="820"/>
      <sheetData sheetId="821"/>
      <sheetData sheetId="822"/>
      <sheetData sheetId="823"/>
      <sheetData sheetId="824"/>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refreshError="1"/>
      <sheetData sheetId="1059" refreshError="1"/>
      <sheetData sheetId="1060" refreshError="1"/>
      <sheetData sheetId="1061" refreshError="1"/>
      <sheetData sheetId="1062" refreshError="1"/>
      <sheetData sheetId="1063" refreshError="1"/>
      <sheetData sheetId="1064" refreshError="1"/>
      <sheetData sheetId="1065"/>
      <sheetData sheetId="1066"/>
      <sheetData sheetId="1067"/>
      <sheetData sheetId="1068"/>
      <sheetData sheetId="1069"/>
      <sheetData sheetId="1070"/>
      <sheetData sheetId="1071" refreshError="1"/>
      <sheetData sheetId="1072" refreshError="1"/>
      <sheetData sheetId="1073" refreshError="1"/>
      <sheetData sheetId="1074"/>
      <sheetData sheetId="1075"/>
      <sheetData sheetId="1076"/>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sheetData sheetId="1140"/>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sheetData sheetId="1206"/>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sheetData sheetId="123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FAB별"/>
      <sheetName val="Con"/>
      <sheetName val="Output"/>
      <sheetName val="summary"/>
      <sheetName val="PopCache"/>
      <sheetName val="Sheet3 (2)"/>
      <sheetName val="SMP"/>
      <sheetName val="CF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S"/>
      <sheetName val="BS&amp;CF WLS"/>
      <sheetName val="PANDLAC WLS ROUTE"/>
      <sheetName val="BS&amp;CF WFP"/>
      <sheetName val="02A.INPUT"/>
      <sheetName val="03A.INPUT"/>
      <sheetName val="04A.INPUT"/>
      <sheetName val="05A.INPUT"/>
      <sheetName val="03B.INPUT"/>
      <sheetName val="04B.INPUT"/>
      <sheetName val="05B.INPUT"/>
      <sheetName val="05F.INPUT"/>
      <sheetName val="06B.INPUT"/>
      <sheetName val="PANDLAC WFP"/>
      <sheetName val="PANDLAC WLS-SMT-BUD05"/>
      <sheetName val="PANDLAC WLS-SMT-FST05"/>
      <sheetName val="PANDLAC WLS-ACT-FST05"/>
      <sheetName val="Summary P&amp;L"/>
      <sheetName val="Variance reconciliation"/>
      <sheetName val="Budget 06 comparison"/>
      <sheetName val="Bud06 Var Rec"/>
      <sheetName val="PANDLAC WLS-ACT"/>
      <sheetName val="Fcst Rec"/>
      <sheetName val="TRAFFIC-bud"/>
      <sheetName val="TRAFFIC-fst"/>
      <sheetName val="TRAFFIC INPUTS"/>
      <sheetName val="HW INPUTS"/>
      <sheetName val="Total road area"/>
      <sheetName val="Sheet3 (2)"/>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08" customWidth="1"/>
    <col min="2" max="2" width="81" style="824" customWidth="1"/>
    <col min="3" max="16384" width="9" style="817"/>
  </cols>
  <sheetData>
    <row r="1" spans="1:2" s="811" customFormat="1" ht="16.5" thickBot="1">
      <c r="A1" s="810" t="s">
        <v>515</v>
      </c>
      <c r="B1" s="809" t="s">
        <v>594</v>
      </c>
    </row>
    <row r="2" spans="1:2" s="814" customFormat="1" ht="15" thickTop="1">
      <c r="A2" s="812" t="s">
        <v>516</v>
      </c>
      <c r="B2" s="813" t="str">
        <f>'预评函-封皮'!B37:I37</f>
        <v>北京市房地产抵押价值预评估</v>
      </c>
    </row>
    <row r="3" spans="1:2">
      <c r="A3" s="815" t="s">
        <v>517</v>
      </c>
      <c r="B3" s="816">
        <f>'预评函-封皮'!B40</f>
        <v>0</v>
      </c>
    </row>
    <row r="4" spans="1:2">
      <c r="A4" s="815" t="s">
        <v>518</v>
      </c>
      <c r="B4" s="816" t="str">
        <f>'预评函-封皮'!B46</f>
        <v>（注册号：0)、（注册号：0)</v>
      </c>
    </row>
    <row r="5" spans="1:2" s="811" customFormat="1" ht="15" thickBot="1">
      <c r="A5" s="818" t="s">
        <v>519</v>
      </c>
      <c r="B5" s="819" t="str">
        <f>'预评函-封皮'!B49</f>
        <v>康正预评字号</v>
      </c>
    </row>
    <row r="6" spans="1:2" s="814" customFormat="1" ht="15" thickTop="1">
      <c r="A6" s="812" t="s">
        <v>520</v>
      </c>
      <c r="B6" s="813" t="str">
        <f>'预评函-1'!A4</f>
        <v>受贵公司委托，我公司对北京市房地产抵押价值进行了预评估。</v>
      </c>
    </row>
    <row r="7" spans="1:2">
      <c r="A7" s="815" t="s">
        <v>560</v>
      </c>
      <c r="B7" s="816" t="str">
        <f>'预评函-1'!A7</f>
        <v>估价对象为北京市房地产，为所有。根据《国有土地使用证》[]，估价对象（分摊）出让国有建设用地使用权面积为16447.62平方米，建筑面积为57408.26平方米。</v>
      </c>
    </row>
    <row r="8" spans="1:2">
      <c r="A8" s="815" t="s">
        <v>561</v>
      </c>
      <c r="B8" s="816" t="str">
        <f>'预评函-1'!A8</f>
        <v>估价对象简述。项目推广名，项目类型（用途），估价对象分布，各用途面积明细情况：XX用途建筑面积XX平方米，XX用途建筑面积XX平方米，……。复杂面积清单需设‘附表’列示：抵押物清单详见附表</v>
      </c>
    </row>
    <row r="9" spans="1:2">
      <c r="A9" s="815" t="s">
        <v>562</v>
      </c>
      <c r="B9" s="816" t="str">
        <f>'预评函-1'!A10</f>
        <v>估价对象为北京市房地产,为开发建设的，该项目尚在开发建设中。根据《国有土地使用证》[]，估价对象（分摊）出让国有建设用地使用权面积为16447.62平方米，规划建筑面积为57408.26平方米。</v>
      </c>
    </row>
    <row r="10" spans="1:2">
      <c r="A10" s="815" t="s">
        <v>563</v>
      </c>
      <c r="B10" s="8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15" t="s">
        <v>521</v>
      </c>
      <c r="B11" s="8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15" t="s">
        <v>522</v>
      </c>
      <c r="B12" s="816" t="str">
        <f>'预评函-1'!A15</f>
        <v>2026年1月27日（评估专业人员实地查勘之日）</v>
      </c>
    </row>
    <row r="13" spans="1:2">
      <c r="A13" s="815" t="s">
        <v>523</v>
      </c>
      <c r="B13" s="816" t="str">
        <f>'预评函-1'!A18</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4" spans="1:2">
      <c r="A14" s="815" t="s">
        <v>524</v>
      </c>
      <c r="B14" s="8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15" t="s">
        <v>525</v>
      </c>
      <c r="B15" s="816" t="str">
        <f>'预评函-1'!A20</f>
        <v>本次估价的“房地产抵押价值”是指估价对象在价值时点的“房地产价值”扣减估价师于价值时点所知悉的法定优先受偿款后的余额。</v>
      </c>
    </row>
    <row r="16" spans="1:2">
      <c r="A16" s="815" t="s">
        <v>526</v>
      </c>
      <c r="B16" s="8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15" t="s">
        <v>527</v>
      </c>
      <c r="B17" s="816" t="str">
        <f>'预评函-1'!A22</f>
        <v/>
      </c>
    </row>
    <row r="18" spans="1:2" s="811" customFormat="1" ht="15" thickBot="1">
      <c r="A18" s="818" t="s">
        <v>528</v>
      </c>
      <c r="B18" s="819" t="str">
        <f>'预评函-1'!A24</f>
        <v>本次评估采用的主估价方法为比较法和收益法。</v>
      </c>
    </row>
    <row r="19" spans="1:2" s="814" customFormat="1" ht="15" thickTop="1">
      <c r="A19" s="812" t="s">
        <v>529</v>
      </c>
      <c r="B19" s="8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15" t="s">
        <v>530</v>
      </c>
      <c r="B20" s="816">
        <f ca="1">'预评函-2'!D5</f>
        <v>166674</v>
      </c>
    </row>
    <row r="21" spans="1:2">
      <c r="A21" s="815" t="s">
        <v>531</v>
      </c>
      <c r="B21" s="816">
        <f ca="1">'预评函-2'!D7</f>
        <v>29033</v>
      </c>
    </row>
    <row r="22" spans="1:2">
      <c r="A22" s="815" t="s">
        <v>532</v>
      </c>
      <c r="B22" s="816" t="str">
        <f ca="1">'预评函-2'!D6</f>
        <v>壹拾陆亿陆仟陆佰柒拾肆万元整</v>
      </c>
    </row>
    <row r="23" spans="1:2">
      <c r="A23" s="815" t="s">
        <v>583</v>
      </c>
      <c r="B23" s="816" t="str">
        <f>'预评函-2'!B8</f>
        <v>2.估价师知悉的法定优先受偿款</v>
      </c>
    </row>
    <row r="24" spans="1:2">
      <c r="A24" s="815" t="s">
        <v>589</v>
      </c>
      <c r="B24" s="816">
        <f>'预评函-2'!D8</f>
        <v>0</v>
      </c>
    </row>
    <row r="25" spans="1:2">
      <c r="A25" s="815" t="s">
        <v>533</v>
      </c>
      <c r="B25" s="816" t="str">
        <f>'预评函-2'!D9</f>
        <v>零元整</v>
      </c>
    </row>
    <row r="26" spans="1:2">
      <c r="A26" s="815" t="s">
        <v>534</v>
      </c>
      <c r="B26" s="816">
        <f>'预评函-2'!D10</f>
        <v>0</v>
      </c>
    </row>
    <row r="27" spans="1:2">
      <c r="A27" s="815" t="s">
        <v>535</v>
      </c>
      <c r="B27" s="816">
        <f>'预评函-2'!D11</f>
        <v>0</v>
      </c>
    </row>
    <row r="28" spans="1:2">
      <c r="A28" s="815" t="s">
        <v>536</v>
      </c>
      <c r="B28" s="816">
        <f>'预评函-2'!D12</f>
        <v>0</v>
      </c>
    </row>
    <row r="29" spans="1:2">
      <c r="A29" s="815" t="s">
        <v>587</v>
      </c>
      <c r="B29" s="816" t="str">
        <f>'预评函-2'!B13</f>
        <v>3.房地产抵押价值</v>
      </c>
    </row>
    <row r="30" spans="1:2">
      <c r="A30" s="815" t="s">
        <v>588</v>
      </c>
      <c r="B30" s="816">
        <f ca="1">'预评函-2'!D13</f>
        <v>166674</v>
      </c>
    </row>
    <row r="31" spans="1:2">
      <c r="A31" s="815" t="s">
        <v>570</v>
      </c>
      <c r="B31" s="816">
        <f ca="1">'预评函-2'!D15</f>
        <v>29033</v>
      </c>
    </row>
    <row r="32" spans="1:2">
      <c r="A32" s="815" t="s">
        <v>537</v>
      </c>
      <c r="B32" s="816" t="str">
        <f ca="1">'预评函-2'!D14</f>
        <v>壹拾陆亿陆仟陆佰柒拾肆万元整</v>
      </c>
    </row>
    <row r="33" spans="1:2">
      <c r="A33" s="815" t="s">
        <v>572</v>
      </c>
      <c r="B33" s="816" t="str">
        <f>'预评函-2'!B16</f>
        <v>——</v>
      </c>
    </row>
    <row r="34" spans="1:2">
      <c r="A34" s="815" t="s">
        <v>590</v>
      </c>
      <c r="B34" s="816" t="str">
        <f>'预评函-2'!D16</f>
        <v>——</v>
      </c>
    </row>
    <row r="35" spans="1:2">
      <c r="A35" s="815" t="s">
        <v>571</v>
      </c>
      <c r="B35" s="816" t="str">
        <f>'预评函-2'!D18</f>
        <v>——</v>
      </c>
    </row>
    <row r="36" spans="1:2">
      <c r="A36" s="815" t="s">
        <v>538</v>
      </c>
      <c r="B36" s="816" t="e">
        <f>'预评函-2'!D17</f>
        <v>#VALUE!</v>
      </c>
    </row>
    <row r="37" spans="1:2">
      <c r="A37" s="815" t="s">
        <v>573</v>
      </c>
      <c r="B37" s="816" t="str">
        <f>'预评函-2'!B19</f>
        <v>——</v>
      </c>
    </row>
    <row r="38" spans="1:2">
      <c r="A38" s="815" t="s">
        <v>591</v>
      </c>
      <c r="B38" s="816" t="str">
        <f>'预评函-2'!D19</f>
        <v>——</v>
      </c>
    </row>
    <row r="39" spans="1:2">
      <c r="A39" s="815" t="s">
        <v>539</v>
      </c>
      <c r="B39" s="816" t="str">
        <f>'预评函-2'!D21</f>
        <v>——</v>
      </c>
    </row>
    <row r="40" spans="1:2">
      <c r="A40" s="815" t="s">
        <v>540</v>
      </c>
      <c r="B40" s="816" t="e">
        <f>'预评函-2'!D20</f>
        <v>#VALUE!</v>
      </c>
    </row>
    <row r="41" spans="1:2">
      <c r="A41" s="815" t="s">
        <v>586</v>
      </c>
      <c r="B41" s="816" t="str">
        <f>'预评函-3'!A4</f>
        <v>北京市房地产</v>
      </c>
    </row>
    <row r="42" spans="1:2">
      <c r="A42" s="815" t="s">
        <v>584</v>
      </c>
      <c r="B42" s="816" t="str">
        <f>'预评函-3'!B2</f>
        <v>建筑面积</v>
      </c>
    </row>
    <row r="43" spans="1:2">
      <c r="A43" s="815" t="s">
        <v>585</v>
      </c>
      <c r="B43" s="816">
        <f>'预评函-3'!B4</f>
        <v>57408.26</v>
      </c>
    </row>
    <row r="44" spans="1:2">
      <c r="A44" s="815" t="s">
        <v>569</v>
      </c>
      <c r="B44" s="816" t="str">
        <f>'预评函-3'!C2</f>
        <v>(分摊)土地面积</v>
      </c>
    </row>
    <row r="45" spans="1:2">
      <c r="A45" s="815" t="s">
        <v>541</v>
      </c>
      <c r="B45" s="816">
        <f>'预评函-3'!C4</f>
        <v>16447.62</v>
      </c>
    </row>
    <row r="46" spans="1:2">
      <c r="A46" s="815" t="s">
        <v>567</v>
      </c>
      <c r="B46" s="816" t="str">
        <f>'预评函-3'!D2</f>
        <v>出让国有建设用地使用权价值</v>
      </c>
    </row>
    <row r="47" spans="1:2">
      <c r="A47" s="815" t="s">
        <v>542</v>
      </c>
      <c r="B47" s="816">
        <f ca="1">'预评函-3'!D4</f>
        <v>166674</v>
      </c>
    </row>
    <row r="48" spans="1:2">
      <c r="A48" s="815" t="s">
        <v>543</v>
      </c>
      <c r="B48" s="816">
        <f ca="1">'预评函-3'!E4</f>
        <v>29033</v>
      </c>
    </row>
    <row r="49" spans="1:2">
      <c r="A49" s="815" t="s">
        <v>544</v>
      </c>
      <c r="B49" s="816" t="str">
        <f ca="1">'预评函-3'!D5</f>
        <v>壹拾陆亿陆仟陆佰柒拾肆万元整</v>
      </c>
    </row>
    <row r="50" spans="1:2">
      <c r="A50" s="815" t="s">
        <v>568</v>
      </c>
      <c r="B50" s="816">
        <f>'预评函-3'!F2</f>
        <v>0</v>
      </c>
    </row>
    <row r="51" spans="1:2">
      <c r="A51" s="815" t="s">
        <v>545</v>
      </c>
      <c r="B51" s="816">
        <f ca="1">'预评函-3'!F4</f>
        <v>0</v>
      </c>
    </row>
    <row r="52" spans="1:2">
      <c r="A52" s="815" t="s">
        <v>546</v>
      </c>
      <c r="B52" s="816">
        <f ca="1">'预评函-3'!G4</f>
        <v>0</v>
      </c>
    </row>
    <row r="53" spans="1:2">
      <c r="A53" s="815" t="s">
        <v>574</v>
      </c>
      <c r="B53" s="816" t="str">
        <f ca="1">'预评函-3'!F5</f>
        <v>零元整</v>
      </c>
    </row>
    <row r="54" spans="1:2">
      <c r="A54" s="815" t="s">
        <v>592</v>
      </c>
      <c r="B54" s="816" t="str">
        <f>'预评函-3'!A8</f>
        <v>房地产抵押价值</v>
      </c>
    </row>
    <row r="55" spans="1:2">
      <c r="A55" s="815" t="s">
        <v>575</v>
      </c>
      <c r="B55" s="816" t="str">
        <f>'预评函-3'!A10</f>
        <v/>
      </c>
    </row>
    <row r="56" spans="1:2">
      <c r="A56" s="815" t="s">
        <v>576</v>
      </c>
      <c r="B56" s="816" t="str">
        <f>'预评函-3'!A12</f>
        <v/>
      </c>
    </row>
    <row r="57" spans="1:2" s="811" customFormat="1" ht="15" thickBot="1">
      <c r="A57" s="818" t="s">
        <v>593</v>
      </c>
      <c r="B57" s="819" t="str">
        <f>'预评函-3'!A6</f>
        <v>估价师知悉的法定优先受偿款</v>
      </c>
    </row>
    <row r="58" spans="1:2" s="814" customFormat="1" ht="15" thickTop="1">
      <c r="A58" s="812" t="s">
        <v>547</v>
      </c>
      <c r="B58" s="813" t="str">
        <f>'预评函-4'!A12</f>
        <v>2.本《评估意见函》仅供金融机构进行内部审核使用，不做其他目的之用。</v>
      </c>
    </row>
    <row r="59" spans="1:2">
      <c r="A59" s="815" t="s">
        <v>548</v>
      </c>
      <c r="B59" s="816" t="str">
        <f>'预评函-4'!A13</f>
        <v>3.抵押双方在办理抵押登记手续时，应使用本公司出具的正式《房地产评估报告》，特提醒报告使用者注意。</v>
      </c>
    </row>
    <row r="60" spans="1:2">
      <c r="A60" s="815" t="s">
        <v>549</v>
      </c>
      <c r="B60" s="816" t="str">
        <f>'预评函-4'!A14</f>
        <v>4.本次评估估价师所知悉的法定优先受偿款情况说明如下：</v>
      </c>
    </row>
    <row r="61" spans="1:2">
      <c r="A61" s="815" t="s">
        <v>550</v>
      </c>
      <c r="B61" s="8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15" t="s">
        <v>551</v>
      </c>
      <c r="B62" s="816" t="str">
        <f>'预评函-4'!A16</f>
        <v>（2）根据《工程款支付情况说明》，截至价值时点，估价对象不存在应付未付工程款项。（只要没有施工方盖章的，均“设定”进行表述）</v>
      </c>
    </row>
    <row r="63" spans="1:2">
      <c r="A63" s="815" t="s">
        <v>552</v>
      </c>
      <c r="B63" s="8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15" t="s">
        <v>564</v>
      </c>
      <c r="B64" s="816" t="str">
        <f>'预评函-4'!A18</f>
        <v>故，本次评估不存在估价师知悉的法定优先受偿款</v>
      </c>
    </row>
    <row r="65" spans="1:2">
      <c r="A65" s="815" t="s">
        <v>553</v>
      </c>
      <c r="B65" s="8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15" t="s">
        <v>554</v>
      </c>
      <c r="B66" s="816" t="str">
        <f>'预评函-4'!A20</f>
        <v>——</v>
      </c>
    </row>
    <row r="67" spans="1:2">
      <c r="A67" s="815" t="s">
        <v>565</v>
      </c>
      <c r="B67" s="816" t="str">
        <f>'预评函-4'!A21</f>
        <v>——</v>
      </c>
    </row>
    <row r="68" spans="1:2">
      <c r="A68" s="815" t="s">
        <v>566</v>
      </c>
      <c r="B68" s="816" t="str">
        <f>'预评函-4'!A22</f>
        <v>8.其他需特殊说明事项：无（注意调整序号）</v>
      </c>
    </row>
    <row r="69" spans="1:2" s="811" customFormat="1" ht="15" thickBot="1">
      <c r="A69" s="818" t="s">
        <v>555</v>
      </c>
      <c r="B69" s="820">
        <f>'预评函-4'!C31</f>
        <v>42551</v>
      </c>
    </row>
    <row r="70" spans="1:2" ht="15" thickTop="1">
      <c r="A70" s="821" t="s">
        <v>556</v>
      </c>
      <c r="B70" s="822">
        <f>'预评函-4'!A4</f>
        <v>0</v>
      </c>
    </row>
    <row r="71" spans="1:2">
      <c r="A71" s="815" t="s">
        <v>557</v>
      </c>
      <c r="B71" s="816">
        <f>'预评函-4'!B4</f>
        <v>0</v>
      </c>
    </row>
    <row r="72" spans="1:2">
      <c r="A72" s="815" t="s">
        <v>558</v>
      </c>
      <c r="B72" s="823">
        <f>'预评函-4'!A5</f>
        <v>0</v>
      </c>
    </row>
    <row r="73" spans="1:2" s="811" customFormat="1" ht="15" thickBot="1">
      <c r="A73" s="818" t="s">
        <v>559</v>
      </c>
      <c r="B73" s="819">
        <f>'预评函-4'!B5</f>
        <v>0</v>
      </c>
    </row>
    <row r="74" spans="1:2" ht="15" thickTop="1">
      <c r="A74" s="808" t="s">
        <v>595</v>
      </c>
      <c r="B74" s="8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K26" sqref="K26"/>
    </sheetView>
  </sheetViews>
  <sheetFormatPr defaultColWidth="9" defaultRowHeight="13.5"/>
  <cols>
    <col min="1" max="1" width="13.5" style="1118" customWidth="1"/>
    <col min="2" max="2" width="23.25" style="1075" customWidth="1"/>
    <col min="3" max="3" width="13" style="1115" customWidth="1"/>
    <col min="4" max="4" width="5.75" style="1113" customWidth="1"/>
    <col min="5" max="5" width="7.125" style="1113" customWidth="1"/>
    <col min="6" max="6" width="10.625" style="1113" customWidth="1"/>
    <col min="7" max="7" width="7.5" style="1113" customWidth="1"/>
    <col min="8" max="8" width="11.875" style="1115" customWidth="1"/>
    <col min="9" max="9" width="11.625" style="1115" customWidth="1"/>
    <col min="10" max="10" width="9" style="1115" customWidth="1"/>
    <col min="11" max="19" width="9" style="1113" customWidth="1"/>
    <col min="20" max="23" width="9" style="1115" customWidth="1"/>
    <col min="24" max="28" width="15.125" style="1115" customWidth="1"/>
    <col min="29" max="16384" width="9" style="1075"/>
  </cols>
  <sheetData>
    <row r="1" spans="1:28" s="1110" customFormat="1" ht="40.5">
      <c r="A1" s="1106" t="s">
        <v>42</v>
      </c>
      <c r="B1" s="1107" t="s">
        <v>962</v>
      </c>
      <c r="C1" s="1108" t="s">
        <v>312</v>
      </c>
      <c r="D1" s="1109" t="s">
        <v>3233</v>
      </c>
      <c r="E1" s="1108" t="s">
        <v>963</v>
      </c>
      <c r="F1" s="1108" t="s">
        <v>964</v>
      </c>
      <c r="G1" s="1108" t="s">
        <v>965</v>
      </c>
      <c r="H1" s="1108" t="s">
        <v>966</v>
      </c>
      <c r="I1" s="1108" t="s">
        <v>967</v>
      </c>
      <c r="J1" s="1108" t="s">
        <v>968</v>
      </c>
      <c r="K1" s="1108" t="s">
        <v>969</v>
      </c>
      <c r="L1" s="1108" t="s">
        <v>970</v>
      </c>
      <c r="M1" s="1108" t="s">
        <v>971</v>
      </c>
      <c r="N1" s="1108" t="s">
        <v>972</v>
      </c>
      <c r="O1" s="1108" t="s">
        <v>973</v>
      </c>
      <c r="P1" s="1109" t="s">
        <v>307</v>
      </c>
      <c r="Q1" s="1109" t="s">
        <v>441</v>
      </c>
      <c r="R1" s="1108" t="s">
        <v>435</v>
      </c>
      <c r="S1" s="1108" t="s">
        <v>974</v>
      </c>
      <c r="T1" s="1109" t="s">
        <v>975</v>
      </c>
      <c r="U1" s="1108" t="s">
        <v>976</v>
      </c>
      <c r="V1" s="1108" t="s">
        <v>977</v>
      </c>
      <c r="W1" s="1108" t="s">
        <v>309</v>
      </c>
      <c r="X1" s="1108" t="s">
        <v>660</v>
      </c>
      <c r="Y1" s="1108" t="s">
        <v>19</v>
      </c>
      <c r="Z1" s="1108" t="s">
        <v>3269</v>
      </c>
      <c r="AA1" s="1108" t="s">
        <v>3268</v>
      </c>
      <c r="AB1" s="1108" t="s">
        <v>3</v>
      </c>
    </row>
    <row r="2" spans="1:28">
      <c r="A2" s="1111" t="s">
        <v>17</v>
      </c>
      <c r="B2" s="1111" t="s">
        <v>978</v>
      </c>
      <c r="C2" s="1112" t="s">
        <v>313</v>
      </c>
      <c r="D2" s="1113" t="s">
        <v>979</v>
      </c>
      <c r="E2" s="1113" t="s">
        <v>980</v>
      </c>
      <c r="F2" s="1113" t="s">
        <v>981</v>
      </c>
      <c r="G2" s="3602">
        <v>20</v>
      </c>
      <c r="H2" s="1113" t="s">
        <v>981</v>
      </c>
      <c r="I2" s="1113" t="s">
        <v>3219</v>
      </c>
      <c r="J2" s="1113" t="s">
        <v>982</v>
      </c>
      <c r="K2" s="1113" t="s">
        <v>983</v>
      </c>
      <c r="L2" s="1113" t="s">
        <v>983</v>
      </c>
      <c r="M2" s="1113" t="s">
        <v>983</v>
      </c>
      <c r="N2" s="1113" t="s">
        <v>983</v>
      </c>
      <c r="O2" s="1113" t="s">
        <v>983</v>
      </c>
      <c r="P2" s="1113" t="s">
        <v>983</v>
      </c>
      <c r="Q2" s="1113" t="s">
        <v>983</v>
      </c>
      <c r="R2" s="1113" t="s">
        <v>437</v>
      </c>
      <c r="S2" s="1113" t="s">
        <v>983</v>
      </c>
      <c r="T2" s="1113" t="s">
        <v>984</v>
      </c>
      <c r="U2" s="1113" t="s">
        <v>983</v>
      </c>
      <c r="V2" s="1113" t="s">
        <v>985</v>
      </c>
      <c r="W2" s="1113" t="s">
        <v>983</v>
      </c>
      <c r="X2" s="1115" t="s">
        <v>2324</v>
      </c>
      <c r="Y2" s="1115" t="s">
        <v>3275</v>
      </c>
      <c r="Z2" s="1115" t="s">
        <v>2337</v>
      </c>
      <c r="AA2" s="1115" t="s">
        <v>3276</v>
      </c>
      <c r="AB2" s="1115" t="s">
        <v>2364</v>
      </c>
    </row>
    <row r="3" spans="1:28">
      <c r="A3" s="1111" t="s">
        <v>986</v>
      </c>
      <c r="B3" s="1114" t="s">
        <v>442</v>
      </c>
      <c r="C3" s="1112" t="s">
        <v>314</v>
      </c>
      <c r="D3" s="1113" t="s">
        <v>987</v>
      </c>
      <c r="E3" s="1113" t="s">
        <v>12</v>
      </c>
      <c r="F3" s="1113" t="s">
        <v>988</v>
      </c>
      <c r="G3" s="3602">
        <v>40</v>
      </c>
      <c r="H3" s="1113" t="s">
        <v>988</v>
      </c>
      <c r="I3" s="1113" t="s">
        <v>3220</v>
      </c>
      <c r="J3" s="1113" t="s">
        <v>989</v>
      </c>
      <c r="K3" s="1113" t="s">
        <v>990</v>
      </c>
      <c r="L3" s="1113" t="s">
        <v>990</v>
      </c>
      <c r="M3" s="1113" t="s">
        <v>990</v>
      </c>
      <c r="N3" s="1113" t="s">
        <v>990</v>
      </c>
      <c r="O3" s="1113" t="s">
        <v>990</v>
      </c>
      <c r="P3" s="1113" t="s">
        <v>990</v>
      </c>
      <c r="Q3" s="1113" t="s">
        <v>990</v>
      </c>
      <c r="R3" s="1113" t="s">
        <v>436</v>
      </c>
      <c r="S3" s="1113" t="s">
        <v>990</v>
      </c>
      <c r="T3" s="1113" t="s">
        <v>991</v>
      </c>
      <c r="U3" s="1113" t="s">
        <v>990</v>
      </c>
      <c r="V3" s="1113" t="s">
        <v>992</v>
      </c>
      <c r="W3" s="1113" t="s">
        <v>990</v>
      </c>
      <c r="X3" s="1115" t="s">
        <v>2326</v>
      </c>
      <c r="Z3" s="1115" t="s">
        <v>2339</v>
      </c>
      <c r="AB3" s="1115" t="s">
        <v>2366</v>
      </c>
    </row>
    <row r="4" spans="1:28">
      <c r="A4" s="1111" t="s">
        <v>993</v>
      </c>
      <c r="B4" s="1111" t="s">
        <v>994</v>
      </c>
      <c r="C4" s="1112" t="s">
        <v>315</v>
      </c>
      <c r="D4" s="1113" t="s">
        <v>383</v>
      </c>
      <c r="E4" s="1113" t="s">
        <v>995</v>
      </c>
      <c r="F4" s="1113" t="s">
        <v>996</v>
      </c>
      <c r="G4" s="3602">
        <v>50</v>
      </c>
      <c r="H4" s="1113" t="s">
        <v>996</v>
      </c>
      <c r="I4" s="1113" t="s">
        <v>3221</v>
      </c>
      <c r="K4" s="1113" t="s">
        <v>997</v>
      </c>
      <c r="L4" s="1113" t="s">
        <v>997</v>
      </c>
      <c r="M4" s="1113" t="s">
        <v>997</v>
      </c>
      <c r="N4" s="1113" t="s">
        <v>997</v>
      </c>
      <c r="O4" s="1113" t="s">
        <v>997</v>
      </c>
      <c r="P4" s="1113" t="s">
        <v>997</v>
      </c>
      <c r="Q4" s="1113" t="s">
        <v>997</v>
      </c>
      <c r="R4" s="1113" t="s">
        <v>438</v>
      </c>
      <c r="S4" s="1113" t="s">
        <v>997</v>
      </c>
      <c r="T4" s="1113" t="s">
        <v>998</v>
      </c>
      <c r="U4" s="1113" t="s">
        <v>997</v>
      </c>
      <c r="W4" s="1113" t="s">
        <v>997</v>
      </c>
      <c r="X4" s="1115" t="s">
        <v>2328</v>
      </c>
      <c r="Z4" s="1115" t="s">
        <v>2341</v>
      </c>
      <c r="AB4" s="1115" t="s">
        <v>2368</v>
      </c>
    </row>
    <row r="5" spans="1:28">
      <c r="A5" s="1111" t="s">
        <v>999</v>
      </c>
      <c r="B5" s="1111" t="s">
        <v>1000</v>
      </c>
      <c r="C5" s="1112" t="s">
        <v>316</v>
      </c>
      <c r="F5" s="1113" t="s">
        <v>1001</v>
      </c>
      <c r="G5" s="3602">
        <v>70</v>
      </c>
      <c r="H5" s="1113" t="s">
        <v>1002</v>
      </c>
      <c r="I5" s="1113" t="s">
        <v>3222</v>
      </c>
      <c r="K5" s="1113" t="s">
        <v>1003</v>
      </c>
      <c r="L5" s="1113" t="s">
        <v>1003</v>
      </c>
      <c r="M5" s="1113" t="s">
        <v>1003</v>
      </c>
      <c r="N5" s="1113" t="s">
        <v>1003</v>
      </c>
      <c r="O5" s="1113" t="s">
        <v>1003</v>
      </c>
      <c r="P5" s="1113" t="s">
        <v>1003</v>
      </c>
      <c r="Q5" s="1113" t="s">
        <v>1003</v>
      </c>
      <c r="R5" s="1113" t="s">
        <v>439</v>
      </c>
      <c r="S5" s="1113" t="s">
        <v>1003</v>
      </c>
      <c r="T5" s="1113" t="s">
        <v>1004</v>
      </c>
      <c r="U5" s="1113" t="s">
        <v>1003</v>
      </c>
      <c r="W5" s="1113" t="s">
        <v>1003</v>
      </c>
      <c r="X5" s="1115" t="s">
        <v>2330</v>
      </c>
      <c r="Z5" s="1115" t="s">
        <v>2343</v>
      </c>
      <c r="AB5" s="1115" t="s">
        <v>3277</v>
      </c>
    </row>
    <row r="6" spans="1:28">
      <c r="A6" s="1111" t="s">
        <v>1005</v>
      </c>
      <c r="B6" s="1114" t="s">
        <v>443</v>
      </c>
      <c r="C6" s="1116" t="s">
        <v>22</v>
      </c>
      <c r="F6" s="1113" t="s">
        <v>1002</v>
      </c>
      <c r="H6" s="1113" t="s">
        <v>1006</v>
      </c>
      <c r="I6" s="1113" t="s">
        <v>3223</v>
      </c>
      <c r="K6" s="1113" t="s">
        <v>1007</v>
      </c>
      <c r="L6" s="1113" t="s">
        <v>1007</v>
      </c>
      <c r="M6" s="1113" t="s">
        <v>1007</v>
      </c>
      <c r="N6" s="1113" t="s">
        <v>1007</v>
      </c>
      <c r="O6" s="1113" t="s">
        <v>1007</v>
      </c>
      <c r="P6" s="1113" t="s">
        <v>1007</v>
      </c>
      <c r="Q6" s="1113" t="s">
        <v>1007</v>
      </c>
      <c r="R6" s="1113" t="s">
        <v>440</v>
      </c>
      <c r="S6" s="1113" t="s">
        <v>1007</v>
      </c>
      <c r="T6" s="1113"/>
      <c r="U6" s="1113" t="s">
        <v>1007</v>
      </c>
      <c r="W6" s="1113" t="s">
        <v>1007</v>
      </c>
      <c r="X6" s="1115" t="s">
        <v>2332</v>
      </c>
      <c r="Z6" s="1115" t="s">
        <v>2345</v>
      </c>
      <c r="AB6" s="1115" t="s">
        <v>2371</v>
      </c>
    </row>
    <row r="7" spans="1:28">
      <c r="A7" s="1111" t="s">
        <v>1008</v>
      </c>
      <c r="B7" s="1114" t="s">
        <v>444</v>
      </c>
      <c r="C7" s="1112" t="s">
        <v>23</v>
      </c>
      <c r="F7" s="1113" t="s">
        <v>1009</v>
      </c>
      <c r="H7" s="1113" t="s">
        <v>1010</v>
      </c>
      <c r="I7" s="1113" t="s">
        <v>3224</v>
      </c>
      <c r="X7" s="1115" t="s">
        <v>2334</v>
      </c>
      <c r="Z7" s="1115" t="s">
        <v>2347</v>
      </c>
      <c r="AB7" s="1115" t="s">
        <v>2373</v>
      </c>
    </row>
    <row r="8" spans="1:28">
      <c r="A8" s="1111" t="s">
        <v>1011</v>
      </c>
      <c r="B8" s="1111" t="s">
        <v>2318</v>
      </c>
      <c r="C8" s="1112" t="s">
        <v>317</v>
      </c>
      <c r="F8" s="1113" t="s">
        <v>1013</v>
      </c>
      <c r="H8" s="1113" t="s">
        <v>2462</v>
      </c>
      <c r="I8" s="1113" t="s">
        <v>3225</v>
      </c>
      <c r="X8" s="1115" t="s">
        <v>3278</v>
      </c>
      <c r="Z8" s="1115" t="s">
        <v>2349</v>
      </c>
      <c r="AB8" s="1115" t="s">
        <v>2375</v>
      </c>
    </row>
    <row r="9" spans="1:28">
      <c r="A9" s="1111" t="s">
        <v>1014</v>
      </c>
      <c r="B9" s="1111" t="s">
        <v>1012</v>
      </c>
      <c r="C9" s="1112" t="s">
        <v>318</v>
      </c>
      <c r="F9" s="1113" t="s">
        <v>1016</v>
      </c>
      <c r="H9" s="1113"/>
      <c r="I9" s="1115" t="s">
        <v>3226</v>
      </c>
      <c r="X9" s="1115" t="s">
        <v>3279</v>
      </c>
      <c r="Z9" s="1115" t="s">
        <v>2351</v>
      </c>
      <c r="AB9" s="1115" t="s">
        <v>2377</v>
      </c>
    </row>
    <row r="10" spans="1:28">
      <c r="A10" s="1111" t="s">
        <v>1017</v>
      </c>
      <c r="B10" s="1111" t="s">
        <v>1015</v>
      </c>
      <c r="C10" s="1112" t="s">
        <v>319</v>
      </c>
      <c r="F10" s="1113" t="s">
        <v>2463</v>
      </c>
      <c r="I10" s="1115" t="s">
        <v>3227</v>
      </c>
      <c r="Z10" s="1115" t="s">
        <v>2353</v>
      </c>
      <c r="AB10" s="1115" t="s">
        <v>2379</v>
      </c>
    </row>
    <row r="11" spans="1:28">
      <c r="A11" s="1111" t="s">
        <v>1019</v>
      </c>
      <c r="B11" s="1111" t="s">
        <v>1018</v>
      </c>
      <c r="C11" s="1112" t="s">
        <v>320</v>
      </c>
      <c r="F11" s="1113" t="s">
        <v>12</v>
      </c>
      <c r="I11" s="1115" t="s">
        <v>3228</v>
      </c>
      <c r="Z11" s="1115" t="s">
        <v>2355</v>
      </c>
      <c r="AB11" s="1115" t="s">
        <v>2381</v>
      </c>
    </row>
    <row r="12" spans="1:28">
      <c r="A12" s="1111" t="s">
        <v>1021</v>
      </c>
      <c r="B12" s="1111" t="s">
        <v>1020</v>
      </c>
      <c r="C12" s="1112" t="s">
        <v>321</v>
      </c>
      <c r="I12" s="1115" t="s">
        <v>3229</v>
      </c>
      <c r="Z12" s="1115" t="s">
        <v>2357</v>
      </c>
      <c r="AB12" s="1115" t="s">
        <v>2383</v>
      </c>
    </row>
    <row r="13" spans="1:28">
      <c r="A13" s="1111" t="s">
        <v>1023</v>
      </c>
      <c r="B13" s="1111" t="s">
        <v>1022</v>
      </c>
      <c r="C13" s="1112" t="s">
        <v>322</v>
      </c>
      <c r="I13" s="1115" t="s">
        <v>3230</v>
      </c>
      <c r="Z13" s="1115" t="s">
        <v>2359</v>
      </c>
    </row>
    <row r="14" spans="1:28">
      <c r="A14" s="1111" t="s">
        <v>1025</v>
      </c>
      <c r="B14" s="1111" t="s">
        <v>1024</v>
      </c>
      <c r="C14" s="1113" t="s">
        <v>12</v>
      </c>
      <c r="I14" s="1115" t="s">
        <v>3231</v>
      </c>
      <c r="Z14" s="1115" t="s">
        <v>2361</v>
      </c>
    </row>
    <row r="15" spans="1:28">
      <c r="A15" s="1111" t="s">
        <v>1027</v>
      </c>
      <c r="B15" s="1111" t="s">
        <v>2193</v>
      </c>
      <c r="C15" s="1112"/>
      <c r="I15" s="1115" t="s">
        <v>3232</v>
      </c>
    </row>
    <row r="16" spans="1:28">
      <c r="A16" s="1111" t="s">
        <v>1029</v>
      </c>
      <c r="B16" s="1111" t="s">
        <v>1026</v>
      </c>
      <c r="C16" s="1112"/>
    </row>
    <row r="17" spans="1:3">
      <c r="A17" s="1111" t="s">
        <v>1030</v>
      </c>
      <c r="B17" s="1111" t="s">
        <v>1028</v>
      </c>
      <c r="C17" s="1112"/>
    </row>
    <row r="18" spans="1:3">
      <c r="A18" s="1111" t="s">
        <v>1031</v>
      </c>
      <c r="B18" s="1111" t="s">
        <v>3521</v>
      </c>
      <c r="C18" s="1112"/>
    </row>
    <row r="19" spans="1:3">
      <c r="A19" s="1111" t="s">
        <v>1032</v>
      </c>
      <c r="B19" s="1111" t="s">
        <v>3522</v>
      </c>
      <c r="C19" s="1112"/>
    </row>
    <row r="20" spans="1:3">
      <c r="A20" s="1111" t="s">
        <v>1033</v>
      </c>
      <c r="B20" s="1111" t="s">
        <v>310</v>
      </c>
      <c r="C20" s="1112"/>
    </row>
    <row r="21" spans="1:3">
      <c r="A21" s="1111" t="s">
        <v>1034</v>
      </c>
      <c r="B21" s="1111" t="s">
        <v>2193</v>
      </c>
      <c r="C21" s="1112"/>
    </row>
    <row r="22" spans="1:3">
      <c r="A22" s="1111" t="s">
        <v>1035</v>
      </c>
      <c r="B22" s="1111" t="s">
        <v>3626</v>
      </c>
      <c r="C22" s="1112"/>
    </row>
    <row r="23" spans="1:3">
      <c r="A23" s="1111" t="s">
        <v>1036</v>
      </c>
      <c r="B23" s="1111" t="s">
        <v>4160</v>
      </c>
      <c r="C23" s="1112"/>
    </row>
    <row r="24" spans="1:3">
      <c r="A24" s="1111" t="s">
        <v>1037</v>
      </c>
      <c r="B24" s="1111" t="s">
        <v>4162</v>
      </c>
      <c r="C24" s="1112"/>
    </row>
    <row r="25" spans="1:3">
      <c r="A25" s="1111" t="s">
        <v>1038</v>
      </c>
      <c r="B25" s="1111" t="s">
        <v>4164</v>
      </c>
      <c r="C25" s="1112"/>
    </row>
    <row r="26" spans="1:3">
      <c r="A26" s="1111" t="s">
        <v>1039</v>
      </c>
      <c r="B26" s="1111" t="s">
        <v>4166</v>
      </c>
      <c r="C26" s="1112"/>
    </row>
    <row r="27" spans="1:3">
      <c r="A27" s="1111" t="s">
        <v>311</v>
      </c>
      <c r="B27" s="1111" t="s">
        <v>311</v>
      </c>
      <c r="C27" s="1112"/>
    </row>
    <row r="28" spans="1:3">
      <c r="A28" s="1111" t="s">
        <v>311</v>
      </c>
      <c r="B28" s="1111" t="s">
        <v>311</v>
      </c>
      <c r="C28" s="1112"/>
    </row>
    <row r="29" spans="1:3">
      <c r="A29" s="1111" t="s">
        <v>311</v>
      </c>
      <c r="B29" s="1111" t="s">
        <v>311</v>
      </c>
      <c r="C29" s="1112"/>
    </row>
    <row r="30" spans="1:3">
      <c r="A30" s="1111" t="s">
        <v>311</v>
      </c>
      <c r="B30" s="1111" t="s">
        <v>311</v>
      </c>
      <c r="C30" s="1112"/>
    </row>
    <row r="31" spans="1:3">
      <c r="A31" s="1111" t="s">
        <v>311</v>
      </c>
      <c r="B31" s="1111" t="s">
        <v>311</v>
      </c>
      <c r="C31" s="1112"/>
    </row>
    <row r="32" spans="1:3">
      <c r="A32" s="1111" t="s">
        <v>311</v>
      </c>
      <c r="B32" s="1111" t="s">
        <v>311</v>
      </c>
      <c r="C32" s="1112"/>
    </row>
    <row r="33" spans="1:3">
      <c r="A33" s="1111" t="s">
        <v>311</v>
      </c>
      <c r="B33" s="1111" t="s">
        <v>311</v>
      </c>
      <c r="C33" s="1112"/>
    </row>
    <row r="34" spans="1:3">
      <c r="A34" s="1111" t="s">
        <v>311</v>
      </c>
      <c r="B34" s="1111" t="s">
        <v>311</v>
      </c>
      <c r="C34" s="1112"/>
    </row>
    <row r="35" spans="1:3">
      <c r="A35" s="1111" t="s">
        <v>311</v>
      </c>
      <c r="B35" s="1111" t="s">
        <v>311</v>
      </c>
      <c r="C35" s="1112"/>
    </row>
    <row r="36" spans="1:3">
      <c r="A36" s="1111" t="s">
        <v>311</v>
      </c>
      <c r="B36" s="1111" t="s">
        <v>311</v>
      </c>
      <c r="C36" s="1112"/>
    </row>
    <row r="37" spans="1:3">
      <c r="A37" s="1111" t="s">
        <v>311</v>
      </c>
      <c r="B37" s="1111" t="s">
        <v>311</v>
      </c>
      <c r="C37" s="1112"/>
    </row>
    <row r="38" spans="1:3">
      <c r="A38" s="1111" t="s">
        <v>311</v>
      </c>
      <c r="B38" s="1111" t="s">
        <v>311</v>
      </c>
      <c r="C38" s="1112"/>
    </row>
    <row r="39" spans="1:3">
      <c r="A39" s="1111" t="s">
        <v>311</v>
      </c>
      <c r="B39" s="1111" t="s">
        <v>311</v>
      </c>
      <c r="C39" s="1112"/>
    </row>
    <row r="40" spans="1:3">
      <c r="A40" s="1111" t="s">
        <v>311</v>
      </c>
      <c r="B40" s="1111" t="s">
        <v>311</v>
      </c>
      <c r="C40" s="1112"/>
    </row>
    <row r="41" spans="1:3">
      <c r="A41" s="1111" t="s">
        <v>311</v>
      </c>
      <c r="B41" s="1111" t="s">
        <v>311</v>
      </c>
      <c r="C41" s="1112"/>
    </row>
    <row r="42" spans="1:3">
      <c r="A42" s="1111" t="s">
        <v>311</v>
      </c>
      <c r="B42" s="1111" t="s">
        <v>311</v>
      </c>
      <c r="C42" s="1112"/>
    </row>
    <row r="43" spans="1:3">
      <c r="A43" s="1111" t="s">
        <v>311</v>
      </c>
      <c r="B43" s="1111" t="s">
        <v>311</v>
      </c>
      <c r="C43" s="1112"/>
    </row>
    <row r="44" spans="1:3">
      <c r="A44" s="1111" t="s">
        <v>311</v>
      </c>
      <c r="B44" s="1111" t="s">
        <v>311</v>
      </c>
      <c r="C44" s="1112"/>
    </row>
    <row r="45" spans="1:3">
      <c r="A45" s="1111" t="s">
        <v>311</v>
      </c>
      <c r="B45" s="1111" t="s">
        <v>311</v>
      </c>
      <c r="C45" s="1112"/>
    </row>
    <row r="46" spans="1:3">
      <c r="A46" s="1111" t="s">
        <v>311</v>
      </c>
      <c r="B46" s="1111" t="s">
        <v>311</v>
      </c>
      <c r="C46" s="1112"/>
    </row>
    <row r="47" spans="1:3">
      <c r="A47" s="1111" t="s">
        <v>311</v>
      </c>
      <c r="B47" s="1111" t="s">
        <v>311</v>
      </c>
      <c r="C47" s="1112"/>
    </row>
    <row r="48" spans="1:3">
      <c r="A48" s="1111" t="s">
        <v>311</v>
      </c>
      <c r="B48" s="1111" t="s">
        <v>311</v>
      </c>
      <c r="C48" s="1112"/>
    </row>
    <row r="49" spans="1:4">
      <c r="A49" s="1111" t="s">
        <v>311</v>
      </c>
      <c r="B49" s="1111" t="s">
        <v>311</v>
      </c>
      <c r="C49" s="1112"/>
    </row>
    <row r="50" spans="1:4">
      <c r="A50" s="1111" t="s">
        <v>311</v>
      </c>
      <c r="B50" s="1111" t="s">
        <v>311</v>
      </c>
      <c r="C50" s="1112"/>
    </row>
    <row r="51" spans="1:4">
      <c r="A51" s="1117" t="s">
        <v>372</v>
      </c>
      <c r="B51" s="11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17" t="s">
        <v>580</v>
      </c>
    </row>
    <row r="52" spans="1:4">
      <c r="A52" s="1117" t="s">
        <v>373</v>
      </c>
      <c r="B52" s="1117" t="s">
        <v>374</v>
      </c>
      <c r="C52" s="1115" t="s">
        <v>375</v>
      </c>
      <c r="D52" s="1115" t="s">
        <v>376</v>
      </c>
    </row>
    <row r="53" spans="1:4">
      <c r="A53" s="4375" t="s">
        <v>377</v>
      </c>
      <c r="B53" s="1117" t="s">
        <v>378</v>
      </c>
      <c r="C53" s="11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75"/>
      <c r="B54" s="1117" t="s">
        <v>379</v>
      </c>
      <c r="C54" s="1115" t="s">
        <v>577</v>
      </c>
    </row>
    <row r="55" spans="1:4">
      <c r="A55" s="4375"/>
      <c r="B55" s="1117" t="s">
        <v>380</v>
      </c>
      <c r="C55" s="1115" t="s">
        <v>578</v>
      </c>
    </row>
    <row r="56" spans="1:4">
      <c r="A56" s="4375"/>
      <c r="B56" s="1117" t="s">
        <v>381</v>
      </c>
      <c r="C56" s="1115" t="s">
        <v>582</v>
      </c>
    </row>
    <row r="57" spans="1:4">
      <c r="A57" s="4375"/>
      <c r="B57" s="1117" t="s">
        <v>382</v>
      </c>
      <c r="C57" s="1115" t="s">
        <v>579</v>
      </c>
    </row>
    <row r="58" spans="1:4">
      <c r="A58" s="1113"/>
      <c r="B58" s="1115"/>
    </row>
    <row r="59" spans="1:4">
      <c r="A59" s="1113"/>
      <c r="B59" s="1115"/>
    </row>
    <row r="60" spans="1:4">
      <c r="A60" s="1113"/>
      <c r="B60" s="1115"/>
    </row>
    <row r="61" spans="1:4">
      <c r="A61" s="1113"/>
      <c r="B61" s="1115"/>
    </row>
    <row r="62" spans="1:4">
      <c r="A62" s="1113"/>
      <c r="B62" s="1115"/>
    </row>
    <row r="63" spans="1:4">
      <c r="A63" s="1113"/>
      <c r="B63" s="1115"/>
    </row>
    <row r="64" spans="1:4">
      <c r="A64" s="1113"/>
      <c r="B64" s="1115"/>
    </row>
    <row r="65" spans="1:2">
      <c r="A65" s="1113"/>
      <c r="B65" s="1115"/>
    </row>
    <row r="66" spans="1:2">
      <c r="A66" s="1113"/>
      <c r="B66" s="1115"/>
    </row>
    <row r="67" spans="1:2">
      <c r="A67" s="1113"/>
      <c r="B67" s="1115"/>
    </row>
    <row r="68" spans="1:2">
      <c r="A68" s="1113"/>
      <c r="B68" s="1115"/>
    </row>
    <row r="69" spans="1:2">
      <c r="A69" s="1113"/>
      <c r="B69" s="1115"/>
    </row>
    <row r="70" spans="1:2">
      <c r="A70" s="1113"/>
      <c r="B70" s="1115"/>
    </row>
    <row r="71" spans="1:2">
      <c r="A71" s="1113"/>
      <c r="B71" s="1115"/>
    </row>
    <row r="72" spans="1:2">
      <c r="A72" s="1113"/>
      <c r="B72" s="1115"/>
    </row>
    <row r="73" spans="1:2">
      <c r="A73" s="1113"/>
      <c r="B73" s="1115"/>
    </row>
    <row r="74" spans="1:2">
      <c r="A74" s="1113"/>
      <c r="B74" s="1115"/>
    </row>
    <row r="75" spans="1:2">
      <c r="A75" s="1113"/>
      <c r="B75" s="1115"/>
    </row>
    <row r="76" spans="1:2">
      <c r="A76" s="1113"/>
      <c r="B76" s="1115"/>
    </row>
    <row r="77" spans="1:2">
      <c r="A77" s="1113"/>
      <c r="B77" s="1115"/>
    </row>
    <row r="78" spans="1:2">
      <c r="A78" s="1113"/>
      <c r="B78" s="1115"/>
    </row>
    <row r="79" spans="1:2">
      <c r="A79" s="1113"/>
      <c r="B79" s="1115"/>
    </row>
    <row r="80" spans="1:2">
      <c r="A80" s="1113"/>
      <c r="B80" s="1115"/>
    </row>
    <row r="81" spans="1:2">
      <c r="A81" s="1113"/>
      <c r="B81" s="1115"/>
    </row>
    <row r="82" spans="1:2">
      <c r="A82" s="1113"/>
      <c r="B82" s="1115"/>
    </row>
    <row r="83" spans="1:2">
      <c r="A83" s="1113"/>
      <c r="B83" s="1115"/>
    </row>
    <row r="84" spans="1:2">
      <c r="A84" s="1113"/>
      <c r="B84" s="1115"/>
    </row>
    <row r="85" spans="1:2">
      <c r="A85" s="1113"/>
      <c r="B85" s="1115"/>
    </row>
    <row r="86" spans="1:2">
      <c r="A86" s="1113"/>
      <c r="B86" s="1115"/>
    </row>
    <row r="87" spans="1:2">
      <c r="A87" s="1113"/>
      <c r="B87" s="1115"/>
    </row>
    <row r="88" spans="1:2">
      <c r="A88" s="1113"/>
      <c r="B88" s="1115"/>
    </row>
    <row r="89" spans="1:2">
      <c r="A89" s="1113"/>
      <c r="B89" s="1115"/>
    </row>
    <row r="90" spans="1:2">
      <c r="A90" s="1113"/>
      <c r="B90" s="1115"/>
    </row>
    <row r="91" spans="1:2">
      <c r="A91" s="1113"/>
      <c r="B91" s="1115"/>
    </row>
    <row r="92" spans="1:2">
      <c r="A92" s="1113"/>
      <c r="B92" s="1115"/>
    </row>
    <row r="93" spans="1:2">
      <c r="A93" s="1113"/>
      <c r="B93" s="1115"/>
    </row>
    <row r="94" spans="1:2">
      <c r="A94" s="1113"/>
      <c r="B94" s="1115"/>
    </row>
    <row r="95" spans="1:2">
      <c r="A95" s="1113"/>
      <c r="B95" s="1115"/>
    </row>
    <row r="96" spans="1:2">
      <c r="A96" s="1113"/>
      <c r="B96" s="1115"/>
    </row>
    <row r="97" spans="1:2">
      <c r="A97" s="1113"/>
      <c r="B97" s="1115"/>
    </row>
    <row r="98" spans="1:2">
      <c r="A98" s="1113"/>
      <c r="B98" s="1115"/>
    </row>
    <row r="99" spans="1:2">
      <c r="A99" s="1113"/>
      <c r="B99" s="1115"/>
    </row>
    <row r="100" spans="1:2">
      <c r="A100" s="1113"/>
      <c r="B100" s="1115"/>
    </row>
    <row r="101" spans="1:2">
      <c r="A101" s="1113"/>
      <c r="B101" s="1115"/>
    </row>
    <row r="102" spans="1:2">
      <c r="A102" s="1113"/>
      <c r="B102" s="1115"/>
    </row>
    <row r="103" spans="1:2">
      <c r="A103" s="1113"/>
      <c r="B103" s="1115"/>
    </row>
    <row r="104" spans="1:2">
      <c r="A104" s="1113"/>
      <c r="B104" s="1115"/>
    </row>
    <row r="105" spans="1:2">
      <c r="A105" s="1113"/>
      <c r="B105" s="1115"/>
    </row>
    <row r="106" spans="1:2">
      <c r="A106" s="1113"/>
      <c r="B106" s="1115"/>
    </row>
    <row r="107" spans="1:2">
      <c r="A107" s="1113"/>
      <c r="B107" s="1115"/>
    </row>
    <row r="108" spans="1:2">
      <c r="A108" s="1113"/>
      <c r="B108" s="1115"/>
    </row>
    <row r="109" spans="1:2">
      <c r="A109" s="1113"/>
      <c r="B109" s="1115"/>
    </row>
    <row r="110" spans="1:2">
      <c r="A110" s="1113"/>
      <c r="B110" s="1115"/>
    </row>
    <row r="111" spans="1:2">
      <c r="A111" s="1113"/>
      <c r="B111" s="1115"/>
    </row>
    <row r="112" spans="1:2">
      <c r="A112" s="1113"/>
      <c r="B112" s="1115"/>
    </row>
    <row r="113" spans="1:2">
      <c r="A113" s="1113"/>
      <c r="B113" s="1115"/>
    </row>
    <row r="114" spans="1:2">
      <c r="A114" s="1113"/>
      <c r="B114" s="1115"/>
    </row>
    <row r="115" spans="1:2">
      <c r="A115" s="1113"/>
      <c r="B115" s="1115"/>
    </row>
    <row r="116" spans="1:2">
      <c r="A116" s="1113"/>
      <c r="B116" s="1115"/>
    </row>
    <row r="117" spans="1:2">
      <c r="A117" s="1113"/>
      <c r="B117" s="1115"/>
    </row>
    <row r="118" spans="1:2">
      <c r="A118" s="1113"/>
      <c r="B118" s="1115"/>
    </row>
    <row r="119" spans="1:2">
      <c r="A119" s="1113"/>
      <c r="B119" s="1115"/>
    </row>
    <row r="120" spans="1:2">
      <c r="A120" s="1113"/>
      <c r="B120" s="1115"/>
    </row>
    <row r="121" spans="1:2">
      <c r="A121" s="1113"/>
      <c r="B121" s="1115"/>
    </row>
    <row r="122" spans="1:2">
      <c r="A122" s="1113"/>
      <c r="B122" s="1115"/>
    </row>
    <row r="123" spans="1:2">
      <c r="A123" s="1113"/>
      <c r="B123" s="1115"/>
    </row>
    <row r="124" spans="1:2">
      <c r="A124" s="1113"/>
      <c r="B124" s="1115"/>
    </row>
    <row r="125" spans="1:2">
      <c r="A125" s="1113"/>
      <c r="B125" s="1115"/>
    </row>
    <row r="126" spans="1:2">
      <c r="A126" s="1113"/>
      <c r="B126" s="1115"/>
    </row>
    <row r="127" spans="1:2">
      <c r="A127" s="1113"/>
      <c r="B127" s="111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F1" zoomScaleNormal="100" workbookViewId="0">
      <selection activeCell="P32" sqref="P32"/>
    </sheetView>
  </sheetViews>
  <sheetFormatPr defaultColWidth="15.25" defaultRowHeight="13.5"/>
  <cols>
    <col min="1" max="7" width="15.25" style="2222"/>
    <col min="8" max="8" width="15" style="2222" customWidth="1"/>
    <col min="9" max="13" width="11.5" style="2253" customWidth="1"/>
    <col min="14" max="15" width="11.5" style="2222" customWidth="1"/>
    <col min="16" max="18" width="9.5" style="2222" customWidth="1"/>
    <col min="19" max="19" width="3.75" style="2222" customWidth="1"/>
    <col min="20" max="16384" width="15.25" style="2222"/>
  </cols>
  <sheetData>
    <row r="1" spans="1:19">
      <c r="A1" s="2219" t="s">
        <v>2385</v>
      </c>
      <c r="B1" s="2220"/>
      <c r="C1" s="2220"/>
      <c r="D1" s="2220"/>
      <c r="E1" s="2220"/>
      <c r="F1" s="2221"/>
      <c r="I1" s="2543" t="s">
        <v>2478</v>
      </c>
      <c r="J1" s="3618"/>
      <c r="K1" s="3618"/>
      <c r="L1" s="3618"/>
      <c r="M1" s="3618"/>
      <c r="N1" s="3619"/>
      <c r="O1" s="3619"/>
      <c r="P1" s="3619"/>
      <c r="Q1" s="3619"/>
      <c r="R1" s="3620"/>
    </row>
    <row r="2" spans="1:19">
      <c r="A2" s="2223"/>
      <c r="B2" s="2224"/>
      <c r="C2" s="2224"/>
      <c r="D2" s="2224"/>
      <c r="E2" s="2224"/>
      <c r="F2" s="2225"/>
      <c r="I2" s="4376" t="s">
        <v>2465</v>
      </c>
      <c r="J2" s="4377"/>
      <c r="K2" s="4377"/>
      <c r="L2" s="4377"/>
      <c r="M2" s="4377"/>
      <c r="N2" s="4377"/>
      <c r="O2" s="4377"/>
      <c r="P2" s="4377"/>
      <c r="Q2" s="4377"/>
      <c r="R2" s="4378"/>
    </row>
    <row r="3" spans="1:19">
      <c r="A3" s="2226" t="s">
        <v>2386</v>
      </c>
      <c r="B3" s="2227">
        <f>项目基本情况!D3</f>
        <v>46049</v>
      </c>
      <c r="C3" s="2228"/>
      <c r="D3" s="2228"/>
      <c r="E3" s="2228"/>
      <c r="F3" s="2225"/>
      <c r="I3" s="2232"/>
      <c r="J3" s="2233" t="s">
        <v>2469</v>
      </c>
      <c r="K3" s="2233" t="s">
        <v>2470</v>
      </c>
      <c r="L3" s="2233" t="s">
        <v>2471</v>
      </c>
      <c r="M3" s="2233" t="s">
        <v>2472</v>
      </c>
      <c r="N3" s="2544" t="s">
        <v>2473</v>
      </c>
      <c r="O3" s="2544" t="s">
        <v>2474</v>
      </c>
      <c r="P3" s="2544" t="s">
        <v>2475</v>
      </c>
      <c r="Q3" s="2544" t="s">
        <v>2476</v>
      </c>
      <c r="R3" s="3605" t="s">
        <v>2477</v>
      </c>
    </row>
    <row r="4" spans="1:19">
      <c r="A4" s="2226" t="s">
        <v>2387</v>
      </c>
      <c r="B4" s="2228" t="s">
        <v>2388</v>
      </c>
      <c r="C4" s="2228" t="s">
        <v>2389</v>
      </c>
      <c r="D4" s="2228" t="s">
        <v>2390</v>
      </c>
      <c r="E4" s="2228" t="s">
        <v>2391</v>
      </c>
      <c r="F4" s="2225"/>
      <c r="I4" s="2232" t="s">
        <v>2466</v>
      </c>
      <c r="J4" s="4094">
        <v>80</v>
      </c>
      <c r="K4" s="4094">
        <v>70</v>
      </c>
      <c r="L4" s="4094">
        <v>20</v>
      </c>
      <c r="M4" s="4094">
        <v>30</v>
      </c>
      <c r="N4" s="3622">
        <v>45</v>
      </c>
      <c r="O4" s="3622">
        <v>60</v>
      </c>
      <c r="P4" s="3622">
        <v>50</v>
      </c>
      <c r="Q4" s="3622">
        <v>20</v>
      </c>
      <c r="R4" s="4095">
        <v>375</v>
      </c>
    </row>
    <row r="5" spans="1:19">
      <c r="A5" s="3621">
        <v>40</v>
      </c>
      <c r="B5" s="2227">
        <v>46375</v>
      </c>
      <c r="C5" s="3622">
        <f>ROUNDDOWN(MIN((B5-B3)/365,A5),2)</f>
        <v>0.89</v>
      </c>
      <c r="D5" s="3623">
        <f>IF(ISERROR(ROUND(POWER(1+E5,A5-C5)*(POWER(1+E5,C5)-1)/(POWER(1+E5,A5)-1),3)),0,ROUND(POWER(1+E5,A5-C5)*(POWER(1+E5,C5)-1)/(POWER(1+E5,A5)-1),4))</f>
        <v>4.3299999999999998E-2</v>
      </c>
      <c r="E5" s="3624">
        <v>0.04</v>
      </c>
      <c r="F5" s="2225"/>
      <c r="I5" s="2232" t="s">
        <v>2467</v>
      </c>
      <c r="J5" s="4094">
        <v>70</v>
      </c>
      <c r="K5" s="4094">
        <v>60</v>
      </c>
      <c r="L5" s="4094">
        <v>15</v>
      </c>
      <c r="M5" s="4094">
        <v>25</v>
      </c>
      <c r="N5" s="3622">
        <v>40</v>
      </c>
      <c r="O5" s="3622">
        <v>50</v>
      </c>
      <c r="P5" s="3622">
        <v>40</v>
      </c>
      <c r="Q5" s="3622">
        <v>15</v>
      </c>
      <c r="R5" s="4095">
        <v>315</v>
      </c>
    </row>
    <row r="6" spans="1:19" ht="14.25" thickBot="1">
      <c r="A6" s="3621">
        <v>50</v>
      </c>
      <c r="B6" s="2227">
        <v>50028</v>
      </c>
      <c r="C6" s="3622">
        <f>ROUNDDOWN(MIN((B6-B3)/365,A6),2)</f>
        <v>10.9</v>
      </c>
      <c r="D6" s="3623">
        <f>IF(ISERROR(ROUND(POWER(1+E6,A6-C6)*(POWER(1+E6,C6)-1)/(POWER(1+E6,A6)-1),3)),0,ROUND(POWER(1+E6,A6-C6)*(POWER(1+E6,C6)-1)/(POWER(1+E6,A6)-1),4))</f>
        <v>0.40479999999999999</v>
      </c>
      <c r="E6" s="3624">
        <v>0.04</v>
      </c>
      <c r="F6" s="2225"/>
      <c r="I6" s="3606" t="s">
        <v>2468</v>
      </c>
      <c r="J6" s="4096">
        <v>60</v>
      </c>
      <c r="K6" s="4096">
        <v>50</v>
      </c>
      <c r="L6" s="4096">
        <v>10</v>
      </c>
      <c r="M6" s="4096">
        <v>20</v>
      </c>
      <c r="N6" s="4097">
        <v>35</v>
      </c>
      <c r="O6" s="4097">
        <v>40</v>
      </c>
      <c r="P6" s="4097">
        <v>30</v>
      </c>
      <c r="Q6" s="4097">
        <v>10</v>
      </c>
      <c r="R6" s="4098">
        <v>255</v>
      </c>
    </row>
    <row r="7" spans="1:19">
      <c r="A7" s="3621">
        <v>70</v>
      </c>
      <c r="B7" s="2227">
        <v>57333</v>
      </c>
      <c r="C7" s="3622">
        <f>ROUNDDOWN(MIN((B7-B3)/365,A7),2)</f>
        <v>30.91</v>
      </c>
      <c r="D7" s="3623">
        <f>IF(ISERROR(ROUND(POWER(1+E7,A7-C7)*(POWER(1+E7,C7)-1)/(POWER(1+E7,A7)-1),3)),0,ROUND(POWER(1+E7,A7-C7)*(POWER(1+E7,C7)-1)/(POWER(1+E7,A7)-1),4))</f>
        <v>0.75070000000000003</v>
      </c>
      <c r="E7" s="3624">
        <v>0.04</v>
      </c>
      <c r="F7" s="2225"/>
      <c r="I7" s="3607" t="s">
        <v>3673</v>
      </c>
      <c r="J7" s="3608" t="s">
        <v>3675</v>
      </c>
      <c r="K7" s="3609">
        <v>2.5</v>
      </c>
      <c r="L7" s="3610"/>
      <c r="M7" s="3604"/>
      <c r="N7" s="2220"/>
      <c r="O7" s="2220"/>
      <c r="P7" s="2220"/>
      <c r="Q7" s="2220"/>
      <c r="R7" s="2221"/>
    </row>
    <row r="8" spans="1:19" ht="14.25" thickBot="1">
      <c r="A8" s="2223"/>
      <c r="B8" s="2224"/>
      <c r="C8" s="2224"/>
      <c r="D8" s="2224"/>
      <c r="E8" s="2224"/>
      <c r="F8" s="2225"/>
      <c r="I8" s="4376" t="s">
        <v>3674</v>
      </c>
      <c r="J8" s="4377"/>
      <c r="K8" s="4377"/>
      <c r="L8" s="4377"/>
      <c r="M8" s="4377"/>
      <c r="N8" s="4377"/>
      <c r="O8" s="4377"/>
      <c r="P8" s="4377"/>
      <c r="Q8" s="4377"/>
      <c r="R8" s="4378"/>
    </row>
    <row r="9" spans="1:19">
      <c r="A9" s="2226" t="s">
        <v>2392</v>
      </c>
      <c r="B9" s="2228"/>
      <c r="C9" s="2228"/>
      <c r="D9" s="2228"/>
      <c r="E9" s="2228"/>
      <c r="F9" s="2229"/>
      <c r="I9" s="2232"/>
      <c r="J9" s="2233" t="s">
        <v>2469</v>
      </c>
      <c r="K9" s="2233" t="s">
        <v>2470</v>
      </c>
      <c r="L9" s="2233" t="s">
        <v>2471</v>
      </c>
      <c r="M9" s="2233" t="s">
        <v>2472</v>
      </c>
      <c r="N9" s="2544" t="s">
        <v>2473</v>
      </c>
      <c r="O9" s="2544" t="s">
        <v>2474</v>
      </c>
      <c r="P9" s="2544" t="s">
        <v>2475</v>
      </c>
      <c r="Q9" s="2544" t="s">
        <v>2476</v>
      </c>
      <c r="R9" s="3605" t="s">
        <v>2477</v>
      </c>
      <c r="S9" s="4381" t="s">
        <v>3880</v>
      </c>
    </row>
    <row r="10" spans="1:19">
      <c r="A10" s="2226" t="s">
        <v>2393</v>
      </c>
      <c r="B10" s="2228"/>
      <c r="C10" s="2228"/>
      <c r="D10" s="2228" t="s">
        <v>2391</v>
      </c>
      <c r="E10" s="2228"/>
      <c r="F10" s="2229" t="s">
        <v>2390</v>
      </c>
      <c r="I10" s="2232" t="s">
        <v>2466</v>
      </c>
      <c r="J10" s="4094">
        <f>ROUND(J4/$K$7,0)</f>
        <v>32</v>
      </c>
      <c r="K10" s="4094">
        <f t="shared" ref="K10:Q12" si="0">ROUND(K4/$K$7,0)</f>
        <v>28</v>
      </c>
      <c r="L10" s="4094">
        <f t="shared" si="0"/>
        <v>8</v>
      </c>
      <c r="M10" s="4094">
        <f t="shared" si="0"/>
        <v>12</v>
      </c>
      <c r="N10" s="4094">
        <f t="shared" si="0"/>
        <v>18</v>
      </c>
      <c r="O10" s="4094">
        <f t="shared" si="0"/>
        <v>24</v>
      </c>
      <c r="P10" s="4094">
        <f t="shared" si="0"/>
        <v>20</v>
      </c>
      <c r="Q10" s="4094">
        <f t="shared" si="0"/>
        <v>8</v>
      </c>
      <c r="R10" s="4099">
        <f>SUM(J10:Q10)</f>
        <v>150</v>
      </c>
      <c r="S10" s="4382"/>
    </row>
    <row r="11" spans="1:19">
      <c r="A11" s="3627" t="s">
        <v>2394</v>
      </c>
      <c r="B11" s="3625">
        <v>70</v>
      </c>
      <c r="C11" s="3628" t="s">
        <v>2395</v>
      </c>
      <c r="D11" s="3624">
        <v>4.4999999999999998E-2</v>
      </c>
      <c r="E11" s="3628" t="s">
        <v>2396</v>
      </c>
      <c r="F11" s="3626">
        <f>ROUND(1-(1/(POWER(1+D11,B11))),4)</f>
        <v>0.95409999999999995</v>
      </c>
      <c r="I11" s="2232" t="s">
        <v>2467</v>
      </c>
      <c r="J11" s="4094">
        <f>ROUND(J5/$K$7,0)</f>
        <v>28</v>
      </c>
      <c r="K11" s="4094">
        <f t="shared" si="0"/>
        <v>24</v>
      </c>
      <c r="L11" s="4094">
        <f t="shared" si="0"/>
        <v>6</v>
      </c>
      <c r="M11" s="4094">
        <f t="shared" si="0"/>
        <v>10</v>
      </c>
      <c r="N11" s="4094">
        <f t="shared" si="0"/>
        <v>16</v>
      </c>
      <c r="O11" s="4094">
        <f t="shared" si="0"/>
        <v>20</v>
      </c>
      <c r="P11" s="4094">
        <f t="shared" si="0"/>
        <v>16</v>
      </c>
      <c r="Q11" s="4094">
        <f t="shared" si="0"/>
        <v>6</v>
      </c>
      <c r="R11" s="4099">
        <f t="shared" ref="R11:R12" si="1">SUM(J11:Q11)</f>
        <v>126</v>
      </c>
      <c r="S11" s="4382"/>
    </row>
    <row r="12" spans="1:19" ht="14.25" thickBot="1">
      <c r="A12" s="3627" t="s">
        <v>2397</v>
      </c>
      <c r="B12" s="3625">
        <v>40</v>
      </c>
      <c r="C12" s="3628" t="s">
        <v>2398</v>
      </c>
      <c r="D12" s="3624">
        <v>4.4999999999999998E-2</v>
      </c>
      <c r="E12" s="3628" t="s">
        <v>2399</v>
      </c>
      <c r="F12" s="3626">
        <f>ROUND(1-(1/(POWER(1+D12,B12))),4)</f>
        <v>0.82809999999999995</v>
      </c>
      <c r="I12" s="3611" t="s">
        <v>2468</v>
      </c>
      <c r="J12" s="4094">
        <f>ROUND(J6/$K$7,0)</f>
        <v>24</v>
      </c>
      <c r="K12" s="4094">
        <f t="shared" si="0"/>
        <v>20</v>
      </c>
      <c r="L12" s="4094">
        <f t="shared" si="0"/>
        <v>4</v>
      </c>
      <c r="M12" s="4094">
        <f t="shared" si="0"/>
        <v>8</v>
      </c>
      <c r="N12" s="4094">
        <f t="shared" si="0"/>
        <v>14</v>
      </c>
      <c r="O12" s="4094">
        <f t="shared" si="0"/>
        <v>16</v>
      </c>
      <c r="P12" s="4094">
        <f t="shared" si="0"/>
        <v>12</v>
      </c>
      <c r="Q12" s="4094">
        <f t="shared" si="0"/>
        <v>4</v>
      </c>
      <c r="R12" s="4099">
        <f t="shared" si="1"/>
        <v>102</v>
      </c>
      <c r="S12" s="4382"/>
    </row>
    <row r="13" spans="1:19">
      <c r="A13" s="2226" t="s">
        <v>2400</v>
      </c>
      <c r="B13" s="2228"/>
      <c r="C13" s="2228"/>
      <c r="D13" s="2224"/>
      <c r="E13" s="2224"/>
      <c r="F13" s="2225"/>
      <c r="I13" s="3603" t="s">
        <v>3676</v>
      </c>
      <c r="J13" s="3612">
        <v>2.5</v>
      </c>
      <c r="K13" s="3604" t="s">
        <v>3677</v>
      </c>
      <c r="L13" s="3613">
        <v>0.92630000000000001</v>
      </c>
      <c r="M13" s="3604"/>
      <c r="N13" s="2220"/>
      <c r="O13" s="2220"/>
      <c r="P13" s="2220"/>
      <c r="Q13" s="2220"/>
      <c r="R13" s="2221"/>
      <c r="S13" s="4382"/>
    </row>
    <row r="14" spans="1:19">
      <c r="A14" s="3627" t="s">
        <v>2401</v>
      </c>
      <c r="B14" s="3629">
        <v>5000</v>
      </c>
      <c r="C14" s="3630"/>
      <c r="D14" s="2224"/>
      <c r="E14" s="2224"/>
      <c r="F14" s="2225"/>
      <c r="I14" s="2232"/>
      <c r="J14" s="2233" t="s">
        <v>2469</v>
      </c>
      <c r="K14" s="2233" t="s">
        <v>2470</v>
      </c>
      <c r="L14" s="2233" t="s">
        <v>2471</v>
      </c>
      <c r="M14" s="2233" t="s">
        <v>2472</v>
      </c>
      <c r="N14" s="2544" t="s">
        <v>2473</v>
      </c>
      <c r="O14" s="2544" t="s">
        <v>2474</v>
      </c>
      <c r="P14" s="2544" t="s">
        <v>2475</v>
      </c>
      <c r="Q14" s="2544" t="s">
        <v>2476</v>
      </c>
      <c r="R14" s="3605" t="s">
        <v>2477</v>
      </c>
      <c r="S14" s="4382"/>
    </row>
    <row r="15" spans="1:19">
      <c r="A15" s="3627" t="s">
        <v>2402</v>
      </c>
      <c r="B15" s="3631">
        <f>ROUND(B14*F12/F11,2)</f>
        <v>4339.6899999999996</v>
      </c>
      <c r="C15" s="3623">
        <f>ROUND(F12/F11,4)</f>
        <v>0.8679</v>
      </c>
      <c r="D15" s="2224"/>
      <c r="E15" s="2224"/>
      <c r="F15" s="2225"/>
      <c r="I15" s="2232" t="s">
        <v>2466</v>
      </c>
      <c r="J15" s="4094">
        <f>ROUND(J10*$L$13,0)</f>
        <v>30</v>
      </c>
      <c r="K15" s="4094">
        <f t="shared" ref="K15:Q15" si="2">ROUND(K10*$L$13,0)</f>
        <v>26</v>
      </c>
      <c r="L15" s="4094">
        <f t="shared" si="2"/>
        <v>7</v>
      </c>
      <c r="M15" s="4094">
        <f t="shared" si="2"/>
        <v>11</v>
      </c>
      <c r="N15" s="4094">
        <f t="shared" si="2"/>
        <v>17</v>
      </c>
      <c r="O15" s="4094">
        <f t="shared" si="2"/>
        <v>22</v>
      </c>
      <c r="P15" s="4094">
        <f t="shared" si="2"/>
        <v>19</v>
      </c>
      <c r="Q15" s="4094">
        <f t="shared" si="2"/>
        <v>7</v>
      </c>
      <c r="R15" s="4100">
        <f>SUM(J15:Q15)</f>
        <v>139</v>
      </c>
      <c r="S15" s="4382"/>
    </row>
    <row r="16" spans="1:19">
      <c r="A16" s="2226" t="s">
        <v>2403</v>
      </c>
      <c r="B16" s="2665"/>
      <c r="C16" s="2665"/>
      <c r="D16" s="2224"/>
      <c r="E16" s="2224"/>
      <c r="F16" s="2225"/>
      <c r="I16" s="2232" t="s">
        <v>2467</v>
      </c>
      <c r="J16" s="4094">
        <f t="shared" ref="J16:Q16" si="3">ROUND(J11*$L$13,0)</f>
        <v>26</v>
      </c>
      <c r="K16" s="4094">
        <f t="shared" si="3"/>
        <v>22</v>
      </c>
      <c r="L16" s="4094">
        <f t="shared" si="3"/>
        <v>6</v>
      </c>
      <c r="M16" s="4094">
        <f t="shared" si="3"/>
        <v>9</v>
      </c>
      <c r="N16" s="4094">
        <f t="shared" si="3"/>
        <v>15</v>
      </c>
      <c r="O16" s="4094">
        <f t="shared" si="3"/>
        <v>19</v>
      </c>
      <c r="P16" s="4094">
        <f t="shared" si="3"/>
        <v>15</v>
      </c>
      <c r="Q16" s="4094">
        <f t="shared" si="3"/>
        <v>6</v>
      </c>
      <c r="R16" s="4100">
        <f t="shared" ref="R16:R17" si="4">SUM(J16:Q16)</f>
        <v>118</v>
      </c>
      <c r="S16" s="4382"/>
    </row>
    <row r="17" spans="1:19" ht="14.25" thickBot="1">
      <c r="A17" s="3627" t="s">
        <v>2402</v>
      </c>
      <c r="B17" s="3629">
        <v>4810</v>
      </c>
      <c r="C17" s="3630"/>
      <c r="D17" s="2224"/>
      <c r="E17" s="2224"/>
      <c r="F17" s="2225"/>
      <c r="I17" s="3606" t="s">
        <v>2468</v>
      </c>
      <c r="J17" s="4094">
        <f t="shared" ref="J17:Q17" si="5">ROUND(J12*$L$13,0)</f>
        <v>22</v>
      </c>
      <c r="K17" s="4094">
        <f t="shared" si="5"/>
        <v>19</v>
      </c>
      <c r="L17" s="4094">
        <f t="shared" si="5"/>
        <v>4</v>
      </c>
      <c r="M17" s="4094">
        <f t="shared" si="5"/>
        <v>7</v>
      </c>
      <c r="N17" s="4094">
        <f t="shared" si="5"/>
        <v>13</v>
      </c>
      <c r="O17" s="4094">
        <f t="shared" si="5"/>
        <v>15</v>
      </c>
      <c r="P17" s="4094">
        <f t="shared" si="5"/>
        <v>11</v>
      </c>
      <c r="Q17" s="4094">
        <f t="shared" si="5"/>
        <v>4</v>
      </c>
      <c r="R17" s="4100">
        <f t="shared" si="4"/>
        <v>95</v>
      </c>
      <c r="S17" s="4383"/>
    </row>
    <row r="18" spans="1:19" ht="14.25" thickBot="1">
      <c r="A18" s="3632" t="s">
        <v>2401</v>
      </c>
      <c r="B18" s="3633">
        <f>ROUND(B17*F11/F12,2)</f>
        <v>5541.87</v>
      </c>
      <c r="C18" s="3634">
        <f>ROUND(F11/F12,4)</f>
        <v>1.1521999999999999</v>
      </c>
      <c r="D18" s="2230"/>
      <c r="E18" s="2230"/>
      <c r="F18" s="2231"/>
    </row>
    <row r="19" spans="1:19" s="3615" customFormat="1" ht="14.25" thickBot="1">
      <c r="I19" s="3614"/>
      <c r="J19" s="3614"/>
      <c r="K19" s="3614"/>
      <c r="L19" s="3614"/>
      <c r="M19" s="3614"/>
    </row>
    <row r="20" spans="1:19">
      <c r="A20" s="3616" t="s">
        <v>2404</v>
      </c>
      <c r="B20" s="2386"/>
      <c r="C20" s="2386"/>
      <c r="D20" s="2386"/>
      <c r="E20" s="2386"/>
      <c r="F20" s="2386"/>
      <c r="G20" s="3617"/>
      <c r="I20" s="2253" t="s">
        <v>2449</v>
      </c>
      <c r="J20" s="2253" t="s">
        <v>2454</v>
      </c>
    </row>
    <row r="21" spans="1:19">
      <c r="A21" s="2232"/>
      <c r="B21" s="2233" t="s">
        <v>2405</v>
      </c>
      <c r="C21" s="2233" t="s">
        <v>2406</v>
      </c>
      <c r="D21" s="2233" t="s">
        <v>2407</v>
      </c>
      <c r="E21" s="2233" t="s">
        <v>2408</v>
      </c>
      <c r="F21" s="2233" t="s">
        <v>2409</v>
      </c>
      <c r="G21" s="2234" t="s">
        <v>2410</v>
      </c>
      <c r="I21" s="2667">
        <v>5</v>
      </c>
      <c r="J21" s="2666">
        <v>54.2</v>
      </c>
      <c r="K21" s="2666"/>
    </row>
    <row r="22" spans="1:19">
      <c r="A22" s="2232" t="s">
        <v>2411</v>
      </c>
      <c r="B22" s="3636">
        <v>70</v>
      </c>
      <c r="C22" s="3635">
        <v>30</v>
      </c>
      <c r="D22" s="3637">
        <v>0.04</v>
      </c>
      <c r="E22" s="3638">
        <f>ROUND(POWER(1+D22,B22-C22)*(POWER(1+D22,C22)-1)/(POWER(1+D22,B22)-1),4)</f>
        <v>0.73909999999999998</v>
      </c>
      <c r="F22" s="3637">
        <v>0.7</v>
      </c>
      <c r="G22" s="3639">
        <f>ROUND(100*(1-(1-E22)*F22),1)</f>
        <v>81.7</v>
      </c>
      <c r="I22" s="2667">
        <v>10</v>
      </c>
      <c r="J22" s="2666">
        <v>65.400000000000006</v>
      </c>
      <c r="K22" s="2666">
        <f>J22-J21</f>
        <v>11.200000000000003</v>
      </c>
    </row>
    <row r="23" spans="1:19">
      <c r="A23" s="2232" t="s">
        <v>2412</v>
      </c>
      <c r="B23" s="3636">
        <v>70</v>
      </c>
      <c r="C23" s="3635">
        <v>40</v>
      </c>
      <c r="D23" s="3637">
        <v>0.04</v>
      </c>
      <c r="E23" s="3638">
        <f>ROUND(POWER(1+D23,B23-C23)*(POWER(1+D23,C23)-1)/(POWER(1+D23,B23)-1),4)</f>
        <v>0.84599999999999997</v>
      </c>
      <c r="F23" s="3637">
        <f>F22</f>
        <v>0.7</v>
      </c>
      <c r="G23" s="3639">
        <f t="shared" ref="G23:G25" si="6">ROUND(100*(1-(1-E23)*F23),1)</f>
        <v>89.2</v>
      </c>
      <c r="I23" s="2667">
        <v>15</v>
      </c>
      <c r="J23" s="2666">
        <v>74.099999999999994</v>
      </c>
      <c r="K23" s="2666">
        <f t="shared" ref="K23:K30" si="7">J23-J22</f>
        <v>8.6999999999999886</v>
      </c>
      <c r="L23" s="2253" t="s">
        <v>2452</v>
      </c>
      <c r="N23" s="2551" t="s">
        <v>2453</v>
      </c>
    </row>
    <row r="24" spans="1:19">
      <c r="A24" s="2232" t="s">
        <v>2413</v>
      </c>
      <c r="B24" s="3636">
        <v>70</v>
      </c>
      <c r="C24" s="3635">
        <v>50</v>
      </c>
      <c r="D24" s="3637">
        <v>0.04</v>
      </c>
      <c r="E24" s="3638">
        <f>ROUND(POWER(1+D24,B24-C24)*(POWER(1+D24,C24)-1)/(POWER(1+D24,B24)-1),4)</f>
        <v>0.91830000000000001</v>
      </c>
      <c r="F24" s="3637">
        <f>F23</f>
        <v>0.7</v>
      </c>
      <c r="G24" s="3639">
        <f t="shared" si="6"/>
        <v>94.3</v>
      </c>
      <c r="I24" s="2667">
        <v>20</v>
      </c>
      <c r="J24" s="2666">
        <v>81</v>
      </c>
      <c r="K24" s="2666">
        <f t="shared" si="7"/>
        <v>6.9000000000000057</v>
      </c>
      <c r="L24" s="2253" t="s">
        <v>2451</v>
      </c>
      <c r="N24" s="2668">
        <v>10</v>
      </c>
    </row>
    <row r="25" spans="1:19">
      <c r="A25" s="2232" t="s">
        <v>2414</v>
      </c>
      <c r="B25" s="3636">
        <v>70</v>
      </c>
      <c r="C25" s="3635">
        <v>60</v>
      </c>
      <c r="D25" s="3637">
        <v>0.04</v>
      </c>
      <c r="E25" s="3638">
        <f>ROUND(POWER(1+D25,B25-C25)*(POWER(1+D25,C25)-1)/(POWER(1+D25,B25)-1),4)</f>
        <v>0.96699999999999997</v>
      </c>
      <c r="F25" s="3637">
        <f>F24</f>
        <v>0.7</v>
      </c>
      <c r="G25" s="3639">
        <f t="shared" si="6"/>
        <v>97.7</v>
      </c>
      <c r="I25" s="2667">
        <v>25</v>
      </c>
      <c r="J25" s="2666">
        <v>86.3</v>
      </c>
      <c r="K25" s="2666">
        <f t="shared" si="7"/>
        <v>5.2999999999999972</v>
      </c>
      <c r="L25" s="2253" t="s">
        <v>2455</v>
      </c>
      <c r="N25" s="2668">
        <v>8</v>
      </c>
    </row>
    <row r="26" spans="1:19">
      <c r="A26" s="2235"/>
      <c r="B26" s="2236"/>
      <c r="C26" s="2236"/>
      <c r="D26" s="2236"/>
      <c r="E26" s="2236"/>
      <c r="F26" s="2236"/>
      <c r="G26" s="2237"/>
      <c r="I26" s="2667">
        <v>30</v>
      </c>
      <c r="J26" s="2666">
        <v>90.5</v>
      </c>
      <c r="K26" s="2666">
        <f t="shared" si="7"/>
        <v>4.2000000000000028</v>
      </c>
      <c r="L26" s="2253" t="s">
        <v>2456</v>
      </c>
      <c r="N26" s="2668">
        <v>5</v>
      </c>
    </row>
    <row r="27" spans="1:19">
      <c r="A27" s="2235" t="s">
        <v>2415</v>
      </c>
      <c r="B27" s="2236"/>
      <c r="C27" s="2236"/>
      <c r="D27" s="2236"/>
      <c r="E27" s="2236"/>
      <c r="F27" s="2236"/>
      <c r="G27" s="2237"/>
      <c r="I27" s="2667">
        <v>35</v>
      </c>
      <c r="J27" s="2666">
        <v>93.8</v>
      </c>
      <c r="K27" s="2666">
        <f t="shared" si="7"/>
        <v>3.2999999999999972</v>
      </c>
      <c r="L27" s="2253" t="s">
        <v>2457</v>
      </c>
      <c r="N27" s="2668">
        <v>3</v>
      </c>
    </row>
    <row r="28" spans="1:19">
      <c r="A28" s="2235" t="s">
        <v>2416</v>
      </c>
      <c r="B28" s="2236"/>
      <c r="C28" s="2236"/>
      <c r="D28" s="2236"/>
      <c r="E28" s="2236"/>
      <c r="F28" s="2236"/>
      <c r="G28" s="2237"/>
      <c r="I28" s="2667">
        <v>40</v>
      </c>
      <c r="J28" s="2666">
        <v>96.4</v>
      </c>
      <c r="K28" s="2666">
        <f t="shared" si="7"/>
        <v>2.6000000000000085</v>
      </c>
      <c r="L28" s="2253" t="s">
        <v>2458</v>
      </c>
      <c r="N28" s="2668">
        <v>2</v>
      </c>
    </row>
    <row r="29" spans="1:19">
      <c r="A29" s="2235" t="s">
        <v>2417</v>
      </c>
      <c r="B29" s="2236"/>
      <c r="C29" s="2236"/>
      <c r="D29" s="2236"/>
      <c r="E29" s="2236"/>
      <c r="F29" s="2236"/>
      <c r="G29" s="2237"/>
      <c r="I29" s="2667">
        <v>45</v>
      </c>
      <c r="J29" s="2666">
        <v>98.4</v>
      </c>
      <c r="K29" s="2666">
        <f t="shared" si="7"/>
        <v>2</v>
      </c>
    </row>
    <row r="30" spans="1:19">
      <c r="A30" s="2235" t="s">
        <v>2418</v>
      </c>
      <c r="B30" s="2236"/>
      <c r="C30" s="2236"/>
      <c r="D30" s="2236"/>
      <c r="E30" s="2236"/>
      <c r="F30" s="2236"/>
      <c r="G30" s="2237"/>
      <c r="I30" s="2667">
        <v>50</v>
      </c>
      <c r="J30" s="2666">
        <v>100</v>
      </c>
      <c r="K30" s="2666">
        <f t="shared" si="7"/>
        <v>1.5999999999999943</v>
      </c>
    </row>
    <row r="31" spans="1:19">
      <c r="A31" s="2235" t="s">
        <v>2419</v>
      </c>
      <c r="B31" s="2236"/>
      <c r="C31" s="2236"/>
      <c r="D31" s="2236"/>
      <c r="E31" s="2236"/>
      <c r="F31" s="2236"/>
      <c r="G31" s="2237"/>
      <c r="I31" s="2253" t="s">
        <v>2450</v>
      </c>
    </row>
    <row r="32" spans="1:19">
      <c r="A32" s="2235" t="s">
        <v>2420</v>
      </c>
      <c r="B32" s="2236"/>
      <c r="C32" s="2236"/>
      <c r="D32" s="2236"/>
      <c r="E32" s="2236"/>
      <c r="F32" s="2236"/>
      <c r="G32" s="2237"/>
    </row>
    <row r="33" spans="1:14">
      <c r="A33" s="2235" t="s">
        <v>2421</v>
      </c>
      <c r="B33" s="2236"/>
      <c r="C33" s="2236"/>
      <c r="D33" s="2236"/>
      <c r="E33" s="2236"/>
      <c r="F33" s="2236"/>
      <c r="G33" s="2237"/>
      <c r="I33" s="2253" t="s">
        <v>2449</v>
      </c>
      <c r="J33" s="2253" t="s">
        <v>2459</v>
      </c>
    </row>
    <row r="34" spans="1:14">
      <c r="A34" s="2235" t="s">
        <v>2422</v>
      </c>
      <c r="B34" s="2236"/>
      <c r="C34" s="2236"/>
      <c r="D34" s="2236"/>
      <c r="E34" s="2236"/>
      <c r="F34" s="2236"/>
      <c r="G34" s="2237"/>
      <c r="I34" s="2667">
        <v>5</v>
      </c>
      <c r="J34" s="2666">
        <v>55.1</v>
      </c>
      <c r="K34" s="2666"/>
    </row>
    <row r="35" spans="1:14">
      <c r="A35" s="2235" t="s">
        <v>2423</v>
      </c>
      <c r="B35" s="2236"/>
      <c r="C35" s="2236"/>
      <c r="D35" s="2236"/>
      <c r="E35" s="2236"/>
      <c r="F35" s="2236"/>
      <c r="G35" s="2237"/>
      <c r="I35" s="2667">
        <v>10</v>
      </c>
      <c r="J35" s="2666">
        <v>67</v>
      </c>
      <c r="K35" s="2666">
        <f>J35-J34</f>
        <v>11.899999999999999</v>
      </c>
    </row>
    <row r="36" spans="1:14">
      <c r="A36" s="2235" t="s">
        <v>2424</v>
      </c>
      <c r="B36" s="2236"/>
      <c r="C36" s="2236"/>
      <c r="D36" s="2236"/>
      <c r="E36" s="2236"/>
      <c r="F36" s="2236"/>
      <c r="G36" s="2237"/>
      <c r="I36" s="2667">
        <v>15</v>
      </c>
      <c r="J36" s="2666">
        <v>76.3</v>
      </c>
      <c r="K36" s="2666">
        <f t="shared" ref="K36:K41" si="8">J36-J35</f>
        <v>9.2999999999999972</v>
      </c>
      <c r="L36" s="2253" t="s">
        <v>2452</v>
      </c>
      <c r="N36" s="2551" t="s">
        <v>2453</v>
      </c>
    </row>
    <row r="37" spans="1:14">
      <c r="A37" s="2235" t="s">
        <v>2425</v>
      </c>
      <c r="B37" s="2236"/>
      <c r="C37" s="2236"/>
      <c r="D37" s="2236"/>
      <c r="E37" s="2236"/>
      <c r="F37" s="2236"/>
      <c r="G37" s="2237"/>
      <c r="I37" s="2667">
        <v>20</v>
      </c>
      <c r="J37" s="2666">
        <v>83.6</v>
      </c>
      <c r="K37" s="2666">
        <f t="shared" si="8"/>
        <v>7.2999999999999972</v>
      </c>
      <c r="L37" s="2253" t="s">
        <v>2451</v>
      </c>
      <c r="N37" s="2668">
        <v>10</v>
      </c>
    </row>
    <row r="38" spans="1:14">
      <c r="A38" s="2235" t="s">
        <v>2426</v>
      </c>
      <c r="B38" s="2236"/>
      <c r="C38" s="2236"/>
      <c r="D38" s="2236"/>
      <c r="E38" s="2236"/>
      <c r="F38" s="2236"/>
      <c r="G38" s="2237"/>
      <c r="I38" s="2667">
        <v>25</v>
      </c>
      <c r="J38" s="2666">
        <v>89.3</v>
      </c>
      <c r="K38" s="2666">
        <f t="shared" si="8"/>
        <v>5.7000000000000028</v>
      </c>
      <c r="L38" s="2253" t="s">
        <v>2455</v>
      </c>
      <c r="N38" s="2668">
        <v>8</v>
      </c>
    </row>
    <row r="39" spans="1:14">
      <c r="A39" s="2235"/>
      <c r="B39" s="2236"/>
      <c r="C39" s="2236"/>
      <c r="D39" s="2236"/>
      <c r="E39" s="2236"/>
      <c r="F39" s="2236"/>
      <c r="G39" s="2237"/>
      <c r="I39" s="2667">
        <v>30</v>
      </c>
      <c r="J39" s="2666">
        <v>93.8</v>
      </c>
      <c r="K39" s="2666">
        <f t="shared" si="8"/>
        <v>4.5</v>
      </c>
      <c r="L39" s="2253" t="s">
        <v>2456</v>
      </c>
      <c r="N39" s="2668">
        <v>6</v>
      </c>
    </row>
    <row r="40" spans="1:14">
      <c r="A40" s="2238" t="s">
        <v>2427</v>
      </c>
      <c r="B40" s="2239"/>
      <c r="C40" s="2239"/>
      <c r="D40" s="2239"/>
      <c r="E40" s="2239"/>
      <c r="F40" s="2239"/>
      <c r="G40" s="2240"/>
      <c r="I40" s="2667">
        <v>35</v>
      </c>
      <c r="J40" s="2666">
        <v>97.2</v>
      </c>
      <c r="K40" s="2666">
        <f t="shared" si="8"/>
        <v>3.4000000000000057</v>
      </c>
      <c r="L40" s="2253" t="s">
        <v>2457</v>
      </c>
      <c r="N40" s="2668">
        <v>3</v>
      </c>
    </row>
    <row r="41" spans="1:14">
      <c r="A41" s="2241" t="s">
        <v>2428</v>
      </c>
      <c r="B41" s="2242" t="s">
        <v>2429</v>
      </c>
      <c r="C41" s="2243" t="s">
        <v>2430</v>
      </c>
      <c r="D41" s="2243" t="s">
        <v>2431</v>
      </c>
      <c r="E41" s="2244"/>
      <c r="F41" s="2245"/>
      <c r="G41" s="2246"/>
      <c r="I41" s="2667">
        <v>40</v>
      </c>
      <c r="J41" s="2666">
        <v>100</v>
      </c>
      <c r="K41" s="2666">
        <f t="shared" si="8"/>
        <v>2.7999999999999972</v>
      </c>
    </row>
    <row r="42" spans="1:14">
      <c r="A42" s="2241" t="s">
        <v>2432</v>
      </c>
      <c r="B42" s="2242" t="s">
        <v>2433</v>
      </c>
      <c r="C42" s="2243" t="s">
        <v>2434</v>
      </c>
      <c r="D42" s="2247" t="s">
        <v>2435</v>
      </c>
      <c r="E42" s="2239" t="s">
        <v>2436</v>
      </c>
      <c r="F42" s="2239"/>
      <c r="G42" s="2240"/>
    </row>
    <row r="43" spans="1:14">
      <c r="A43" s="2241" t="s">
        <v>2437</v>
      </c>
      <c r="B43" s="2242" t="s">
        <v>2438</v>
      </c>
      <c r="C43" s="2243" t="s">
        <v>2439</v>
      </c>
      <c r="D43" s="2243" t="s">
        <v>2440</v>
      </c>
      <c r="E43" s="2244" t="s">
        <v>2441</v>
      </c>
      <c r="F43" s="2245"/>
      <c r="G43" s="2246"/>
      <c r="I43" s="2253" t="s">
        <v>2449</v>
      </c>
      <c r="J43" s="2253" t="s">
        <v>2460</v>
      </c>
    </row>
    <row r="44" spans="1:14">
      <c r="A44" s="2241" t="s">
        <v>2442</v>
      </c>
      <c r="B44" s="2242" t="s">
        <v>2443</v>
      </c>
      <c r="C44" s="2243" t="s">
        <v>2444</v>
      </c>
      <c r="D44" s="2247">
        <v>0.5</v>
      </c>
      <c r="E44" s="2244" t="s">
        <v>2445</v>
      </c>
      <c r="F44" s="2245"/>
      <c r="G44" s="2246"/>
      <c r="I44" s="2667">
        <v>30</v>
      </c>
      <c r="J44" s="2666">
        <v>81.7</v>
      </c>
      <c r="K44" s="2666"/>
    </row>
    <row r="45" spans="1:14" ht="14.25" thickBot="1">
      <c r="A45" s="2248" t="s">
        <v>2446</v>
      </c>
      <c r="B45" s="2249" t="s">
        <v>2433</v>
      </c>
      <c r="C45" s="2250" t="s">
        <v>2433</v>
      </c>
      <c r="D45" s="2250" t="s">
        <v>2447</v>
      </c>
      <c r="E45" s="2251" t="s">
        <v>2448</v>
      </c>
      <c r="F45" s="2251"/>
      <c r="G45" s="2252"/>
      <c r="I45" s="2667">
        <v>40</v>
      </c>
      <c r="J45" s="2666">
        <v>89.2</v>
      </c>
      <c r="K45" s="2666">
        <f>J45-J44</f>
        <v>7.5</v>
      </c>
    </row>
    <row r="46" spans="1:14">
      <c r="I46" s="2667">
        <v>50</v>
      </c>
      <c r="J46" s="2666">
        <v>94.3</v>
      </c>
      <c r="K46" s="2666">
        <f t="shared" ref="K46:K47" si="9">J46-J45</f>
        <v>5.0999999999999943</v>
      </c>
    </row>
    <row r="47" spans="1:14">
      <c r="I47" s="2667">
        <v>60</v>
      </c>
      <c r="J47" s="2666">
        <v>97.7</v>
      </c>
      <c r="K47" s="2666">
        <f t="shared" si="9"/>
        <v>3.4000000000000057</v>
      </c>
    </row>
    <row r="48" spans="1:14" ht="14.25" thickBot="1"/>
    <row r="49" spans="1:15" s="4093" customFormat="1" ht="16.5" thickTop="1" thickBot="1">
      <c r="A49" s="4091" t="s">
        <v>3347</v>
      </c>
      <c r="B49" s="4092"/>
      <c r="C49" s="4092"/>
      <c r="D49" s="4092"/>
      <c r="E49" s="4092"/>
      <c r="I49" s="4379" t="s">
        <v>3359</v>
      </c>
      <c r="J49" s="4379"/>
      <c r="K49" s="4379"/>
      <c r="L49" s="4379"/>
      <c r="M49" s="4379"/>
    </row>
    <row r="50" spans="1:15" ht="14.25">
      <c r="A50" s="2678" t="s">
        <v>3348</v>
      </c>
      <c r="B50" s="2681" t="s">
        <v>3349</v>
      </c>
      <c r="C50" s="2684" t="s">
        <v>3350</v>
      </c>
      <c r="D50" s="2685" t="s">
        <v>3358</v>
      </c>
      <c r="E50" s="2686" t="s">
        <v>3357</v>
      </c>
      <c r="F50" s="2687" t="s">
        <v>3365</v>
      </c>
      <c r="I50" s="2233" t="s">
        <v>3360</v>
      </c>
      <c r="J50" s="2233" t="s">
        <v>3361</v>
      </c>
      <c r="K50" s="2233" t="s">
        <v>3362</v>
      </c>
      <c r="L50" s="2233" t="s">
        <v>3363</v>
      </c>
      <c r="M50" s="4060" t="s">
        <v>3364</v>
      </c>
    </row>
    <row r="51" spans="1:15" ht="15">
      <c r="A51" s="1915" t="s">
        <v>3833</v>
      </c>
      <c r="B51" s="2682">
        <f>B52+B53</f>
        <v>90701.11</v>
      </c>
      <c r="C51" s="2682">
        <f>E51/B51</f>
        <v>2720.6490085953742</v>
      </c>
      <c r="D51" s="2691"/>
      <c r="E51" s="2694">
        <f>E52+E53</f>
        <v>246765885</v>
      </c>
      <c r="F51" s="4054">
        <f>E51/$E$62</f>
        <v>0.56520496703017986</v>
      </c>
      <c r="I51" s="2233"/>
      <c r="J51" s="2233"/>
      <c r="K51" s="2233"/>
      <c r="L51" s="2233"/>
      <c r="M51" s="4060"/>
    </row>
    <row r="52" spans="1:15" ht="14.25">
      <c r="A52" s="2679" t="s">
        <v>3351</v>
      </c>
      <c r="B52" s="2671">
        <v>70688</v>
      </c>
      <c r="C52" s="2690"/>
      <c r="D52" s="2673">
        <v>2500</v>
      </c>
      <c r="E52" s="2693">
        <f>D52*B52</f>
        <v>176720000</v>
      </c>
      <c r="F52" s="2688"/>
      <c r="G52" s="2670" t="s">
        <v>3834</v>
      </c>
      <c r="H52" s="2670"/>
      <c r="I52" s="2676">
        <f>E52</f>
        <v>176720000</v>
      </c>
      <c r="J52" s="2676">
        <f>E55</f>
        <v>28275200</v>
      </c>
      <c r="K52" s="2676">
        <f>E58</f>
        <v>106032000</v>
      </c>
      <c r="L52" s="2676">
        <f>E60*B52/B51</f>
        <v>17706612.925905757</v>
      </c>
      <c r="M52" s="4061">
        <f>E61*B52/B51</f>
        <v>13086963.568557872</v>
      </c>
      <c r="O52" s="4059"/>
    </row>
    <row r="53" spans="1:15" ht="14.25">
      <c r="A53" s="2679" t="s">
        <v>3352</v>
      </c>
      <c r="B53" s="2671">
        <v>20013.11</v>
      </c>
      <c r="C53" s="2690"/>
      <c r="D53" s="2673">
        <v>3500</v>
      </c>
      <c r="E53" s="2693">
        <f>D53*B53</f>
        <v>70045885</v>
      </c>
      <c r="F53" s="2688"/>
      <c r="G53" s="2670" t="s">
        <v>3835</v>
      </c>
      <c r="H53" s="2670"/>
      <c r="I53" s="2676">
        <f>E53</f>
        <v>70045885</v>
      </c>
      <c r="J53" s="2676">
        <f>E56</f>
        <v>11007210.5</v>
      </c>
      <c r="K53" s="2676">
        <f>E59</f>
        <v>5003277.5</v>
      </c>
      <c r="L53" s="2676">
        <f>E60-L52</f>
        <v>5013077.0740942433</v>
      </c>
      <c r="M53" s="4061">
        <f>E61-M52</f>
        <v>3705166.951442128</v>
      </c>
    </row>
    <row r="54" spans="1:15" ht="15">
      <c r="A54" s="1915" t="s">
        <v>3353</v>
      </c>
      <c r="B54" s="2682">
        <f>B51</f>
        <v>90701.11</v>
      </c>
      <c r="C54" s="2682">
        <f>E54/B54</f>
        <v>433.09735128930618</v>
      </c>
      <c r="D54" s="4055"/>
      <c r="E54" s="2694">
        <f>E55+E56</f>
        <v>39282410.5</v>
      </c>
      <c r="F54" s="4054">
        <f>E54/$E$62</f>
        <v>8.9974404409744455E-2</v>
      </c>
      <c r="G54" s="2670"/>
      <c r="H54" s="2670"/>
    </row>
    <row r="55" spans="1:15" ht="15">
      <c r="A55" s="2679" t="s">
        <v>3831</v>
      </c>
      <c r="B55" s="4053">
        <f>B52</f>
        <v>70688</v>
      </c>
      <c r="C55" s="2682"/>
      <c r="D55" s="4056">
        <v>400</v>
      </c>
      <c r="E55" s="2693">
        <f>D55*B55</f>
        <v>28275200</v>
      </c>
      <c r="F55" s="2688"/>
      <c r="G55" s="2670" t="s">
        <v>3836</v>
      </c>
      <c r="H55" s="2670"/>
    </row>
    <row r="56" spans="1:15" ht="15">
      <c r="A56" s="2679" t="s">
        <v>3832</v>
      </c>
      <c r="B56" s="4053">
        <f>B53</f>
        <v>20013.11</v>
      </c>
      <c r="C56" s="2682"/>
      <c r="D56" s="4056">
        <v>550</v>
      </c>
      <c r="E56" s="2693">
        <f>D56*B56</f>
        <v>11007210.5</v>
      </c>
      <c r="F56" s="2688"/>
      <c r="G56" s="2670" t="s">
        <v>3837</v>
      </c>
      <c r="H56" s="2670"/>
    </row>
    <row r="57" spans="1:15" ht="15">
      <c r="A57" s="4052" t="s">
        <v>3830</v>
      </c>
      <c r="B57" s="2682">
        <f>B51</f>
        <v>90701.11</v>
      </c>
      <c r="C57" s="2682">
        <f>E57/B57</f>
        <v>1224.1887392557819</v>
      </c>
      <c r="D57" s="4055"/>
      <c r="E57" s="2694">
        <f>E58+E59</f>
        <v>111035277.5</v>
      </c>
      <c r="F57" s="2688">
        <f>E57/$E$62</f>
        <v>0.25432077192750679</v>
      </c>
      <c r="G57" s="2670"/>
      <c r="H57" s="2670"/>
      <c r="I57" s="4380" t="s">
        <v>3366</v>
      </c>
      <c r="J57" s="4380"/>
      <c r="K57" s="4380"/>
      <c r="L57" s="4380"/>
      <c r="M57" s="4380"/>
    </row>
    <row r="58" spans="1:15" ht="14.25">
      <c r="A58" s="2679" t="s">
        <v>3831</v>
      </c>
      <c r="B58" s="4053">
        <f>B52</f>
        <v>70688</v>
      </c>
      <c r="C58" s="2671">
        <v>1500</v>
      </c>
      <c r="D58" s="4072"/>
      <c r="E58" s="2693">
        <f>C58*B58</f>
        <v>106032000</v>
      </c>
      <c r="F58" s="2688"/>
      <c r="G58" s="2670"/>
      <c r="H58" s="2670"/>
      <c r="I58" s="2676">
        <f>I52+I53</f>
        <v>246765885</v>
      </c>
      <c r="J58" s="2676">
        <f t="shared" ref="J58:M58" si="10">J52+J53</f>
        <v>39282410.5</v>
      </c>
      <c r="K58" s="2676">
        <f t="shared" si="10"/>
        <v>111035277.5</v>
      </c>
      <c r="L58" s="2676">
        <f t="shared" si="10"/>
        <v>22719690</v>
      </c>
      <c r="M58" s="4061">
        <f t="shared" si="10"/>
        <v>16792130.52</v>
      </c>
    </row>
    <row r="59" spans="1:15" ht="14.25">
      <c r="A59" s="2679" t="s">
        <v>3832</v>
      </c>
      <c r="B59" s="4053">
        <f>B53</f>
        <v>20013.11</v>
      </c>
      <c r="C59" s="2671">
        <v>250</v>
      </c>
      <c r="D59" s="4072"/>
      <c r="E59" s="2693">
        <f>C59*B59</f>
        <v>5003277.5</v>
      </c>
      <c r="F59" s="2688"/>
      <c r="G59" s="2670" t="s">
        <v>3846</v>
      </c>
      <c r="H59" s="2670"/>
      <c r="I59" s="2677">
        <f>I58/$E$62</f>
        <v>0.56520496703017986</v>
      </c>
      <c r="J59" s="2677">
        <f t="shared" ref="J59:M59" si="11">J58/$E$62</f>
        <v>8.9974404409744455E-2</v>
      </c>
      <c r="K59" s="2677">
        <f t="shared" si="11"/>
        <v>0.25432077192750679</v>
      </c>
      <c r="L59" s="2677">
        <f t="shared" si="11"/>
        <v>5.203831817103044E-2</v>
      </c>
      <c r="M59" s="4062">
        <f t="shared" si="11"/>
        <v>3.8461538461538464E-2</v>
      </c>
    </row>
    <row r="60" spans="1:15" ht="15">
      <c r="A60" s="1915" t="s">
        <v>3355</v>
      </c>
      <c r="B60" s="2672">
        <v>6491.34</v>
      </c>
      <c r="C60" s="2682">
        <f>E60/B51</f>
        <v>250.48965773406741</v>
      </c>
      <c r="D60" s="4058">
        <f>D53</f>
        <v>3500</v>
      </c>
      <c r="E60" s="2694">
        <f>D60*B60</f>
        <v>22719690</v>
      </c>
      <c r="F60" s="2688">
        <f>E60/$E$62</f>
        <v>5.203831817103044E-2</v>
      </c>
      <c r="G60" s="4073">
        <f>B60/(B62+B60)</f>
        <v>6.6788521124840461E-2</v>
      </c>
      <c r="H60" s="4059" t="s">
        <v>3847</v>
      </c>
    </row>
    <row r="61" spans="1:15" ht="15">
      <c r="A61" s="1915" t="s">
        <v>3354</v>
      </c>
      <c r="B61" s="4057">
        <f>B51</f>
        <v>90701.11</v>
      </c>
      <c r="C61" s="2682">
        <f>E61/B61</f>
        <v>185.1369902749812</v>
      </c>
      <c r="D61" s="2674">
        <v>0.04</v>
      </c>
      <c r="E61" s="2694">
        <f>(E51+E54+E57+E60)*D61</f>
        <v>16792130.52</v>
      </c>
      <c r="F61" s="2688">
        <f>E61/$E$62</f>
        <v>3.8461538461538464E-2</v>
      </c>
      <c r="G61" s="2670" t="s">
        <v>3838</v>
      </c>
    </row>
    <row r="62" spans="1:15" ht="15.75" thickBot="1">
      <c r="A62" s="2680" t="s">
        <v>3356</v>
      </c>
      <c r="B62" s="2683">
        <f>B51</f>
        <v>90701.11</v>
      </c>
      <c r="C62" s="2692">
        <f>C51+C54+C57+C61+C60</f>
        <v>4813.5617471495116</v>
      </c>
      <c r="D62" s="3640">
        <f>E62/B62</f>
        <v>4813.5617471495107</v>
      </c>
      <c r="E62" s="2675">
        <f>E51+E54+E57+E61+E60</f>
        <v>436595393.51999998</v>
      </c>
      <c r="F62" s="2689">
        <f>F51+F54+F57+F60+F61</f>
        <v>1</v>
      </c>
      <c r="G62" s="4059"/>
    </row>
    <row r="63" spans="1:15">
      <c r="B63" s="2669"/>
      <c r="C63" s="2669"/>
      <c r="D63" s="2669"/>
    </row>
    <row r="65" spans="1:4" ht="14.25" thickBot="1">
      <c r="B65" s="2669"/>
      <c r="C65" s="2669"/>
      <c r="D65" s="2669"/>
    </row>
    <row r="66" spans="1:4">
      <c r="A66" s="4064" t="s">
        <v>3839</v>
      </c>
      <c r="B66" s="4065"/>
      <c r="C66" s="4065"/>
      <c r="D66" s="4066"/>
    </row>
    <row r="67" spans="1:4">
      <c r="A67" s="4067" t="s">
        <v>3842</v>
      </c>
      <c r="B67" s="4063"/>
      <c r="C67" s="4063"/>
      <c r="D67" s="4070" t="s">
        <v>3844</v>
      </c>
    </row>
    <row r="68" spans="1:4">
      <c r="A68" s="4067" t="s">
        <v>3843</v>
      </c>
      <c r="B68" s="4063"/>
      <c r="C68" s="4063"/>
      <c r="D68" s="4070" t="s">
        <v>3845</v>
      </c>
    </row>
    <row r="69" spans="1:4" ht="14.25" thickBot="1">
      <c r="A69" s="4068" t="s">
        <v>3840</v>
      </c>
      <c r="B69" s="4069"/>
      <c r="C69" s="4069"/>
      <c r="D69" s="4071" t="s">
        <v>3841</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G22" sqref="G22"/>
    </sheetView>
  </sheetViews>
  <sheetFormatPr defaultColWidth="10" defaultRowHeight="12.75"/>
  <cols>
    <col min="1" max="1" width="16.875" style="1275" customWidth="1"/>
    <col min="2" max="2" width="10" style="1275" customWidth="1"/>
    <col min="3" max="3" width="11.5" style="1275" customWidth="1"/>
    <col min="4" max="4" width="10" style="1275" customWidth="1"/>
    <col min="5" max="5" width="12.625" style="1275" customWidth="1"/>
    <col min="6" max="6" width="10" style="1275" customWidth="1"/>
    <col min="7" max="7" width="10.75" style="1275" customWidth="1"/>
    <col min="8" max="8" width="10" style="1275" customWidth="1"/>
    <col min="9" max="9" width="11.125" style="1138" customWidth="1"/>
    <col min="10" max="10" width="10" style="1273" customWidth="1"/>
    <col min="11" max="11" width="10" style="1936" customWidth="1"/>
    <col min="12" max="13" width="10" style="1937" customWidth="1"/>
    <col min="14" max="14" width="10" style="1273" customWidth="1"/>
    <col min="15" max="15" width="10" style="7" customWidth="1"/>
    <col min="16" max="17" width="10" style="1273"/>
    <col min="18" max="18" width="10" style="1273" customWidth="1"/>
    <col min="19" max="30" width="10" style="1273"/>
    <col min="31" max="16384" width="10" style="1275"/>
  </cols>
  <sheetData>
    <row r="1" spans="1:30" ht="13.5" thickBot="1">
      <c r="A1" s="1759" t="s">
        <v>2077</v>
      </c>
      <c r="B1" s="4384" t="str">
        <f>IF(B10="北京市","北京市",C10)&amp;F10&amp;IF(结果表!G1="在建","出让国有建设用地使用权及在建建筑物",IF(结果表!G1="土地","出让国有建设用地使用权",))&amp;B9&amp;"预评估"</f>
        <v>北京市房地产抵押价值预评估</v>
      </c>
      <c r="C1" s="4385"/>
      <c r="D1" s="4385"/>
      <c r="E1" s="4385"/>
      <c r="F1" s="4385"/>
      <c r="G1" s="4385"/>
      <c r="H1" s="4385"/>
      <c r="I1" s="4386"/>
      <c r="J1" s="1818"/>
      <c r="K1" s="1761"/>
      <c r="L1" s="1762"/>
      <c r="M1" s="1762"/>
      <c r="N1" s="1760"/>
      <c r="O1" s="1136"/>
      <c r="P1" s="1760"/>
      <c r="Q1" s="1760"/>
      <c r="R1" s="1760"/>
      <c r="S1" s="1223" t="str">
        <f>IF(B10="北京市","北京市",C10)&amp;F10&amp;IF(结果表!G1="在建","出让国有建设用地使用权及在建建筑物房地产抵押价值",IF(结果表!G1="土地","出让国有建设用地使用权抵押价值",B9))</f>
        <v>北京市房地产抵押价值</v>
      </c>
      <c r="T1" s="1275"/>
      <c r="U1" s="1275"/>
      <c r="V1" s="1275"/>
      <c r="W1" s="1275"/>
      <c r="X1" s="1275"/>
      <c r="Y1" s="1275"/>
      <c r="Z1" s="1275"/>
      <c r="AA1" s="1275"/>
      <c r="AB1" s="1275"/>
    </row>
    <row r="2" spans="1:30">
      <c r="A2" s="1760" t="s">
        <v>2078</v>
      </c>
      <c r="B2" s="48"/>
      <c r="D2" s="1970"/>
      <c r="E2" s="1963"/>
      <c r="F2" s="1963"/>
      <c r="G2" s="1964"/>
      <c r="H2" s="1964"/>
      <c r="I2" s="1964"/>
      <c r="J2" s="1818"/>
      <c r="K2" s="1761"/>
      <c r="L2" s="1762"/>
      <c r="M2" s="1762"/>
      <c r="N2" s="1760"/>
      <c r="O2" s="1136"/>
      <c r="P2" s="1760"/>
      <c r="Q2" s="1760"/>
      <c r="R2" s="1760"/>
      <c r="S2" s="1223" t="str">
        <f>IF(B10="北京市","北京市",C10)&amp;F10&amp;IF(结果表!G1="在建","出让国有建设用地使用权及在建建筑物房地产",IF(结果表!G1="土地","出让国有建设用地使用权","房地产"))</f>
        <v>北京市房地产</v>
      </c>
      <c r="T2" s="1275"/>
      <c r="U2" s="1275"/>
      <c r="V2" s="1275"/>
      <c r="W2" s="1275"/>
      <c r="X2" s="1275"/>
      <c r="Y2" s="1275"/>
      <c r="Z2" s="1275"/>
      <c r="AA2" s="1275"/>
      <c r="AB2" s="1275"/>
    </row>
    <row r="3" spans="1:30">
      <c r="A3" s="186" t="s">
        <v>2079</v>
      </c>
      <c r="B3" s="1763">
        <v>46049</v>
      </c>
      <c r="C3" s="1764" t="s">
        <v>2080</v>
      </c>
      <c r="D3" s="1763">
        <v>46049</v>
      </c>
      <c r="E3" s="1964"/>
      <c r="F3" s="1964"/>
      <c r="G3" s="1964"/>
      <c r="H3" s="1964"/>
      <c r="I3" s="1964"/>
      <c r="J3" s="1818"/>
      <c r="K3" s="1761"/>
      <c r="L3" s="1762"/>
      <c r="M3" s="1762"/>
      <c r="N3" s="1760"/>
      <c r="O3" s="1136"/>
      <c r="P3" s="1760"/>
      <c r="Q3" s="1760"/>
      <c r="R3" s="1760"/>
      <c r="S3" s="1223"/>
      <c r="T3" s="1275"/>
      <c r="U3" s="1275"/>
      <c r="V3" s="1275"/>
      <c r="W3" s="1275"/>
      <c r="X3" s="1275"/>
      <c r="Y3" s="1275"/>
      <c r="Z3" s="1275"/>
      <c r="AA3" s="1275"/>
      <c r="AB3" s="1275"/>
    </row>
    <row r="4" spans="1:30" ht="13.5" thickBot="1">
      <c r="A4" s="749" t="s">
        <v>2081</v>
      </c>
      <c r="B4" s="1765"/>
      <c r="C4" s="1766">
        <f>SUMIF(注册房地产估价师,B4,估价师及机构信息!B3:B24)</f>
        <v>0</v>
      </c>
      <c r="D4" s="1765"/>
      <c r="E4" s="1766">
        <f>SUMIF(注册房地产估价师,D4,估价师及机构信息!B3:B24)</f>
        <v>0</v>
      </c>
      <c r="F4" s="1765"/>
      <c r="G4" s="1766">
        <f>SUMIF(注册房地产估价师,F4,估价师及机构信息!B3:B24)</f>
        <v>0</v>
      </c>
      <c r="H4" s="1765"/>
      <c r="I4" s="1766">
        <f>SUMIF(注册房地产估价师,H4,估价师及机构信息!B3:B24)</f>
        <v>0</v>
      </c>
      <c r="J4" s="1818"/>
      <c r="K4" s="1767" t="str">
        <f>CONCATENATE(B4,"（注册号：",C4,")、",D4,"（注册号：",E4,")")</f>
        <v>（注册号：0)、（注册号：0)</v>
      </c>
      <c r="L4" s="1762"/>
      <c r="M4" s="1762"/>
      <c r="N4" s="1760"/>
      <c r="O4" s="1136"/>
      <c r="P4" s="1760"/>
      <c r="Q4" s="1760"/>
      <c r="R4" s="1760"/>
      <c r="S4" s="1223"/>
      <c r="T4" s="1275"/>
      <c r="U4" s="1275"/>
      <c r="V4" s="1275"/>
      <c r="W4" s="1275"/>
      <c r="X4" s="1275"/>
      <c r="Y4" s="1275"/>
      <c r="Z4" s="1275"/>
      <c r="AA4" s="1275"/>
      <c r="AB4" s="1275"/>
    </row>
    <row r="5" spans="1:30" ht="13.5" thickTop="1">
      <c r="A5" s="1768" t="s">
        <v>2082</v>
      </c>
      <c r="B5" s="1769"/>
      <c r="C5" s="1770"/>
      <c r="D5" s="1771"/>
      <c r="E5" s="1964"/>
      <c r="F5" s="1964"/>
      <c r="G5" s="1964"/>
      <c r="H5" s="1964"/>
      <c r="I5" s="1964"/>
      <c r="J5" s="1818"/>
      <c r="K5" s="1767" t="str">
        <f>IF(F4="——","",IF(H4="——",F4&amp;"（注册号："&amp;G4&amp;")",CONCATENATE(F4,"（注册号：",G4,")、",H4,"（注册号：",I4,")")))</f>
        <v>（注册号：0)、（注册号：0)</v>
      </c>
      <c r="L5" s="1762"/>
      <c r="M5" s="1762"/>
      <c r="N5" s="1760"/>
      <c r="O5" s="1136"/>
      <c r="P5" s="1760"/>
      <c r="Q5" s="1760"/>
      <c r="R5" s="1760"/>
      <c r="S5" s="1275"/>
      <c r="T5" s="1275"/>
      <c r="U5" s="1275"/>
      <c r="V5" s="1275"/>
      <c r="W5" s="1275"/>
      <c r="X5" s="1275"/>
      <c r="Y5" s="1275"/>
      <c r="Z5" s="1275"/>
      <c r="AA5" s="1275"/>
      <c r="AB5" s="1275"/>
    </row>
    <row r="6" spans="1:30">
      <c r="A6" s="1772" t="s">
        <v>2083</v>
      </c>
      <c r="B6" s="1773"/>
      <c r="C6" s="1774"/>
      <c r="D6" s="1775"/>
      <c r="E6" s="1963"/>
      <c r="F6" s="1964"/>
      <c r="G6" s="1964"/>
      <c r="H6" s="1964"/>
      <c r="I6" s="1964"/>
      <c r="J6" s="1818"/>
      <c r="K6" s="1924" t="str">
        <f>IF(COUNTIF(B6,"*上海银行*"),"上海银行","")</f>
        <v/>
      </c>
      <c r="L6" s="1922"/>
      <c r="M6" s="1922"/>
      <c r="N6" s="1818"/>
      <c r="O6" s="1322"/>
      <c r="P6" s="1818"/>
      <c r="Q6" s="1818"/>
      <c r="R6" s="1818"/>
    </row>
    <row r="7" spans="1:30">
      <c r="A7" s="1772" t="s">
        <v>2084</v>
      </c>
      <c r="B7" s="1776"/>
      <c r="C7" s="1774"/>
      <c r="D7" s="1775"/>
      <c r="E7" s="1963"/>
      <c r="F7" s="1964"/>
      <c r="G7" s="1964"/>
      <c r="H7" s="1964"/>
      <c r="I7" s="1964"/>
      <c r="J7" s="1818"/>
      <c r="K7" s="1925"/>
      <c r="L7" s="1922"/>
      <c r="M7" s="1922"/>
      <c r="N7" s="1818"/>
      <c r="O7" s="1322"/>
      <c r="P7" s="1818"/>
      <c r="Q7" s="1818"/>
      <c r="R7" s="1818"/>
    </row>
    <row r="8" spans="1:30">
      <c r="A8" s="1777" t="s">
        <v>2085</v>
      </c>
      <c r="B8" s="1778" t="s">
        <v>3990</v>
      </c>
      <c r="C8" s="1779"/>
      <c r="D8" s="4387" t="s">
        <v>2086</v>
      </c>
      <c r="E8" s="1780" t="s">
        <v>3991</v>
      </c>
      <c r="F8" s="1781"/>
      <c r="G8" s="1964"/>
      <c r="H8" s="1964"/>
      <c r="I8" s="1964"/>
      <c r="J8" s="1818"/>
      <c r="K8" s="1923"/>
      <c r="L8" s="1922"/>
      <c r="M8" s="1922"/>
      <c r="N8" s="1818"/>
      <c r="O8" s="1322"/>
      <c r="P8" s="1818"/>
      <c r="Q8" s="1818"/>
      <c r="R8" s="1818"/>
    </row>
    <row r="9" spans="1:30" ht="13.5" thickBot="1">
      <c r="A9" s="1782" t="s">
        <v>2087</v>
      </c>
      <c r="B9" s="1783" t="s">
        <v>3991</v>
      </c>
      <c r="C9" s="1784"/>
      <c r="D9" s="4388"/>
      <c r="E9" s="1783" t="s">
        <v>41</v>
      </c>
      <c r="F9" s="1785"/>
      <c r="G9" s="1965"/>
      <c r="H9" s="1965"/>
      <c r="I9" s="1965"/>
      <c r="J9" s="1818"/>
      <c r="K9" s="1925"/>
      <c r="L9" s="1922"/>
      <c r="M9" s="1922"/>
      <c r="N9" s="1818"/>
      <c r="O9" s="1322"/>
      <c r="P9" s="1818"/>
      <c r="Q9" s="1818"/>
      <c r="R9" s="1818"/>
    </row>
    <row r="10" spans="1:30" ht="13.5" thickTop="1">
      <c r="A10" s="1786" t="s">
        <v>2088</v>
      </c>
      <c r="B10" s="3516" t="s">
        <v>3992</v>
      </c>
      <c r="C10" s="1787"/>
      <c r="D10" s="1771"/>
      <c r="E10" s="1788" t="s">
        <v>2089</v>
      </c>
      <c r="F10" s="1966"/>
      <c r="G10" s="1967"/>
      <c r="H10" s="1968"/>
      <c r="I10" s="1969"/>
      <c r="J10" s="1818"/>
      <c r="K10" s="1925"/>
      <c r="L10" s="1922"/>
      <c r="M10" s="1922"/>
      <c r="N10" s="1818"/>
      <c r="O10" s="1322"/>
      <c r="P10" s="1818"/>
      <c r="Q10" s="1818"/>
      <c r="R10" s="1818"/>
    </row>
    <row r="11" spans="1:30">
      <c r="A11" s="1789" t="s">
        <v>2090</v>
      </c>
      <c r="B11" s="2534" t="s">
        <v>3993</v>
      </c>
      <c r="C11" s="1790"/>
      <c r="D11" s="1791"/>
      <c r="E11" s="1760"/>
      <c r="F11" s="1760"/>
      <c r="G11" s="1760"/>
      <c r="H11" s="1760"/>
      <c r="I11" s="1760"/>
      <c r="J11" s="2255"/>
      <c r="K11" s="1922"/>
      <c r="L11" s="1922"/>
      <c r="M11" s="1922"/>
      <c r="N11" s="1818"/>
      <c r="O11" s="1322"/>
      <c r="P11" s="1818"/>
      <c r="Q11" s="1818"/>
      <c r="R11" s="1818"/>
    </row>
    <row r="12" spans="1:30">
      <c r="A12" s="1792" t="s">
        <v>2091</v>
      </c>
      <c r="B12" s="206" t="s">
        <v>2092</v>
      </c>
      <c r="C12" s="1793" t="s">
        <v>2093</v>
      </c>
      <c r="D12" s="1793" t="s">
        <v>2094</v>
      </c>
      <c r="E12" s="1793" t="s">
        <v>2095</v>
      </c>
      <c r="F12" s="1793" t="s">
        <v>2096</v>
      </c>
      <c r="G12" s="1793" t="s">
        <v>2097</v>
      </c>
      <c r="H12" s="1793" t="s">
        <v>2098</v>
      </c>
      <c r="I12" s="2254" t="s">
        <v>2461</v>
      </c>
      <c r="J12" s="2256"/>
      <c r="K12" s="1922"/>
      <c r="L12" s="1922"/>
      <c r="M12" s="1818"/>
      <c r="N12" s="1322"/>
      <c r="O12" s="1818"/>
      <c r="P12" s="1818"/>
      <c r="Q12" s="1818"/>
      <c r="AD12" s="1275"/>
    </row>
    <row r="13" spans="1:30">
      <c r="A13" s="2534" t="s">
        <v>3215</v>
      </c>
      <c r="B13" s="1794" t="s">
        <v>2099</v>
      </c>
      <c r="C13" s="564"/>
      <c r="D13" s="564">
        <v>52805</v>
      </c>
      <c r="E13" s="564">
        <v>56457</v>
      </c>
      <c r="F13" s="564">
        <v>56457</v>
      </c>
      <c r="G13" s="564">
        <v>56457</v>
      </c>
      <c r="H13" s="564"/>
      <c r="I13" s="564"/>
      <c r="J13" s="2256"/>
      <c r="K13" s="1922"/>
      <c r="L13" s="1922"/>
      <c r="M13" s="1818"/>
      <c r="N13" s="1322"/>
      <c r="O13" s="1818"/>
      <c r="P13" s="1818"/>
      <c r="Q13" s="1818"/>
      <c r="AD13" s="1275"/>
    </row>
    <row r="14" spans="1:30">
      <c r="A14" s="740"/>
      <c r="B14" s="1794" t="s">
        <v>2100</v>
      </c>
      <c r="C14" s="1795"/>
      <c r="D14" s="1795">
        <v>40</v>
      </c>
      <c r="E14" s="1795">
        <v>50</v>
      </c>
      <c r="F14" s="1795">
        <v>50</v>
      </c>
      <c r="G14" s="1795">
        <v>50</v>
      </c>
      <c r="H14" s="1795"/>
      <c r="I14" s="1795"/>
      <c r="J14" s="2257"/>
      <c r="K14" s="1922"/>
      <c r="L14" s="1922"/>
      <c r="M14" s="1818"/>
      <c r="N14" s="1322"/>
      <c r="O14" s="1818"/>
      <c r="P14" s="1818"/>
      <c r="Q14" s="1818"/>
      <c r="AD14" s="1275"/>
    </row>
    <row r="15" spans="1:30">
      <c r="A15" s="203"/>
      <c r="B15" s="1796" t="s">
        <v>2101</v>
      </c>
      <c r="C15" s="6" t="str">
        <f>IF(A13="出让",IF(C13="","",ROUNDDOWN(MIN((C13-$D$3)/365,C14),2)),C14)</f>
        <v/>
      </c>
      <c r="D15" s="6">
        <f>IF(A13="出让",IF(D13="","",ROUNDDOWN(MIN((D13-$D$3)/365,D14),2)),D14)</f>
        <v>18.5</v>
      </c>
      <c r="E15" s="6">
        <f>IF(A13="出让",IF(E13="","",ROUNDDOWN(MIN((E13-$D$3)/365,E14),2)),E14)</f>
        <v>28.51</v>
      </c>
      <c r="F15" s="6">
        <f>IF(A13="出让",IF(F13="","",ROUNDDOWN(MIN((F13-$D$3)/365,F14),2)),F14)</f>
        <v>28.51</v>
      </c>
      <c r="G15" s="6">
        <f>IF(A13="出让",IF(G13="","",ROUNDDOWN(MIN((G13-$D$3)/365,G14),2)),G14)</f>
        <v>28.51</v>
      </c>
      <c r="H15" s="6" t="str">
        <f>IF(A13="出让",IF(H13="","",ROUNDDOWN(MIN((H13-$D$3)/365,H14),2)),H14)</f>
        <v/>
      </c>
      <c r="I15" s="6" t="str">
        <f>IF(A13="出让",IF(I13="","",ROUNDDOWN(MIN((I13-$D$3)/365,I14),2)),I14)</f>
        <v/>
      </c>
      <c r="J15" s="2258"/>
      <c r="K15" s="1322"/>
      <c r="L15" s="1322"/>
      <c r="M15" s="1818"/>
      <c r="N15" s="1322"/>
      <c r="O15" s="1818"/>
      <c r="P15" s="1818"/>
      <c r="Q15" s="1818"/>
      <c r="AD15" s="1275"/>
    </row>
    <row r="16" spans="1:30">
      <c r="A16" s="1788" t="s">
        <v>2102</v>
      </c>
      <c r="B16" s="4394"/>
      <c r="C16" s="4395"/>
      <c r="D16" s="4396"/>
      <c r="E16" s="1797" t="s">
        <v>2103</v>
      </c>
      <c r="F16" s="4397"/>
      <c r="G16" s="4398"/>
      <c r="H16" s="4398"/>
      <c r="I16" s="4399"/>
      <c r="J16" s="1818"/>
      <c r="K16" s="1926"/>
      <c r="L16" s="1322"/>
      <c r="M16" s="1322"/>
      <c r="N16" s="1818"/>
      <c r="O16" s="1322"/>
      <c r="P16" s="1818"/>
      <c r="Q16" s="1818"/>
      <c r="R16" s="1818"/>
    </row>
    <row r="17" spans="1:28">
      <c r="A17" s="197" t="s">
        <v>2104</v>
      </c>
      <c r="B17" s="186" t="s">
        <v>2105</v>
      </c>
      <c r="C17" s="9">
        <f>'数据-汇总表'!E3</f>
        <v>57408.26</v>
      </c>
      <c r="D17" s="925" t="s">
        <v>2106</v>
      </c>
      <c r="E17" s="4400" t="s">
        <v>2107</v>
      </c>
      <c r="F17" s="4401"/>
      <c r="G17" s="4401"/>
      <c r="H17" s="4401"/>
      <c r="I17" s="4402"/>
      <c r="J17" s="1818"/>
      <c r="K17" s="1927"/>
      <c r="L17" s="1322"/>
      <c r="M17" s="1322"/>
      <c r="N17" s="1818"/>
      <c r="O17" s="1322"/>
      <c r="P17" s="1818"/>
      <c r="Q17" s="1818"/>
      <c r="R17" s="1818"/>
      <c r="S17" s="1818"/>
      <c r="T17" s="1818"/>
      <c r="U17" s="1818"/>
      <c r="V17" s="1818"/>
    </row>
    <row r="18" spans="1:28" ht="24.75" thickBot="1">
      <c r="A18" s="1798" t="s">
        <v>2108</v>
      </c>
      <c r="B18" s="749" t="s">
        <v>2109</v>
      </c>
      <c r="C18" s="2664">
        <f>'数据-汇总表'!D3</f>
        <v>16447.62</v>
      </c>
      <c r="D18" s="751" t="s">
        <v>2110</v>
      </c>
      <c r="E18" s="4403" t="s">
        <v>2111</v>
      </c>
      <c r="F18" s="4404"/>
      <c r="G18" s="4404"/>
      <c r="H18" s="4404"/>
      <c r="I18" s="4405"/>
      <c r="J18" s="1818"/>
      <c r="K18" s="1927"/>
      <c r="L18" s="1322"/>
      <c r="M18" s="1322"/>
      <c r="N18" s="1818"/>
      <c r="O18" s="1322"/>
      <c r="P18" s="1818"/>
      <c r="Q18" s="1818"/>
      <c r="R18" s="1818"/>
      <c r="S18" s="1818"/>
      <c r="T18" s="1818"/>
      <c r="U18" s="1818"/>
      <c r="V18" s="1818"/>
    </row>
    <row r="19" spans="1:28" ht="37.5" thickTop="1" thickBot="1">
      <c r="A19" s="210" t="s">
        <v>1040</v>
      </c>
      <c r="B19" s="191" t="s">
        <v>2112</v>
      </c>
      <c r="C19" s="1124"/>
      <c r="D19" s="1125" t="s">
        <v>2113</v>
      </c>
      <c r="E19" s="1126"/>
      <c r="F19" s="1127" t="str">
        <f>IF(AND(C19="是",E19="否"),"是否提供他项权证或相关说明","")</f>
        <v/>
      </c>
      <c r="G19" s="1128"/>
      <c r="H19" s="1964"/>
      <c r="I19" s="1964"/>
      <c r="J19" s="1818"/>
      <c r="K19" s="1925"/>
      <c r="L19" s="1922"/>
      <c r="M19" s="1922"/>
      <c r="N19" s="1818"/>
      <c r="O19" s="1322"/>
      <c r="P19" s="1818"/>
      <c r="Q19" s="1818"/>
      <c r="R19" s="1818"/>
      <c r="S19" s="1818"/>
      <c r="T19" s="1818"/>
      <c r="U19" s="1818"/>
      <c r="V19" s="1818"/>
    </row>
    <row r="20" spans="1:28">
      <c r="A20" s="1940" t="s">
        <v>2114</v>
      </c>
      <c r="B20" s="4390" t="s">
        <v>2115</v>
      </c>
      <c r="C20" s="4391"/>
      <c r="D20" s="4392" t="s">
        <v>2116</v>
      </c>
      <c r="E20" s="4393"/>
      <c r="F20" s="1953" t="s">
        <v>1041</v>
      </c>
      <c r="G20" s="1964"/>
      <c r="H20" s="1964"/>
      <c r="I20" s="1964"/>
      <c r="J20" s="1818"/>
      <c r="K20" s="4389" t="s">
        <v>2117</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2"/>
      <c r="N20" s="1760"/>
      <c r="O20" s="1136"/>
      <c r="P20" s="1760"/>
      <c r="Q20" s="1760"/>
      <c r="R20" s="1760"/>
      <c r="S20" s="1760"/>
      <c r="T20" s="1760"/>
      <c r="U20" s="1760"/>
      <c r="V20" s="1760"/>
      <c r="W20" s="1275"/>
      <c r="X20" s="1275"/>
      <c r="Y20" s="1275"/>
      <c r="Z20" s="1275"/>
      <c r="AA20" s="1275"/>
      <c r="AB20" s="1275"/>
    </row>
    <row r="21" spans="1:28" ht="24.75" thickBot="1">
      <c r="A21" s="1940"/>
      <c r="B21" s="1941" t="s">
        <v>2118</v>
      </c>
      <c r="C21" s="1869" t="s">
        <v>1042</v>
      </c>
      <c r="D21" s="1129" t="s">
        <v>2119</v>
      </c>
      <c r="E21" s="1942" t="s">
        <v>1042</v>
      </c>
      <c r="F21" s="1954"/>
      <c r="G21" s="1964"/>
      <c r="H21" s="1964"/>
      <c r="I21" s="1964"/>
      <c r="J21" s="1818"/>
      <c r="K21" s="4389"/>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2"/>
      <c r="N21" s="1760"/>
      <c r="O21" s="1136"/>
      <c r="P21" s="1760"/>
      <c r="Q21" s="1760"/>
      <c r="R21" s="1760"/>
      <c r="S21" s="1760"/>
      <c r="T21" s="1760"/>
      <c r="U21" s="1760"/>
      <c r="V21" s="1760"/>
      <c r="W21" s="1275"/>
      <c r="X21" s="1275"/>
      <c r="Y21" s="1275"/>
      <c r="Z21" s="1275"/>
      <c r="AA21" s="1275"/>
      <c r="AB21" s="1275"/>
    </row>
    <row r="22" spans="1:28" ht="24.75" thickBot="1">
      <c r="A22" s="1940"/>
      <c r="B22" s="1943" t="s">
        <v>2120</v>
      </c>
      <c r="C22" s="1869" t="s">
        <v>1043</v>
      </c>
      <c r="D22" s="1964"/>
      <c r="E22" s="1964"/>
      <c r="F22" s="1964"/>
      <c r="G22" s="1964"/>
      <c r="H22" s="1964"/>
      <c r="I22" s="1964"/>
      <c r="J22" s="1818"/>
      <c r="K22" s="4389"/>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2"/>
      <c r="N22" s="1760"/>
      <c r="O22" s="1136"/>
      <c r="P22" s="1760"/>
      <c r="Q22" s="1760"/>
      <c r="R22" s="1760"/>
      <c r="S22" s="1760"/>
      <c r="T22" s="1760"/>
      <c r="U22" s="1760"/>
      <c r="V22" s="1760"/>
      <c r="W22" s="1275"/>
      <c r="X22" s="1275"/>
      <c r="Y22" s="1275"/>
      <c r="Z22" s="1275"/>
      <c r="AA22" s="1275"/>
      <c r="AB22" s="1275"/>
    </row>
    <row r="23" spans="1:28">
      <c r="A23" s="1944" t="s">
        <v>2121</v>
      </c>
      <c r="B23" s="1866" t="s">
        <v>2122</v>
      </c>
      <c r="C23" s="1945"/>
      <c r="D23" s="1946" t="s">
        <v>2122</v>
      </c>
      <c r="E23" s="1947"/>
      <c r="F23" s="1964"/>
      <c r="G23" s="1964"/>
      <c r="H23" s="1964"/>
      <c r="I23" s="1964"/>
      <c r="J23" s="1818"/>
      <c r="K23" s="1924"/>
      <c r="L23" s="47"/>
      <c r="M23" s="1922"/>
      <c r="N23" s="1818"/>
      <c r="O23" s="1322"/>
      <c r="P23" s="1818"/>
      <c r="Q23" s="1818"/>
      <c r="R23" s="1818"/>
      <c r="S23" s="1818"/>
      <c r="T23" s="1818"/>
      <c r="U23" s="1818"/>
      <c r="V23" s="1818"/>
    </row>
    <row r="24" spans="1:28">
      <c r="A24" s="1944"/>
      <c r="B24" s="1866" t="s">
        <v>1044</v>
      </c>
      <c r="C24" s="1844"/>
      <c r="D24" s="1944" t="s">
        <v>1044</v>
      </c>
      <c r="E24" s="1948"/>
      <c r="F24" s="1964"/>
      <c r="G24" s="1964"/>
      <c r="H24" s="1964"/>
      <c r="I24" s="1964"/>
      <c r="J24" s="1818"/>
      <c r="K24" s="1924"/>
      <c r="L24" s="47"/>
      <c r="M24" s="1922"/>
      <c r="N24" s="1818"/>
      <c r="O24" s="1322"/>
      <c r="P24" s="1818"/>
      <c r="Q24" s="1818"/>
      <c r="R24" s="1818"/>
      <c r="S24" s="1818"/>
      <c r="T24" s="1818"/>
      <c r="U24" s="1818"/>
      <c r="V24" s="1818"/>
    </row>
    <row r="25" spans="1:28">
      <c r="A25" s="1944"/>
      <c r="B25" s="1866" t="s">
        <v>1045</v>
      </c>
      <c r="C25" s="1844"/>
      <c r="D25" s="1944" t="s">
        <v>1045</v>
      </c>
      <c r="E25" s="1948"/>
      <c r="F25" s="1964"/>
      <c r="G25" s="1964"/>
      <c r="H25" s="1964"/>
      <c r="I25" s="1964"/>
      <c r="J25" s="1818"/>
      <c r="K25" s="1925"/>
      <c r="L25" s="1922"/>
      <c r="M25" s="1922"/>
      <c r="N25" s="1818"/>
      <c r="O25" s="1322"/>
      <c r="P25" s="1818"/>
      <c r="Q25" s="1818"/>
      <c r="R25" s="1818"/>
      <c r="S25" s="1818"/>
      <c r="T25" s="1818"/>
      <c r="U25" s="1818"/>
      <c r="V25" s="1818"/>
    </row>
    <row r="26" spans="1:28" ht="13.5" thickBot="1">
      <c r="A26" s="1949"/>
      <c r="B26" s="1950" t="s">
        <v>1046</v>
      </c>
      <c r="C26" s="1951"/>
      <c r="D26" s="1949" t="s">
        <v>1046</v>
      </c>
      <c r="E26" s="1952"/>
      <c r="F26" s="1965"/>
      <c r="G26" s="1965"/>
      <c r="H26" s="1965"/>
      <c r="I26" s="1965"/>
      <c r="J26" s="1818"/>
      <c r="K26" s="1925"/>
      <c r="L26" s="1922"/>
      <c r="M26" s="1922"/>
      <c r="N26" s="1818"/>
      <c r="O26" s="1322"/>
      <c r="P26" s="1818"/>
      <c r="Q26" s="1818"/>
      <c r="R26" s="1818"/>
      <c r="S26" s="1818"/>
      <c r="T26" s="1818"/>
      <c r="U26" s="1818"/>
      <c r="V26" s="1818"/>
    </row>
    <row r="27" spans="1:28" ht="13.5" thickTop="1">
      <c r="A27" s="4407" t="s">
        <v>2123</v>
      </c>
      <c r="B27" s="203" t="s">
        <v>2124</v>
      </c>
      <c r="C27" s="1799"/>
      <c r="D27" s="1800"/>
      <c r="E27" s="1964"/>
      <c r="F27" s="1964"/>
      <c r="G27" s="1964"/>
      <c r="H27" s="1964"/>
      <c r="I27" s="1964"/>
      <c r="J27" s="1818"/>
      <c r="K27" s="1926"/>
      <c r="L27" s="1322"/>
      <c r="M27" s="1322"/>
      <c r="N27" s="1818"/>
      <c r="O27" s="1322"/>
      <c r="P27" s="1818"/>
      <c r="Q27" s="1818"/>
      <c r="R27" s="1818"/>
      <c r="S27" s="1818"/>
      <c r="T27" s="1818"/>
      <c r="U27" s="1818"/>
      <c r="V27" s="1818"/>
    </row>
    <row r="28" spans="1:28">
      <c r="A28" s="4407"/>
      <c r="B28" s="186" t="s">
        <v>2125</v>
      </c>
      <c r="C28" s="1801"/>
      <c r="D28" s="1802"/>
      <c r="E28" s="1964"/>
      <c r="F28" s="1964"/>
      <c r="G28" s="1964"/>
      <c r="H28" s="1964"/>
      <c r="I28" s="1964"/>
      <c r="J28" s="1818"/>
      <c r="K28" s="1925"/>
      <c r="L28" s="1922"/>
      <c r="M28" s="1922"/>
      <c r="N28" s="1818"/>
      <c r="O28" s="1322"/>
      <c r="P28" s="1818"/>
      <c r="Q28" s="1818"/>
      <c r="R28" s="1818"/>
      <c r="S28" s="1818"/>
      <c r="T28" s="1818"/>
      <c r="U28" s="1818"/>
      <c r="V28" s="1818"/>
    </row>
    <row r="29" spans="1:28">
      <c r="A29" s="4407"/>
      <c r="B29" s="186" t="s">
        <v>2126</v>
      </c>
      <c r="C29" s="1803"/>
      <c r="D29" s="1804"/>
      <c r="E29" s="1964"/>
      <c r="F29" s="1964"/>
      <c r="G29" s="1964"/>
      <c r="H29" s="1964"/>
      <c r="I29" s="1964"/>
      <c r="J29" s="1818"/>
      <c r="K29" s="1925"/>
      <c r="L29" s="1922"/>
      <c r="M29" s="1922"/>
      <c r="N29" s="1818"/>
      <c r="O29" s="1322"/>
      <c r="P29" s="1818"/>
      <c r="Q29" s="1818"/>
      <c r="R29" s="1818"/>
      <c r="S29" s="1818"/>
      <c r="T29" s="1818"/>
      <c r="U29" s="1818"/>
      <c r="V29" s="1818"/>
    </row>
    <row r="30" spans="1:28">
      <c r="A30" s="4408"/>
      <c r="B30" s="186" t="s">
        <v>2127</v>
      </c>
      <c r="C30" s="4409"/>
      <c r="D30" s="4410"/>
      <c r="E30" s="1964"/>
      <c r="F30" s="1964"/>
      <c r="G30" s="1964"/>
      <c r="H30" s="1964"/>
      <c r="I30" s="1964"/>
      <c r="J30" s="1818"/>
      <c r="K30" s="1925"/>
      <c r="L30" s="1922"/>
      <c r="M30" s="1922"/>
      <c r="N30" s="1818"/>
      <c r="O30" s="1322"/>
      <c r="P30" s="1818"/>
      <c r="Q30" s="1818"/>
      <c r="R30" s="1818"/>
      <c r="S30" s="1818"/>
      <c r="T30" s="1818"/>
      <c r="U30" s="1818"/>
      <c r="V30" s="1818"/>
    </row>
    <row r="31" spans="1:28">
      <c r="A31" s="4411" t="s">
        <v>2128</v>
      </c>
      <c r="B31" s="1805"/>
      <c r="C31" s="8" t="str">
        <f>IF(B31="现房","成新及维护状况正常否",IF(B31="在建","工程状态是否正常",IF(B31="土地","是否闲置","-")))</f>
        <v>-</v>
      </c>
      <c r="D31" s="950"/>
      <c r="E31" s="1806"/>
      <c r="F31" s="1964"/>
      <c r="G31" s="1964"/>
      <c r="H31" s="1964"/>
      <c r="I31" s="1964"/>
      <c r="J31" s="1818"/>
      <c r="K31" s="1924"/>
      <c r="L31" s="1922"/>
      <c r="M31" s="1922"/>
      <c r="N31" s="1818"/>
      <c r="O31" s="1322"/>
      <c r="P31" s="1818"/>
      <c r="Q31" s="1818"/>
      <c r="R31" s="1818"/>
      <c r="S31" s="1818"/>
      <c r="T31" s="1818"/>
      <c r="U31" s="1818"/>
      <c r="V31" s="1818"/>
    </row>
    <row r="32" spans="1:28">
      <c r="A32" s="4412"/>
      <c r="B32" s="1805"/>
      <c r="C32" s="8" t="str">
        <f>IF(B32="现房","成新及维护状况是否正常",IF(B32="在建","工程状态是否正常",IF(B32="土地","是否闲置","-")))</f>
        <v>-</v>
      </c>
      <c r="D32" s="950"/>
      <c r="E32" s="1806"/>
      <c r="F32" s="1964"/>
      <c r="G32" s="1964"/>
      <c r="H32" s="1964"/>
      <c r="I32" s="1964"/>
      <c r="J32" s="1818"/>
      <c r="K32" s="1925"/>
      <c r="L32" s="1922"/>
      <c r="M32" s="1922"/>
      <c r="N32" s="1818"/>
      <c r="O32" s="1322"/>
      <c r="P32" s="1818"/>
      <c r="Q32" s="1818"/>
      <c r="R32" s="1818"/>
      <c r="S32" s="1818"/>
      <c r="T32" s="1818"/>
      <c r="U32" s="1818"/>
      <c r="V32" s="1818"/>
    </row>
    <row r="33" spans="1:30">
      <c r="A33" s="4412"/>
      <c r="B33" s="1807"/>
      <c r="C33" s="1144" t="str">
        <f>IF(B33="现房","成新及维护状况是否正常",IF(B33="在建","工程状态是否正常",IF(B33="土地","是否闲置","-")))</f>
        <v>-</v>
      </c>
      <c r="D33" s="943"/>
      <c r="E33" s="1808"/>
      <c r="F33" s="1964"/>
      <c r="G33" s="1964"/>
      <c r="H33" s="1964"/>
      <c r="I33" s="1964"/>
      <c r="J33" s="1818"/>
      <c r="K33" s="1925"/>
      <c r="L33" s="1922"/>
      <c r="M33" s="1922"/>
      <c r="N33" s="1818"/>
      <c r="O33" s="1322"/>
      <c r="P33" s="1818"/>
      <c r="Q33" s="1818"/>
      <c r="R33" s="1818"/>
      <c r="S33" s="1818"/>
      <c r="T33" s="1818"/>
      <c r="U33" s="1818"/>
      <c r="V33" s="1818"/>
    </row>
    <row r="34" spans="1:30">
      <c r="A34" s="186" t="s">
        <v>2129</v>
      </c>
      <c r="B34" s="1491"/>
      <c r="C34" s="1491"/>
      <c r="D34" s="1491"/>
      <c r="E34" s="1491"/>
      <c r="F34" s="1491"/>
      <c r="G34" s="1491"/>
      <c r="H34" s="1491"/>
      <c r="I34" s="1964"/>
      <c r="J34" s="1818"/>
      <c r="K34" s="6">
        <f>COUNTIF(B34:H34,"——")</f>
        <v>0</v>
      </c>
      <c r="L34" s="206" t="s">
        <v>2130</v>
      </c>
      <c r="M34" s="206" t="s">
        <v>2131</v>
      </c>
      <c r="N34" s="206" t="s">
        <v>2132</v>
      </c>
      <c r="O34" s="206" t="s">
        <v>2133</v>
      </c>
      <c r="P34" s="206" t="s">
        <v>2134</v>
      </c>
      <c r="Q34" s="206" t="s">
        <v>2135</v>
      </c>
      <c r="R34" s="206" t="s">
        <v>2136</v>
      </c>
      <c r="S34" s="4406" t="s">
        <v>2137</v>
      </c>
      <c r="T34" s="206" t="str">
        <f>NUMBERSTRING(7-K34,1)&amp;"通"</f>
        <v>七通</v>
      </c>
      <c r="U34" s="1818"/>
      <c r="V34" s="1818"/>
    </row>
    <row r="35" spans="1:30">
      <c r="A35" s="1809"/>
      <c r="B35" s="4406" t="s">
        <v>2138</v>
      </c>
      <c r="C35" s="4406"/>
      <c r="D35" s="4406"/>
      <c r="E35" s="4406"/>
      <c r="F35" s="6">
        <f>C10</f>
        <v>0</v>
      </c>
      <c r="G35" s="1964"/>
      <c r="H35" s="1964"/>
      <c r="I35" s="1964"/>
      <c r="J35" s="1818"/>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406"/>
      <c r="T35" s="55" t="str">
        <f>IF(T34="一通",L35,IF(T34="二通",M35,IF(T34="三通",N35,IF(T34="四通",O35,IF(T34="五通",P35,IF(T34="六通",Q35,R35))))))</f>
        <v>、、、、、、</v>
      </c>
      <c r="U35" s="1818"/>
      <c r="V35" s="1818"/>
    </row>
    <row r="36" spans="1:30">
      <c r="A36" s="1761"/>
      <c r="B36" s="6" t="s">
        <v>2094</v>
      </c>
      <c r="C36" s="6" t="s">
        <v>2095</v>
      </c>
      <c r="D36" s="6" t="s">
        <v>2093</v>
      </c>
      <c r="E36" s="6" t="s">
        <v>2098</v>
      </c>
      <c r="F36" s="2254" t="s">
        <v>2464</v>
      </c>
      <c r="G36" s="1964"/>
      <c r="H36" s="1964"/>
      <c r="I36" s="1964"/>
      <c r="J36" s="1818"/>
      <c r="K36" s="1925"/>
      <c r="L36" s="1922"/>
      <c r="M36" s="1922"/>
      <c r="N36" s="1818"/>
      <c r="O36" s="1322"/>
      <c r="P36" s="1818"/>
      <c r="Q36" s="1818"/>
      <c r="R36" s="1818"/>
      <c r="S36" s="1818"/>
      <c r="T36" s="1818"/>
      <c r="U36" s="1818"/>
      <c r="V36" s="1818"/>
    </row>
    <row r="37" spans="1:30">
      <c r="A37" s="1938" t="s">
        <v>2139</v>
      </c>
      <c r="B37" s="1810"/>
      <c r="C37" s="1810"/>
      <c r="D37" s="1810"/>
      <c r="E37" s="1810"/>
      <c r="F37" s="1810"/>
      <c r="G37" s="1964"/>
      <c r="H37" s="1964"/>
      <c r="I37" s="1964"/>
      <c r="J37" s="1818"/>
      <c r="K37" s="1925"/>
      <c r="L37" s="1922"/>
      <c r="M37" s="1922"/>
      <c r="N37" s="1818"/>
      <c r="O37" s="1322"/>
      <c r="P37" s="1818"/>
      <c r="Q37" s="1818"/>
      <c r="R37" s="1818"/>
      <c r="S37" s="1818"/>
      <c r="T37" s="1818"/>
      <c r="U37" s="1818"/>
      <c r="V37" s="1818"/>
    </row>
    <row r="38" spans="1:30" ht="13.5" thickBot="1">
      <c r="A38" s="1939" t="s">
        <v>2140</v>
      </c>
      <c r="B38" s="1811"/>
      <c r="C38" s="1811"/>
      <c r="D38" s="1811"/>
      <c r="E38" s="1811"/>
      <c r="F38" s="1811"/>
      <c r="G38" s="1965"/>
      <c r="H38" s="1965"/>
      <c r="I38" s="1965"/>
      <c r="J38" s="1818"/>
      <c r="K38" s="1925"/>
      <c r="L38" s="1922"/>
      <c r="M38" s="1922"/>
      <c r="N38" s="1818"/>
      <c r="O38" s="1322"/>
      <c r="P38" s="1818"/>
      <c r="Q38" s="1818"/>
      <c r="R38" s="1818"/>
      <c r="S38" s="1818"/>
      <c r="T38" s="1818"/>
      <c r="U38" s="1818"/>
      <c r="V38" s="1818"/>
    </row>
    <row r="39" spans="1:30" s="1814" customFormat="1" ht="14.25" thickTop="1" thickBot="1">
      <c r="A39" s="1812" t="s">
        <v>2141</v>
      </c>
      <c r="B39" s="1813"/>
      <c r="C39" s="1813"/>
      <c r="D39" s="1813"/>
      <c r="E39" s="1813"/>
      <c r="F39" s="1813"/>
      <c r="G39" s="1813"/>
      <c r="H39" s="1813"/>
      <c r="I39" s="1813"/>
      <c r="J39" s="1930"/>
      <c r="K39" s="1931"/>
      <c r="L39" s="1930"/>
      <c r="M39" s="1930"/>
      <c r="N39" s="1930"/>
      <c r="O39" s="1932"/>
      <c r="P39" s="1930"/>
      <c r="Q39" s="1930"/>
      <c r="R39" s="1930"/>
      <c r="S39" s="1930"/>
      <c r="T39" s="1930"/>
      <c r="U39" s="1930"/>
      <c r="V39" s="1930"/>
      <c r="W39" s="1933"/>
      <c r="X39" s="1933"/>
      <c r="Y39" s="1933"/>
      <c r="Z39" s="1933"/>
      <c r="AA39" s="1933"/>
      <c r="AB39" s="1933"/>
      <c r="AC39" s="1933"/>
      <c r="AD39" s="1933"/>
    </row>
    <row r="40" spans="1:30">
      <c r="A40" s="1760"/>
      <c r="B40" s="1760"/>
      <c r="C40" s="1760"/>
      <c r="D40" s="1760"/>
      <c r="E40" s="1760"/>
      <c r="F40" s="1760"/>
      <c r="G40" s="1760"/>
      <c r="H40" s="1760"/>
      <c r="I40" s="1136"/>
      <c r="J40" s="1818"/>
      <c r="K40" s="1924"/>
      <c r="L40" s="1322"/>
      <c r="M40" s="1322"/>
      <c r="N40" s="1818"/>
      <c r="O40" s="1322"/>
      <c r="P40" s="1818"/>
      <c r="Q40" s="1818"/>
      <c r="R40" s="1818"/>
      <c r="S40" s="1818"/>
      <c r="T40" s="1818"/>
      <c r="U40" s="1818"/>
      <c r="V40" s="1818"/>
    </row>
    <row r="41" spans="1:30">
      <c r="A41" s="1815" t="s">
        <v>2142</v>
      </c>
      <c r="B41" s="1283"/>
      <c r="C41" s="950"/>
      <c r="D41" s="1760"/>
      <c r="E41" s="1760"/>
      <c r="F41" s="1760"/>
      <c r="G41" s="1760"/>
      <c r="H41" s="1760"/>
      <c r="I41" s="1136"/>
      <c r="J41" s="1818"/>
      <c r="K41" s="1925"/>
      <c r="L41" s="1922"/>
      <c r="M41" s="1922"/>
      <c r="N41" s="1818"/>
      <c r="O41" s="1322"/>
      <c r="P41" s="1818"/>
      <c r="Q41" s="1818"/>
      <c r="R41" s="1818"/>
      <c r="S41" s="1818"/>
      <c r="T41" s="1818"/>
      <c r="U41" s="1818"/>
      <c r="V41" s="1818"/>
    </row>
    <row r="42" spans="1:30" ht="25.5">
      <c r="A42" s="206" t="s">
        <v>2143</v>
      </c>
      <c r="B42" s="6" t="s">
        <v>2144</v>
      </c>
      <c r="C42" s="6" t="s">
        <v>2145</v>
      </c>
      <c r="D42" s="6" t="s">
        <v>2146</v>
      </c>
      <c r="E42" s="6" t="s">
        <v>2147</v>
      </c>
      <c r="F42" s="6" t="s">
        <v>2148</v>
      </c>
      <c r="G42" s="6" t="s">
        <v>2149</v>
      </c>
      <c r="H42" s="6" t="s">
        <v>2150</v>
      </c>
      <c r="I42" s="6" t="s">
        <v>2151</v>
      </c>
      <c r="J42" s="1934" t="s">
        <v>2152</v>
      </c>
      <c r="K42" s="1935" t="s">
        <v>2153</v>
      </c>
      <c r="L42" s="1935" t="s">
        <v>2154</v>
      </c>
      <c r="M42" s="1935" t="s">
        <v>2155</v>
      </c>
      <c r="N42" s="1928" t="s">
        <v>2156</v>
      </c>
      <c r="O42" s="1928" t="s">
        <v>2157</v>
      </c>
      <c r="P42" s="1928" t="s">
        <v>2158</v>
      </c>
      <c r="Q42" s="1929" t="s">
        <v>2159</v>
      </c>
      <c r="R42" s="1929" t="s">
        <v>2160</v>
      </c>
      <c r="S42" s="1818"/>
      <c r="T42" s="1818"/>
      <c r="U42" s="1818"/>
      <c r="V42" s="1818"/>
    </row>
    <row r="43" spans="1:30" s="1273" customFormat="1">
      <c r="A43" s="1131"/>
      <c r="B43" s="712"/>
      <c r="C43" s="712"/>
      <c r="D43" s="712"/>
      <c r="E43" s="712"/>
      <c r="F43" s="712"/>
      <c r="G43" s="712"/>
      <c r="H43" s="712"/>
      <c r="I43" s="712"/>
      <c r="J43" s="1816"/>
      <c r="K43" s="1817"/>
      <c r="L43" s="1817"/>
      <c r="M43" s="712"/>
      <c r="N43" s="712"/>
      <c r="O43" s="712"/>
      <c r="P43" s="712"/>
      <c r="Q43" s="712"/>
      <c r="R43" s="712"/>
      <c r="S43" s="1818"/>
      <c r="T43" s="1818"/>
      <c r="U43" s="1818"/>
      <c r="V43" s="1818"/>
    </row>
    <row r="44" spans="1:30" s="1273" customFormat="1">
      <c r="A44" s="1131"/>
      <c r="B44" s="1131"/>
      <c r="C44" s="712"/>
      <c r="D44" s="712"/>
      <c r="E44" s="712"/>
      <c r="F44" s="712"/>
      <c r="G44" s="712"/>
      <c r="H44" s="712"/>
      <c r="I44" s="712"/>
      <c r="J44" s="1816"/>
      <c r="K44" s="1817"/>
      <c r="L44" s="1817"/>
      <c r="M44" s="712"/>
      <c r="N44" s="712"/>
      <c r="O44" s="712"/>
      <c r="P44" s="712"/>
      <c r="Q44" s="712"/>
      <c r="R44" s="712"/>
      <c r="S44" s="1818"/>
      <c r="T44" s="1818"/>
      <c r="U44" s="1818"/>
      <c r="V44" s="1818"/>
    </row>
    <row r="45" spans="1:30" s="1273" customFormat="1">
      <c r="A45" s="1131"/>
      <c r="B45" s="1131"/>
      <c r="C45" s="712"/>
      <c r="D45" s="712"/>
      <c r="E45" s="712"/>
      <c r="F45" s="712"/>
      <c r="G45" s="712"/>
      <c r="H45" s="712"/>
      <c r="I45" s="712"/>
      <c r="J45" s="1816"/>
      <c r="K45" s="1817"/>
      <c r="L45" s="1817"/>
      <c r="M45" s="712"/>
      <c r="N45" s="712"/>
      <c r="O45" s="712"/>
      <c r="P45" s="712"/>
      <c r="Q45" s="712"/>
      <c r="R45" s="712"/>
      <c r="S45" s="1818"/>
      <c r="T45" s="1818"/>
      <c r="U45" s="1818"/>
      <c r="V45" s="1818"/>
    </row>
    <row r="46" spans="1:30" s="1273" customFormat="1">
      <c r="A46" s="1131"/>
      <c r="B46" s="1131"/>
      <c r="C46" s="712"/>
      <c r="D46" s="712"/>
      <c r="E46" s="712"/>
      <c r="F46" s="712"/>
      <c r="G46" s="712"/>
      <c r="H46" s="712"/>
      <c r="I46" s="712"/>
      <c r="J46" s="1816"/>
      <c r="K46" s="1817"/>
      <c r="L46" s="1817"/>
      <c r="M46" s="712"/>
      <c r="N46" s="712"/>
      <c r="O46" s="712"/>
      <c r="P46" s="712"/>
      <c r="Q46" s="712"/>
      <c r="R46" s="712"/>
      <c r="S46" s="1818"/>
      <c r="T46" s="1818"/>
      <c r="U46" s="1818"/>
      <c r="V46" s="1818"/>
    </row>
    <row r="47" spans="1:30" s="1273" customFormat="1">
      <c r="A47" s="1131"/>
      <c r="B47" s="1131"/>
      <c r="C47" s="712"/>
      <c r="D47" s="712"/>
      <c r="E47" s="712"/>
      <c r="F47" s="712"/>
      <c r="G47" s="712"/>
      <c r="H47" s="712"/>
      <c r="I47" s="712"/>
      <c r="J47" s="1816"/>
      <c r="K47" s="1817"/>
      <c r="L47" s="1817"/>
      <c r="M47" s="712"/>
      <c r="N47" s="712"/>
      <c r="O47" s="712"/>
      <c r="P47" s="712"/>
      <c r="Q47" s="712"/>
      <c r="R47" s="712"/>
      <c r="S47" s="1818"/>
      <c r="T47" s="1818"/>
      <c r="U47" s="1818"/>
      <c r="V47" s="1818"/>
    </row>
    <row r="48" spans="1:30" s="1273" customFormat="1">
      <c r="A48" s="1131"/>
      <c r="B48" s="1131"/>
      <c r="C48" s="712"/>
      <c r="D48" s="712"/>
      <c r="E48" s="712"/>
      <c r="F48" s="712"/>
      <c r="G48" s="712"/>
      <c r="H48" s="712"/>
      <c r="I48" s="712"/>
      <c r="J48" s="1816"/>
      <c r="K48" s="1817"/>
      <c r="L48" s="1817"/>
      <c r="M48" s="712"/>
      <c r="N48" s="712"/>
      <c r="O48" s="712"/>
      <c r="P48" s="712"/>
      <c r="Q48" s="712"/>
      <c r="R48" s="712"/>
      <c r="S48" s="1818"/>
      <c r="T48" s="1818"/>
      <c r="U48" s="1818"/>
      <c r="V48" s="1818"/>
    </row>
    <row r="49" spans="1:22" s="1273" customFormat="1">
      <c r="A49" s="1131"/>
      <c r="B49" s="1131"/>
      <c r="C49" s="712"/>
      <c r="D49" s="712"/>
      <c r="E49" s="712"/>
      <c r="F49" s="712"/>
      <c r="G49" s="712"/>
      <c r="H49" s="712"/>
      <c r="I49" s="712"/>
      <c r="J49" s="1816"/>
      <c r="K49" s="1817"/>
      <c r="L49" s="1817"/>
      <c r="M49" s="712"/>
      <c r="N49" s="712"/>
      <c r="O49" s="712"/>
      <c r="P49" s="712"/>
      <c r="Q49" s="712"/>
      <c r="R49" s="712"/>
      <c r="S49" s="1818"/>
      <c r="T49" s="1818"/>
      <c r="U49" s="1818"/>
      <c r="V49" s="1818"/>
    </row>
    <row r="50" spans="1:22" s="1273" customFormat="1">
      <c r="A50" s="1131"/>
      <c r="B50" s="1131"/>
      <c r="C50" s="712"/>
      <c r="D50" s="712"/>
      <c r="E50" s="712"/>
      <c r="F50" s="712"/>
      <c r="G50" s="712"/>
      <c r="H50" s="712"/>
      <c r="I50" s="712"/>
      <c r="J50" s="1816"/>
      <c r="K50" s="1817"/>
      <c r="L50" s="1817"/>
      <c r="M50" s="712"/>
      <c r="N50" s="712"/>
      <c r="O50" s="712"/>
      <c r="P50" s="712"/>
      <c r="Q50" s="712"/>
      <c r="R50" s="712"/>
      <c r="S50" s="1818"/>
      <c r="T50" s="1818"/>
      <c r="U50" s="1818"/>
      <c r="V50" s="1818"/>
    </row>
    <row r="51" spans="1:22" s="1273" customFormat="1">
      <c r="A51" s="1131"/>
      <c r="B51" s="1131"/>
      <c r="C51" s="712"/>
      <c r="D51" s="712"/>
      <c r="E51" s="712"/>
      <c r="F51" s="712"/>
      <c r="G51" s="712"/>
      <c r="H51" s="712"/>
      <c r="I51" s="712"/>
      <c r="J51" s="1816"/>
      <c r="K51" s="1817"/>
      <c r="L51" s="1817"/>
      <c r="M51" s="712"/>
      <c r="N51" s="712"/>
      <c r="O51" s="712"/>
      <c r="P51" s="712"/>
      <c r="Q51" s="712"/>
      <c r="R51" s="712"/>
    </row>
    <row r="52" spans="1:22" s="1273" customFormat="1">
      <c r="A52" s="1131"/>
      <c r="B52" s="1131"/>
      <c r="C52" s="1131"/>
      <c r="D52" s="1131"/>
      <c r="E52" s="1131"/>
      <c r="F52" s="712"/>
      <c r="G52" s="1131"/>
      <c r="H52" s="1131"/>
      <c r="I52" s="1131"/>
      <c r="J52" s="1819"/>
      <c r="K52" s="1817"/>
      <c r="L52" s="1817"/>
      <c r="M52" s="1817"/>
      <c r="N52" s="1131"/>
      <c r="O52" s="1131"/>
      <c r="P52" s="1131"/>
      <c r="Q52" s="1131"/>
      <c r="R52" s="1131"/>
    </row>
    <row r="53" spans="1:22" s="1273" customFormat="1">
      <c r="A53" s="1131"/>
      <c r="B53" s="1131"/>
      <c r="C53" s="1131"/>
      <c r="D53" s="1131"/>
      <c r="E53" s="1131"/>
      <c r="F53" s="712"/>
      <c r="G53" s="1131"/>
      <c r="H53" s="1131"/>
      <c r="I53" s="1131"/>
      <c r="J53" s="1819"/>
      <c r="K53" s="1817"/>
      <c r="L53" s="1817"/>
      <c r="M53" s="1817"/>
      <c r="N53" s="1131"/>
      <c r="O53" s="1131"/>
      <c r="P53" s="1131"/>
      <c r="Q53" s="1131"/>
      <c r="R53" s="1131"/>
    </row>
    <row r="54" spans="1:22" s="1273" customFormat="1">
      <c r="A54" s="1131"/>
      <c r="B54" s="1131"/>
      <c r="C54" s="1131"/>
      <c r="D54" s="1131"/>
      <c r="E54" s="1131"/>
      <c r="F54" s="712"/>
      <c r="G54" s="1131"/>
      <c r="H54" s="1131"/>
      <c r="I54" s="1131"/>
      <c r="J54" s="1819"/>
      <c r="K54" s="1817"/>
      <c r="L54" s="1817"/>
      <c r="M54" s="1817"/>
      <c r="N54" s="1131"/>
      <c r="O54" s="1131"/>
      <c r="P54" s="1131"/>
      <c r="Q54" s="1131"/>
      <c r="R54" s="1131"/>
    </row>
    <row r="55" spans="1:22" s="1273" customFormat="1">
      <c r="A55" s="1131"/>
      <c r="B55" s="1131"/>
      <c r="C55" s="1131"/>
      <c r="D55" s="1131"/>
      <c r="E55" s="1131"/>
      <c r="F55" s="712"/>
      <c r="G55" s="1131"/>
      <c r="H55" s="1131"/>
      <c r="I55" s="1131"/>
      <c r="J55" s="1819"/>
      <c r="K55" s="1817"/>
      <c r="L55" s="1817"/>
      <c r="M55" s="1817"/>
      <c r="N55" s="1131"/>
      <c r="O55" s="1131"/>
      <c r="P55" s="1131"/>
      <c r="Q55" s="1131"/>
      <c r="R55" s="1131"/>
    </row>
    <row r="56" spans="1:22" s="1273" customFormat="1">
      <c r="A56" s="1131"/>
      <c r="B56" s="1131"/>
      <c r="C56" s="1131"/>
      <c r="D56" s="1131"/>
      <c r="E56" s="1131"/>
      <c r="F56" s="712"/>
      <c r="G56" s="1131"/>
      <c r="H56" s="1131"/>
      <c r="I56" s="1131"/>
      <c r="J56" s="1819"/>
      <c r="K56" s="1817"/>
      <c r="L56" s="1817"/>
      <c r="M56" s="1817"/>
      <c r="N56" s="1131"/>
      <c r="O56" s="1131"/>
      <c r="P56" s="1131"/>
      <c r="Q56" s="1131"/>
      <c r="R56" s="1131"/>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8" sqref="L28"/>
    </sheetView>
  </sheetViews>
  <sheetFormatPr defaultColWidth="8.875" defaultRowHeight="14.25"/>
  <cols>
    <col min="1" max="1" width="10.625" style="1133" customWidth="1"/>
    <col min="2" max="2" width="11" style="1133" customWidth="1"/>
    <col min="3" max="3" width="10.375" style="1133" customWidth="1"/>
    <col min="4" max="4" width="9.125" style="1133" customWidth="1"/>
    <col min="5" max="8" width="10" style="1133" customWidth="1"/>
    <col min="9" max="9" width="10.625" style="1133" customWidth="1"/>
    <col min="10" max="10" width="9.5" style="1133" customWidth="1"/>
    <col min="11" max="11" width="11" style="1133" customWidth="1"/>
    <col min="12" max="14" width="9.5" style="1133" customWidth="1"/>
    <col min="15" max="15" width="9.875" style="1133" customWidth="1"/>
    <col min="16" max="16" width="9.75" style="1133" customWidth="1"/>
    <col min="17" max="17" width="9.375" style="1133" customWidth="1"/>
    <col min="18" max="18" width="9.25" style="1133" customWidth="1"/>
    <col min="19" max="19" width="10.875" style="1133" customWidth="1"/>
    <col min="20" max="21" width="10.75" style="1133" customWidth="1"/>
    <col min="22" max="22" width="10.875" style="1133" customWidth="1"/>
    <col min="23" max="27" width="10.75" style="1133" customWidth="1"/>
    <col min="28" max="28" width="10.875" style="1133" customWidth="1"/>
    <col min="29" max="29" width="11" style="1133" bestFit="1" customWidth="1"/>
    <col min="30" max="30" width="10" style="1133" bestFit="1" customWidth="1"/>
    <col min="31" max="31" width="9.75" style="1133" customWidth="1"/>
    <col min="32" max="46" width="9.5" style="1133" customWidth="1"/>
    <col min="47" max="47" width="18.125" style="1133" customWidth="1"/>
    <col min="48" max="50" width="9.75" style="1133" customWidth="1"/>
    <col min="51" max="55" width="10.5" style="1133" bestFit="1" customWidth="1"/>
    <col min="56" max="56" width="9.5" style="1133" bestFit="1" customWidth="1"/>
    <col min="57" max="63" width="9.125" style="1133" bestFit="1" customWidth="1"/>
    <col min="64" max="64" width="9.5" style="1133" bestFit="1" customWidth="1"/>
    <col min="65" max="65" width="9.125" style="1133" bestFit="1" customWidth="1"/>
    <col min="66" max="66" width="9.5" style="1133" bestFit="1" customWidth="1"/>
    <col min="67" max="69" width="9.125" style="1133" bestFit="1" customWidth="1"/>
    <col min="70" max="70" width="9.5" style="1133" bestFit="1" customWidth="1"/>
    <col min="71" max="71" width="9" style="1133" customWidth="1"/>
    <col min="72" max="72" width="9.125" style="1133" bestFit="1" customWidth="1"/>
    <col min="73" max="16384" width="8.875" style="1133"/>
  </cols>
  <sheetData>
    <row r="1" spans="1:72" ht="20.25">
      <c r="A1" s="1134" t="s">
        <v>1047</v>
      </c>
      <c r="B1" s="1120"/>
      <c r="C1" s="1120"/>
      <c r="D1" s="1120"/>
      <c r="E1" s="1120"/>
      <c r="F1" s="1120"/>
      <c r="G1" s="1120"/>
      <c r="H1" s="1120"/>
      <c r="I1" s="1120"/>
      <c r="J1" s="1120"/>
      <c r="K1" s="1120"/>
      <c r="L1" s="1120"/>
      <c r="M1" s="1120"/>
      <c r="N1" s="1120"/>
      <c r="O1" s="1120"/>
      <c r="P1" s="1120"/>
      <c r="Q1" s="1120"/>
      <c r="R1" s="1120"/>
      <c r="S1" s="1120"/>
      <c r="T1" s="1120"/>
      <c r="U1" s="1120"/>
      <c r="V1" s="1120"/>
      <c r="W1" s="1120"/>
      <c r="X1" s="1120"/>
      <c r="Y1" s="1120"/>
      <c r="Z1" s="1120"/>
      <c r="AA1" s="1120"/>
      <c r="AB1" s="1120"/>
      <c r="AC1" s="1120"/>
      <c r="AD1" s="1120"/>
      <c r="AE1" s="1120"/>
      <c r="AF1" s="1120"/>
      <c r="AG1" s="1120"/>
      <c r="AH1" s="1120"/>
      <c r="AI1" s="1120"/>
      <c r="AJ1" s="1120"/>
      <c r="AK1" s="1120"/>
      <c r="AL1" s="1120"/>
      <c r="AM1" s="1120"/>
      <c r="AN1" s="1120"/>
      <c r="AO1" s="1120"/>
      <c r="AP1" s="1120"/>
      <c r="AQ1" s="1120"/>
      <c r="AR1" s="1120"/>
      <c r="AS1" s="1120"/>
      <c r="AT1" s="1120"/>
      <c r="AU1" s="1120"/>
      <c r="AV1" s="1135" t="s">
        <v>1048</v>
      </c>
      <c r="AW1" s="1120"/>
      <c r="AX1" s="1120"/>
      <c r="AY1" s="1120"/>
      <c r="AZ1" s="1120"/>
      <c r="BA1" s="1120"/>
      <c r="BB1" s="1120"/>
      <c r="BC1" s="1120"/>
      <c r="BD1" s="1120"/>
      <c r="BE1" s="1120"/>
      <c r="BF1" s="1120"/>
      <c r="BG1" s="1120"/>
      <c r="BH1" s="1120"/>
      <c r="BI1" s="1120"/>
      <c r="BJ1" s="1120"/>
      <c r="BK1" s="1120"/>
      <c r="BL1" s="1120"/>
      <c r="BM1" s="1120"/>
      <c r="BN1" s="1120"/>
      <c r="BO1" s="1120"/>
      <c r="BP1" s="1120"/>
      <c r="BQ1" s="1120"/>
      <c r="BR1" s="1120"/>
      <c r="BS1" s="1120"/>
      <c r="BT1" s="1120"/>
    </row>
    <row r="2" spans="1:72" s="1138" customFormat="1" ht="24">
      <c r="A2" s="6" t="s">
        <v>1049</v>
      </c>
      <c r="B2" s="6" t="s">
        <v>1050</v>
      </c>
      <c r="C2" s="6" t="s">
        <v>1051</v>
      </c>
      <c r="D2" s="1136"/>
      <c r="E2" s="1137"/>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c r="AT2" s="1136"/>
      <c r="AU2" s="1136"/>
      <c r="AV2" s="1136"/>
      <c r="AW2" s="1136"/>
      <c r="AX2" s="1136"/>
      <c r="AY2" s="709" t="s">
        <v>1052</v>
      </c>
      <c r="AZ2" s="710" t="s">
        <v>1053</v>
      </c>
      <c r="BA2" s="6" t="s">
        <v>1054</v>
      </c>
      <c r="BB2" s="1136"/>
      <c r="BC2" s="1136"/>
      <c r="BD2" s="1136"/>
      <c r="BE2" s="1136"/>
      <c r="BF2" s="1136"/>
      <c r="BG2" s="1136"/>
      <c r="BH2" s="1136"/>
      <c r="BI2" s="1136"/>
      <c r="BJ2" s="1136"/>
      <c r="BK2" s="1136"/>
      <c r="BL2" s="1136"/>
      <c r="BM2" s="1136"/>
      <c r="BN2" s="1136"/>
      <c r="BO2" s="1136"/>
      <c r="BP2" s="1136"/>
      <c r="BQ2" s="1136"/>
      <c r="BR2" s="1136"/>
      <c r="BS2" s="1136"/>
      <c r="BT2" s="1136"/>
    </row>
    <row r="3" spans="1:72" s="1138" customFormat="1" ht="12.75">
      <c r="A3" s="712">
        <v>16447.62</v>
      </c>
      <c r="B3" s="931">
        <f>IF(C3="否",G5-AT5,G5)</f>
        <v>57408.26</v>
      </c>
      <c r="C3" s="1139"/>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c r="AG3" s="1136"/>
      <c r="AH3" s="1136"/>
      <c r="AI3" s="1136"/>
      <c r="AJ3" s="1136"/>
      <c r="AK3" s="1136"/>
      <c r="AL3" s="1136"/>
      <c r="AM3" s="1136"/>
      <c r="AN3" s="1136"/>
      <c r="AO3" s="1136"/>
      <c r="AP3" s="1136"/>
      <c r="AQ3" s="1136"/>
      <c r="AR3" s="1136"/>
      <c r="AS3" s="1136"/>
      <c r="AT3" s="1136"/>
      <c r="AU3" s="1136"/>
      <c r="AV3" s="1136"/>
      <c r="AW3" s="1136"/>
      <c r="AX3" s="1136"/>
      <c r="AY3" s="711"/>
      <c r="AZ3" s="712"/>
      <c r="BA3" s="713"/>
      <c r="BB3" s="1136"/>
      <c r="BC3" s="1136"/>
      <c r="BD3" s="1136"/>
      <c r="BE3" s="1136"/>
      <c r="BF3" s="1136"/>
      <c r="BG3" s="1136"/>
      <c r="BH3" s="1136"/>
      <c r="BI3" s="1136"/>
      <c r="BJ3" s="1136"/>
      <c r="BK3" s="1136"/>
      <c r="BL3" s="1136"/>
      <c r="BM3" s="1136"/>
      <c r="BN3" s="1136"/>
      <c r="BO3" s="1136"/>
      <c r="BP3" s="1136"/>
      <c r="BQ3" s="1136"/>
      <c r="BR3" s="1136"/>
      <c r="BS3" s="1136"/>
      <c r="BT3" s="1136"/>
    </row>
    <row r="4" spans="1:72" s="1138" customFormat="1" ht="13.5" thickBot="1">
      <c r="A4" s="1140"/>
      <c r="B4" s="1141"/>
      <c r="C4" s="1142"/>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B4" s="1136"/>
      <c r="AC4" s="1136"/>
      <c r="AD4" s="1136"/>
      <c r="AE4" s="1136"/>
      <c r="AF4" s="1136"/>
      <c r="AG4" s="1136"/>
      <c r="AH4" s="1136"/>
      <c r="AI4" s="1136"/>
      <c r="AJ4" s="1136"/>
      <c r="AK4" s="1136"/>
      <c r="AL4" s="1136"/>
      <c r="AM4" s="1136"/>
      <c r="AN4" s="1136"/>
      <c r="AO4" s="1136"/>
      <c r="AP4" s="1136"/>
      <c r="AQ4" s="1136"/>
      <c r="AR4" s="1136"/>
      <c r="AS4" s="1136"/>
      <c r="AT4" s="1136"/>
      <c r="AU4" s="1136"/>
      <c r="AV4" s="1136"/>
      <c r="AW4" s="1136"/>
      <c r="AX4" s="1136"/>
      <c r="AY4" s="1136"/>
      <c r="AZ4" s="1136"/>
      <c r="BA4" s="1143"/>
      <c r="BB4" s="1136"/>
      <c r="BC4" s="1136"/>
      <c r="BD4" s="1136"/>
      <c r="BE4" s="1136"/>
      <c r="BF4" s="1136"/>
      <c r="BG4" s="1136"/>
      <c r="BH4" s="1136"/>
      <c r="BI4" s="1136"/>
      <c r="BJ4" s="1136"/>
      <c r="BK4" s="1136"/>
      <c r="BL4" s="1136"/>
      <c r="BM4" s="1136"/>
      <c r="BN4" s="1136"/>
      <c r="BO4" s="1136"/>
      <c r="BP4" s="1136"/>
      <c r="BQ4" s="1136"/>
      <c r="BR4" s="1136"/>
      <c r="BS4" s="1136"/>
      <c r="BT4" s="1136"/>
    </row>
    <row r="5" spans="1:72" s="1138" customFormat="1" ht="12.75">
      <c r="A5" s="8" t="s">
        <v>1055</v>
      </c>
      <c r="B5" s="928"/>
      <c r="C5" s="928"/>
      <c r="D5" s="929"/>
      <c r="E5" s="6" t="s">
        <v>0</v>
      </c>
      <c r="F5" s="6">
        <f>SUM(F13:F587)</f>
        <v>0</v>
      </c>
      <c r="G5" s="6">
        <f>SUM(G13:G587)</f>
        <v>57408.26</v>
      </c>
      <c r="H5" s="6">
        <f t="shared" ref="H5:AT5" si="0">SUM(H13:H656)</f>
        <v>57408.26</v>
      </c>
      <c r="I5" s="6">
        <f t="shared" si="0"/>
        <v>39456.269999999997</v>
      </c>
      <c r="J5" s="6">
        <f t="shared" si="0"/>
        <v>0</v>
      </c>
      <c r="K5" s="6">
        <f t="shared" si="0"/>
        <v>11357.59</v>
      </c>
      <c r="L5" s="6">
        <f t="shared" si="0"/>
        <v>0</v>
      </c>
      <c r="M5" s="6">
        <f t="shared" si="0"/>
        <v>1614.85</v>
      </c>
      <c r="N5" s="6">
        <f t="shared" si="0"/>
        <v>0</v>
      </c>
      <c r="O5" s="6">
        <f t="shared" si="0"/>
        <v>195.18</v>
      </c>
      <c r="P5" s="6">
        <f t="shared" si="0"/>
        <v>0</v>
      </c>
      <c r="Q5" s="6">
        <f t="shared" si="0"/>
        <v>4784.37</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27"/>
      <c r="AV5" s="8" t="s">
        <v>1055</v>
      </c>
      <c r="AW5" s="928"/>
      <c r="AX5" s="928"/>
      <c r="AY5" s="454" t="s">
        <v>2</v>
      </c>
      <c r="AZ5" s="455">
        <f t="shared" ref="AZ5:BT5" si="1">SUM(AZ13:AZ656)</f>
        <v>57408.26</v>
      </c>
      <c r="BA5" s="455">
        <f t="shared" si="1"/>
        <v>57408.26</v>
      </c>
      <c r="BB5" s="455">
        <f t="shared" si="1"/>
        <v>39456.269999999997</v>
      </c>
      <c r="BC5" s="455">
        <f t="shared" si="1"/>
        <v>11357.59</v>
      </c>
      <c r="BD5" s="455">
        <f t="shared" si="1"/>
        <v>1614.85</v>
      </c>
      <c r="BE5" s="455">
        <f t="shared" si="1"/>
        <v>195.18</v>
      </c>
      <c r="BF5" s="455">
        <f t="shared" si="1"/>
        <v>4784.37</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892">
        <f t="shared" si="1"/>
        <v>0</v>
      </c>
    </row>
    <row r="6" spans="1:72" s="1138" customFormat="1" ht="12.75">
      <c r="A6" s="8" t="s">
        <v>1056</v>
      </c>
      <c r="B6" s="928"/>
      <c r="C6" s="928"/>
      <c r="D6" s="929"/>
      <c r="E6" s="6">
        <f>H6+AC6+AT6</f>
        <v>16447.62</v>
      </c>
      <c r="F6" s="6" t="s">
        <v>0</v>
      </c>
      <c r="G6" s="6" t="s">
        <v>1</v>
      </c>
      <c r="H6" s="11">
        <f>SUMIF(I$12:AB$12,"总值",I6:AB6)</f>
        <v>16447.62</v>
      </c>
      <c r="I6" s="6">
        <f t="shared" ref="I6:AB6" si="2">ROUND($A$3*I5/$B$3,2)</f>
        <v>11304.33</v>
      </c>
      <c r="J6" s="6">
        <f t="shared" si="2"/>
        <v>0</v>
      </c>
      <c r="K6" s="6">
        <f t="shared" si="2"/>
        <v>3253.98</v>
      </c>
      <c r="L6" s="6">
        <f t="shared" si="2"/>
        <v>0</v>
      </c>
      <c r="M6" s="6">
        <f t="shared" si="2"/>
        <v>462.66</v>
      </c>
      <c r="N6" s="6">
        <f t="shared" si="2"/>
        <v>0</v>
      </c>
      <c r="O6" s="6">
        <f t="shared" si="2"/>
        <v>55.92</v>
      </c>
      <c r="P6" s="6">
        <f t="shared" si="2"/>
        <v>0</v>
      </c>
      <c r="Q6" s="6">
        <f t="shared" si="2"/>
        <v>1370.73</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27"/>
      <c r="AV6" s="8" t="s">
        <v>1056</v>
      </c>
      <c r="AW6" s="928"/>
      <c r="AX6" s="928"/>
      <c r="AY6" s="3893">
        <f>IF(AY3&gt;0,AY3,ROUND($A$3*AZ5/$B$3,2))</f>
        <v>16447.62</v>
      </c>
      <c r="AZ6" s="6" t="s">
        <v>2</v>
      </c>
      <c r="BA6" s="6">
        <f>ROUND($AY$6*BA5/$AZ$5,2)</f>
        <v>16447.62</v>
      </c>
      <c r="BB6" s="6">
        <f>ROUND($AY$6*BB5/$AZ$5,2)</f>
        <v>11304.33</v>
      </c>
      <c r="BC6" s="6">
        <f t="shared" ref="BC6:BH6" si="4">ROUND($AY$6*BC5/$AZ$5,2)</f>
        <v>3253.98</v>
      </c>
      <c r="BD6" s="6">
        <f t="shared" si="4"/>
        <v>462.66</v>
      </c>
      <c r="BE6" s="6">
        <f t="shared" si="4"/>
        <v>55.92</v>
      </c>
      <c r="BF6" s="6">
        <f t="shared" si="4"/>
        <v>1370.73</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894">
        <f t="shared" si="5"/>
        <v>0</v>
      </c>
    </row>
    <row r="7" spans="1:72" s="1138" customFormat="1" ht="24.75">
      <c r="A7" s="1130" t="s">
        <v>1057</v>
      </c>
      <c r="B7" s="1130" t="s">
        <v>1058</v>
      </c>
      <c r="C7" s="1130" t="s">
        <v>1059</v>
      </c>
      <c r="D7" s="1130" t="s">
        <v>1060</v>
      </c>
      <c r="E7" s="1130" t="s">
        <v>1061</v>
      </c>
      <c r="F7" s="1130" t="s">
        <v>1062</v>
      </c>
      <c r="G7" s="1144" t="s">
        <v>1063</v>
      </c>
      <c r="H7" s="1145"/>
      <c r="I7" s="1145"/>
      <c r="J7" s="1145"/>
      <c r="K7" s="1145"/>
      <c r="L7" s="1145"/>
      <c r="M7" s="1145"/>
      <c r="N7" s="1145"/>
      <c r="O7" s="1145"/>
      <c r="P7" s="1145"/>
      <c r="Q7" s="1145"/>
      <c r="R7" s="1145"/>
      <c r="S7" s="1145"/>
      <c r="T7" s="1145"/>
      <c r="U7" s="1145"/>
      <c r="V7" s="1145"/>
      <c r="W7" s="1145"/>
      <c r="X7" s="1145"/>
      <c r="Y7" s="1145"/>
      <c r="Z7" s="1145"/>
      <c r="AA7" s="1145"/>
      <c r="AB7" s="1145"/>
      <c r="AC7" s="1145"/>
      <c r="AD7" s="1145"/>
      <c r="AE7" s="1145"/>
      <c r="AF7" s="1145"/>
      <c r="AG7" s="1145"/>
      <c r="AH7" s="1145"/>
      <c r="AI7" s="1145"/>
      <c r="AJ7" s="1145"/>
      <c r="AK7" s="1145"/>
      <c r="AL7" s="1145"/>
      <c r="AM7" s="1145"/>
      <c r="AN7" s="1145"/>
      <c r="AO7" s="1145"/>
      <c r="AP7" s="1145"/>
      <c r="AQ7" s="1145"/>
      <c r="AR7" s="1145"/>
      <c r="AS7" s="1145"/>
      <c r="AT7" s="929"/>
      <c r="AU7" s="1145" t="s">
        <v>1064</v>
      </c>
      <c r="AV7" s="11" t="s">
        <v>1065</v>
      </c>
      <c r="AW7" s="1136" t="s">
        <v>1066</v>
      </c>
      <c r="AX7" s="11" t="s">
        <v>1059</v>
      </c>
      <c r="AY7" s="928" t="s">
        <v>1067</v>
      </c>
      <c r="AZ7" s="1146"/>
      <c r="BA7" s="1145"/>
      <c r="BB7" s="1145"/>
      <c r="BC7" s="1145"/>
      <c r="BD7" s="1145"/>
      <c r="BE7" s="1145"/>
      <c r="BF7" s="1145"/>
      <c r="BG7" s="1145"/>
      <c r="BH7" s="1145"/>
      <c r="BI7" s="1145"/>
      <c r="BJ7" s="1145"/>
      <c r="BK7" s="1145"/>
      <c r="BL7" s="1145"/>
      <c r="BM7" s="1145"/>
      <c r="BN7" s="1145"/>
      <c r="BO7" s="1145"/>
      <c r="BP7" s="1145"/>
      <c r="BQ7" s="1145"/>
      <c r="BR7" s="1145"/>
      <c r="BS7" s="1145"/>
      <c r="BT7" s="1147"/>
    </row>
    <row r="8" spans="1:72" s="1155" customFormat="1" ht="24">
      <c r="A8" s="1148"/>
      <c r="B8" s="1148"/>
      <c r="C8" s="1148"/>
      <c r="D8" s="1148"/>
      <c r="E8" s="1148"/>
      <c r="F8" s="1148"/>
      <c r="G8" s="1149" t="s">
        <v>1068</v>
      </c>
      <c r="H8" s="1150" t="s">
        <v>1069</v>
      </c>
      <c r="I8" s="1151"/>
      <c r="J8" s="938"/>
      <c r="K8" s="938"/>
      <c r="L8" s="938"/>
      <c r="M8" s="938"/>
      <c r="N8" s="938"/>
      <c r="O8" s="938"/>
      <c r="P8" s="938"/>
      <c r="Q8" s="938"/>
      <c r="R8" s="938"/>
      <c r="S8" s="938"/>
      <c r="T8" s="938"/>
      <c r="U8" s="938"/>
      <c r="V8" s="1152"/>
      <c r="W8" s="938"/>
      <c r="X8" s="938"/>
      <c r="Y8" s="938"/>
      <c r="Z8" s="938"/>
      <c r="AA8" s="1152"/>
      <c r="AB8" s="1153"/>
      <c r="AC8" s="546" t="s">
        <v>1070</v>
      </c>
      <c r="AD8" s="1154"/>
      <c r="AE8" s="1146"/>
      <c r="AF8" s="938"/>
      <c r="AG8" s="938"/>
      <c r="AH8" s="938"/>
      <c r="AI8" s="938"/>
      <c r="AJ8" s="938"/>
      <c r="AK8" s="938"/>
      <c r="AL8" s="938"/>
      <c r="AM8" s="938"/>
      <c r="AN8" s="938"/>
      <c r="AO8" s="938"/>
      <c r="AP8" s="938"/>
      <c r="AQ8" s="938"/>
      <c r="AR8" s="938"/>
      <c r="AS8" s="938"/>
      <c r="AT8" s="730" t="s">
        <v>1071</v>
      </c>
      <c r="AU8" s="1148" t="s">
        <v>1072</v>
      </c>
      <c r="AV8" s="730"/>
      <c r="AW8" s="1137"/>
      <c r="AX8" s="730"/>
      <c r="AY8" s="1136" t="s">
        <v>1073</v>
      </c>
      <c r="AZ8" s="937" t="s">
        <v>1074</v>
      </c>
      <c r="BA8" s="938"/>
      <c r="BB8" s="938"/>
      <c r="BC8" s="938"/>
      <c r="BD8" s="938"/>
      <c r="BE8" s="938"/>
      <c r="BF8" s="938"/>
      <c r="BG8" s="938"/>
      <c r="BH8" s="938"/>
      <c r="BI8" s="938"/>
      <c r="BJ8" s="938"/>
      <c r="BK8" s="938"/>
      <c r="BL8" s="938"/>
      <c r="BM8" s="938"/>
      <c r="BN8" s="938"/>
      <c r="BO8" s="938"/>
      <c r="BP8" s="938"/>
      <c r="BQ8" s="938"/>
      <c r="BR8" s="938"/>
      <c r="BS8" s="938"/>
      <c r="BT8" s="14"/>
    </row>
    <row r="9" spans="1:72" s="1155" customFormat="1" ht="12.75">
      <c r="A9" s="1148"/>
      <c r="B9" s="1148"/>
      <c r="C9" s="1148"/>
      <c r="D9" s="1148"/>
      <c r="E9" s="1148"/>
      <c r="F9" s="1148"/>
      <c r="G9" s="730"/>
      <c r="H9" s="1156" t="s">
        <v>1075</v>
      </c>
      <c r="I9" s="1157" t="s">
        <v>4018</v>
      </c>
      <c r="J9" s="546"/>
      <c r="K9" s="1157" t="s">
        <v>4018</v>
      </c>
      <c r="L9" s="546"/>
      <c r="M9" s="1157" t="s">
        <v>4022</v>
      </c>
      <c r="N9" s="546"/>
      <c r="O9" s="1157" t="s">
        <v>4022</v>
      </c>
      <c r="P9" s="546"/>
      <c r="Q9" s="1157" t="s">
        <v>4022</v>
      </c>
      <c r="R9" s="546"/>
      <c r="S9" s="1157"/>
      <c r="T9" s="546"/>
      <c r="U9" s="1157"/>
      <c r="V9" s="546"/>
      <c r="W9" s="1157"/>
      <c r="X9" s="1158"/>
      <c r="Y9" s="1157"/>
      <c r="Z9" s="546"/>
      <c r="AA9" s="1157"/>
      <c r="AB9" s="546"/>
      <c r="AC9" s="1149" t="s">
        <v>1075</v>
      </c>
      <c r="AD9" s="8" t="s">
        <v>1076</v>
      </c>
      <c r="AE9" s="736"/>
      <c r="AF9" s="8" t="s">
        <v>1077</v>
      </c>
      <c r="AG9" s="736"/>
      <c r="AH9" s="8" t="s">
        <v>1076</v>
      </c>
      <c r="AI9" s="736"/>
      <c r="AJ9" s="8" t="s">
        <v>1077</v>
      </c>
      <c r="AK9" s="736"/>
      <c r="AL9" s="8" t="s">
        <v>1076</v>
      </c>
      <c r="AM9" s="736"/>
      <c r="AN9" s="8" t="s">
        <v>1077</v>
      </c>
      <c r="AO9" s="736"/>
      <c r="AP9" s="8" t="s">
        <v>1076</v>
      </c>
      <c r="AQ9" s="736"/>
      <c r="AR9" s="8" t="s">
        <v>1077</v>
      </c>
      <c r="AS9" s="1159"/>
      <c r="AT9" s="1148"/>
      <c r="AU9" s="1148" t="s">
        <v>1078</v>
      </c>
      <c r="AV9" s="730"/>
      <c r="AW9" s="1137"/>
      <c r="AX9" s="730"/>
      <c r="AY9" s="16"/>
      <c r="AZ9" s="16" t="s">
        <v>1068</v>
      </c>
      <c r="BA9" s="1160" t="s">
        <v>1079</v>
      </c>
      <c r="BB9" s="1161"/>
      <c r="BC9" s="747"/>
      <c r="BD9" s="747"/>
      <c r="BE9" s="747"/>
      <c r="BF9" s="747"/>
      <c r="BG9" s="747"/>
      <c r="BH9" s="747"/>
      <c r="BI9" s="747"/>
      <c r="BJ9" s="747"/>
      <c r="BK9" s="1162"/>
      <c r="BL9" s="8" t="s">
        <v>1080</v>
      </c>
      <c r="BM9" s="938"/>
      <c r="BN9" s="1151"/>
      <c r="BO9" s="938"/>
      <c r="BP9" s="938"/>
      <c r="BQ9" s="938"/>
      <c r="BR9" s="938"/>
      <c r="BS9" s="938"/>
      <c r="BT9" s="14"/>
    </row>
    <row r="10" spans="1:72" s="1155" customFormat="1" ht="12.75">
      <c r="A10" s="1148"/>
      <c r="B10" s="1148"/>
      <c r="C10" s="1148"/>
      <c r="D10" s="1148"/>
      <c r="E10" s="1148"/>
      <c r="F10" s="1148"/>
      <c r="G10" s="730"/>
      <c r="H10" s="16"/>
      <c r="I10" s="1157" t="s">
        <v>19</v>
      </c>
      <c r="J10" s="546"/>
      <c r="K10" s="1163" t="s">
        <v>660</v>
      </c>
      <c r="L10" s="546"/>
      <c r="M10" s="1163" t="s">
        <v>660</v>
      </c>
      <c r="N10" s="546"/>
      <c r="O10" s="1163" t="s">
        <v>3217</v>
      </c>
      <c r="P10" s="546"/>
      <c r="Q10" s="1163" t="s">
        <v>4023</v>
      </c>
      <c r="R10" s="546"/>
      <c r="S10" s="1163"/>
      <c r="T10" s="546"/>
      <c r="U10" s="1163"/>
      <c r="V10" s="546"/>
      <c r="W10" s="1163"/>
      <c r="X10" s="546"/>
      <c r="Y10" s="1163"/>
      <c r="Z10" s="546"/>
      <c r="AA10" s="1163"/>
      <c r="AB10" s="546"/>
      <c r="AC10" s="730"/>
      <c r="AD10" s="8" t="s">
        <v>1081</v>
      </c>
      <c r="AE10" s="1164"/>
      <c r="AF10" s="8" t="s">
        <v>1081</v>
      </c>
      <c r="AG10" s="1164"/>
      <c r="AH10" s="8" t="s">
        <v>1082</v>
      </c>
      <c r="AI10" s="1164"/>
      <c r="AJ10" s="8" t="s">
        <v>1082</v>
      </c>
      <c r="AK10" s="1164"/>
      <c r="AL10" s="8" t="s">
        <v>1083</v>
      </c>
      <c r="AM10" s="736"/>
      <c r="AN10" s="8" t="s">
        <v>1083</v>
      </c>
      <c r="AO10" s="736"/>
      <c r="AP10" s="8" t="s">
        <v>1084</v>
      </c>
      <c r="AQ10" s="736"/>
      <c r="AR10" s="8" t="s">
        <v>1084</v>
      </c>
      <c r="AS10" s="736"/>
      <c r="AT10" s="1148"/>
      <c r="AU10" s="1148"/>
      <c r="AV10" s="730"/>
      <c r="AW10" s="1137"/>
      <c r="AX10" s="730"/>
      <c r="AY10" s="16"/>
      <c r="AZ10" s="16"/>
      <c r="BA10" s="1165" t="s">
        <v>1075</v>
      </c>
      <c r="BB10" s="1166" t="str">
        <f>I9</f>
        <v>地上</v>
      </c>
      <c r="BC10" s="17" t="str">
        <f>K9</f>
        <v>地上</v>
      </c>
      <c r="BD10" s="17" t="str">
        <f>M9</f>
        <v>地下</v>
      </c>
      <c r="BE10" s="17" t="str">
        <f>O9</f>
        <v>地下</v>
      </c>
      <c r="BF10" s="17" t="str">
        <f>Q9</f>
        <v>地下</v>
      </c>
      <c r="BG10" s="17">
        <f>S9</f>
        <v>0</v>
      </c>
      <c r="BH10" s="17">
        <f>U9</f>
        <v>0</v>
      </c>
      <c r="BI10" s="17">
        <f>W9</f>
        <v>0</v>
      </c>
      <c r="BJ10" s="17">
        <f>Y9</f>
        <v>0</v>
      </c>
      <c r="BK10" s="17">
        <f>AA9</f>
        <v>0</v>
      </c>
      <c r="BL10" s="13" t="s">
        <v>1075</v>
      </c>
      <c r="BM10" s="937" t="str">
        <f>AD9</f>
        <v>地上</v>
      </c>
      <c r="BN10" s="17" t="str">
        <f>AF9</f>
        <v>地下</v>
      </c>
      <c r="BO10" s="937" t="str">
        <f>AH9</f>
        <v>地上</v>
      </c>
      <c r="BP10" s="17" t="str">
        <f>AJ9</f>
        <v>地下</v>
      </c>
      <c r="BQ10" s="937" t="str">
        <f>AL9</f>
        <v>地上</v>
      </c>
      <c r="BR10" s="17" t="str">
        <f>AN9</f>
        <v>地下</v>
      </c>
      <c r="BS10" s="937" t="str">
        <f>AP9</f>
        <v>地上</v>
      </c>
      <c r="BT10" s="1167" t="str">
        <f>AR9</f>
        <v>地下</v>
      </c>
    </row>
    <row r="11" spans="1:72" s="1155" customFormat="1" ht="12.75">
      <c r="A11" s="1148"/>
      <c r="B11" s="1148"/>
      <c r="C11" s="1148"/>
      <c r="D11" s="1148"/>
      <c r="E11" s="1148"/>
      <c r="F11" s="1148"/>
      <c r="G11" s="730"/>
      <c r="H11" s="1165"/>
      <c r="I11" s="1168"/>
      <c r="J11" s="1169"/>
      <c r="K11" s="1168"/>
      <c r="L11" s="1169"/>
      <c r="M11" s="1168"/>
      <c r="N11" s="1169"/>
      <c r="O11" s="1168"/>
      <c r="P11" s="1169"/>
      <c r="Q11" s="1168"/>
      <c r="R11" s="1169"/>
      <c r="S11" s="1168"/>
      <c r="T11" s="1169"/>
      <c r="U11" s="1168"/>
      <c r="V11" s="1169"/>
      <c r="W11" s="1168"/>
      <c r="X11" s="1169"/>
      <c r="Y11" s="1168"/>
      <c r="Z11" s="1169"/>
      <c r="AA11" s="1168"/>
      <c r="AB11" s="1169"/>
      <c r="AC11" s="730"/>
      <c r="AD11" s="1170" t="s">
        <v>1085</v>
      </c>
      <c r="AE11" s="939"/>
      <c r="AF11" s="1170" t="s">
        <v>1085</v>
      </c>
      <c r="AG11" s="939"/>
      <c r="AH11" s="1170" t="s">
        <v>1086</v>
      </c>
      <c r="AI11" s="1171"/>
      <c r="AJ11" s="1170" t="s">
        <v>1086</v>
      </c>
      <c r="AK11" s="939"/>
      <c r="AL11" s="937"/>
      <c r="AM11" s="939"/>
      <c r="AN11" s="937"/>
      <c r="AO11" s="939"/>
      <c r="AP11" s="937"/>
      <c r="AQ11" s="939"/>
      <c r="AR11" s="937"/>
      <c r="AS11" s="939"/>
      <c r="AT11" s="1137"/>
      <c r="AU11" s="1148"/>
      <c r="AV11" s="730"/>
      <c r="AW11" s="1137"/>
      <c r="AX11" s="730"/>
      <c r="AY11" s="16"/>
      <c r="AZ11" s="16"/>
      <c r="BA11" s="16"/>
      <c r="BB11" s="1153" t="str">
        <f>I10</f>
        <v>办公</v>
      </c>
      <c r="BC11" s="1153" t="str">
        <f>K10</f>
        <v>商业</v>
      </c>
      <c r="BD11" s="1153" t="str">
        <f>M10</f>
        <v>商业</v>
      </c>
      <c r="BE11" s="1153" t="str">
        <f>O10</f>
        <v>仓储</v>
      </c>
      <c r="BF11" s="1153" t="str">
        <f>Q10</f>
        <v>车库—办公</v>
      </c>
      <c r="BG11" s="1153">
        <f>S10</f>
        <v>0</v>
      </c>
      <c r="BH11" s="1153">
        <f>U10</f>
        <v>0</v>
      </c>
      <c r="BI11" s="1153">
        <f>W10</f>
        <v>0</v>
      </c>
      <c r="BJ11" s="1153">
        <f>Y10</f>
        <v>0</v>
      </c>
      <c r="BK11" s="1153">
        <f>AA10</f>
        <v>0</v>
      </c>
      <c r="BL11" s="730"/>
      <c r="BM11" s="937" t="str">
        <f>AD10</f>
        <v>公共配套设施</v>
      </c>
      <c r="BN11" s="937" t="str">
        <f>AF10</f>
        <v>公共配套设施</v>
      </c>
      <c r="BO11" s="12" t="str">
        <f>AH10</f>
        <v>物业管理用房</v>
      </c>
      <c r="BP11" s="12" t="str">
        <f>AJ10</f>
        <v>物业管理用房</v>
      </c>
      <c r="BQ11" s="12" t="str">
        <f>AL10</f>
        <v>设备及其他</v>
      </c>
      <c r="BR11" s="12" t="str">
        <f>AN10</f>
        <v>设备及其他</v>
      </c>
      <c r="BS11" s="13" t="str">
        <f>AP10</f>
        <v>未注明</v>
      </c>
      <c r="BT11" s="1172" t="str">
        <f>AR10</f>
        <v>未注明</v>
      </c>
    </row>
    <row r="12" spans="1:72" s="1138" customFormat="1" ht="12.75">
      <c r="A12" s="1173"/>
      <c r="B12" s="1173"/>
      <c r="C12" s="1173"/>
      <c r="D12" s="1173"/>
      <c r="E12" s="1173"/>
      <c r="F12" s="1173"/>
      <c r="G12" s="18"/>
      <c r="H12" s="1174"/>
      <c r="I12" s="929" t="s">
        <v>1087</v>
      </c>
      <c r="J12" s="6" t="s">
        <v>1088</v>
      </c>
      <c r="K12" s="6" t="s">
        <v>1087</v>
      </c>
      <c r="L12" s="6" t="s">
        <v>1088</v>
      </c>
      <c r="M12" s="6" t="s">
        <v>1087</v>
      </c>
      <c r="N12" s="6" t="s">
        <v>1088</v>
      </c>
      <c r="O12" s="6" t="s">
        <v>1087</v>
      </c>
      <c r="P12" s="6" t="s">
        <v>1088</v>
      </c>
      <c r="Q12" s="6" t="s">
        <v>1087</v>
      </c>
      <c r="R12" s="6" t="s">
        <v>1088</v>
      </c>
      <c r="S12" s="6" t="s">
        <v>1087</v>
      </c>
      <c r="T12" s="6" t="s">
        <v>1088</v>
      </c>
      <c r="U12" s="6" t="s">
        <v>1087</v>
      </c>
      <c r="V12" s="927" t="s">
        <v>1088</v>
      </c>
      <c r="W12" s="6" t="s">
        <v>1087</v>
      </c>
      <c r="X12" s="6" t="s">
        <v>1088</v>
      </c>
      <c r="Y12" s="6" t="s">
        <v>1087</v>
      </c>
      <c r="Z12" s="6" t="s">
        <v>1088</v>
      </c>
      <c r="AA12" s="6" t="s">
        <v>1087</v>
      </c>
      <c r="AB12" s="6" t="s">
        <v>1088</v>
      </c>
      <c r="AC12" s="1175"/>
      <c r="AD12" s="929" t="s">
        <v>1087</v>
      </c>
      <c r="AE12" s="6" t="s">
        <v>1088</v>
      </c>
      <c r="AF12" s="6" t="s">
        <v>1087</v>
      </c>
      <c r="AG12" s="6" t="s">
        <v>1088</v>
      </c>
      <c r="AH12" s="6" t="s">
        <v>1087</v>
      </c>
      <c r="AI12" s="6" t="s">
        <v>1088</v>
      </c>
      <c r="AJ12" s="6" t="s">
        <v>1087</v>
      </c>
      <c r="AK12" s="6" t="s">
        <v>1088</v>
      </c>
      <c r="AL12" s="6" t="s">
        <v>1087</v>
      </c>
      <c r="AM12" s="6" t="s">
        <v>1088</v>
      </c>
      <c r="AN12" s="6" t="s">
        <v>1087</v>
      </c>
      <c r="AO12" s="6" t="s">
        <v>1088</v>
      </c>
      <c r="AP12" s="6" t="s">
        <v>1087</v>
      </c>
      <c r="AQ12" s="6" t="s">
        <v>1088</v>
      </c>
      <c r="AR12" s="18" t="s">
        <v>1087</v>
      </c>
      <c r="AS12" s="1173" t="s">
        <v>1088</v>
      </c>
      <c r="AT12" s="1176"/>
      <c r="AU12" s="1173"/>
      <c r="AV12" s="19"/>
      <c r="AW12" s="1136"/>
      <c r="AX12" s="19"/>
      <c r="AY12" s="1177"/>
      <c r="AZ12" s="16"/>
      <c r="BA12" s="1165"/>
      <c r="BB12" s="12">
        <f>I11</f>
        <v>0</v>
      </c>
      <c r="BC12" s="1178">
        <f>K11</f>
        <v>0</v>
      </c>
      <c r="BD12" s="1178">
        <f>M11</f>
        <v>0</v>
      </c>
      <c r="BE12" s="1153">
        <f>O11</f>
        <v>0</v>
      </c>
      <c r="BF12" s="1153">
        <f>Q11</f>
        <v>0</v>
      </c>
      <c r="BG12" s="1153">
        <f>S11</f>
        <v>0</v>
      </c>
      <c r="BH12" s="1153">
        <f>U11</f>
        <v>0</v>
      </c>
      <c r="BI12" s="1153">
        <f>W11</f>
        <v>0</v>
      </c>
      <c r="BJ12" s="1153">
        <f>Y11</f>
        <v>0</v>
      </c>
      <c r="BK12" s="1153">
        <f>AA11</f>
        <v>0</v>
      </c>
      <c r="BL12" s="730"/>
      <c r="BM12" s="937" t="str">
        <f>AD11</f>
        <v>（住宅）</v>
      </c>
      <c r="BN12" s="937" t="str">
        <f>AF11</f>
        <v>（住宅）</v>
      </c>
      <c r="BO12" s="12" t="str">
        <f>AH11</f>
        <v>（住宅、计出让金）</v>
      </c>
      <c r="BP12" s="12" t="str">
        <f>AJ11</f>
        <v>（住宅、计出让金）</v>
      </c>
      <c r="BQ12" s="12">
        <f>AL11</f>
        <v>0</v>
      </c>
      <c r="BR12" s="12">
        <f>AN11</f>
        <v>0</v>
      </c>
      <c r="BS12" s="13">
        <f>AP11</f>
        <v>0</v>
      </c>
      <c r="BT12" s="1172">
        <f>AR11</f>
        <v>0</v>
      </c>
    </row>
    <row r="13" spans="1:72" s="1138" customFormat="1" ht="12.75">
      <c r="A13" s="712"/>
      <c r="B13" s="712"/>
      <c r="C13" s="4214" t="s">
        <v>4016</v>
      </c>
      <c r="D13" s="1179" t="s">
        <v>4017</v>
      </c>
      <c r="E13" s="6">
        <f>IF($C$3="是",ROUND($A$3*G13/$B$3,2),ROUND($A$3*(G13-AT13)/$B$3,2))</f>
        <v>11304.33</v>
      </c>
      <c r="F13" s="597"/>
      <c r="G13" s="18">
        <f>H13+AC13+AT13</f>
        <v>39456.269999999997</v>
      </c>
      <c r="H13" s="11">
        <f>SUMIF(I$12:AB$12,"总值",I13:AB13)</f>
        <v>39456.269999999997</v>
      </c>
      <c r="I13" s="1131">
        <f>面积位置!O21</f>
        <v>39456.269999999997</v>
      </c>
      <c r="J13" s="1131"/>
      <c r="K13" s="1131"/>
      <c r="L13" s="1131"/>
      <c r="M13" s="1131"/>
      <c r="N13" s="1131"/>
      <c r="O13" s="1131"/>
      <c r="P13" s="1131"/>
      <c r="Q13" s="1131"/>
      <c r="R13" s="1131"/>
      <c r="S13" s="1131"/>
      <c r="T13" s="1131"/>
      <c r="U13" s="1131"/>
      <c r="V13" s="1131"/>
      <c r="W13" s="1131"/>
      <c r="X13" s="1131"/>
      <c r="Y13" s="1131"/>
      <c r="Z13" s="1131"/>
      <c r="AA13" s="1131"/>
      <c r="AB13" s="1131"/>
      <c r="AC13" s="6">
        <f>SUMIF(AD$12:AS$12,"总值",AD13:AS13)</f>
        <v>0</v>
      </c>
      <c r="AD13" s="712"/>
      <c r="AE13" s="712"/>
      <c r="AF13" s="712"/>
      <c r="AG13" s="712"/>
      <c r="AH13" s="712"/>
      <c r="AI13" s="712"/>
      <c r="AJ13" s="712"/>
      <c r="AK13" s="712"/>
      <c r="AL13" s="712"/>
      <c r="AM13" s="712"/>
      <c r="AN13" s="712"/>
      <c r="AO13" s="712"/>
      <c r="AP13" s="712"/>
      <c r="AQ13" s="712"/>
      <c r="AR13" s="712"/>
      <c r="AS13" s="712"/>
      <c r="AT13" s="597"/>
      <c r="AU13" s="1180"/>
      <c r="AV13" s="6">
        <f t="shared" ref="AV13:AX17" si="6">A13</f>
        <v>0</v>
      </c>
      <c r="AW13" s="6">
        <f t="shared" si="6"/>
        <v>0</v>
      </c>
      <c r="AX13" s="6" t="str">
        <f t="shared" si="6"/>
        <v>办公</v>
      </c>
      <c r="AY13" s="929">
        <f>ROUND($AY$6*AZ13/$AZ$5,2)</f>
        <v>11304.33</v>
      </c>
      <c r="AZ13" s="9">
        <f>BA13+BL13</f>
        <v>39456.269999999997</v>
      </c>
      <c r="BA13" s="9">
        <f>SUM(BB13:BK13)</f>
        <v>39456.269999999997</v>
      </c>
      <c r="BB13" s="9">
        <f>IF($D13="是",I13-J13,0)</f>
        <v>39456.269999999997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38" customFormat="1" ht="12.75">
      <c r="A14" s="712"/>
      <c r="B14" s="712"/>
      <c r="C14" s="4215" t="s">
        <v>4019</v>
      </c>
      <c r="D14" s="1179" t="s">
        <v>4017</v>
      </c>
      <c r="E14" s="6">
        <f>IF($C$3="是",ROUND($A$3*G14/$B$3,2),ROUND($A$3*(G14-AT14)/$B$3,2))</f>
        <v>3716.64</v>
      </c>
      <c r="F14" s="597"/>
      <c r="G14" s="18">
        <f>H14+AC14+AT14</f>
        <v>12972.44</v>
      </c>
      <c r="H14" s="11">
        <f>SUMIF(I$12:AB$12,"总值",I14:AB14)</f>
        <v>12972.44</v>
      </c>
      <c r="I14" s="1131"/>
      <c r="J14" s="1131"/>
      <c r="K14" s="1131">
        <f>面积位置!O22</f>
        <v>11357.59</v>
      </c>
      <c r="L14" s="1131"/>
      <c r="M14" s="1131">
        <f>面积位置!O23</f>
        <v>1614.85</v>
      </c>
      <c r="N14" s="1131"/>
      <c r="O14" s="1131"/>
      <c r="P14" s="1131"/>
      <c r="Q14" s="1131"/>
      <c r="R14" s="1131"/>
      <c r="S14" s="1131"/>
      <c r="T14" s="1131"/>
      <c r="U14" s="1131"/>
      <c r="V14" s="1131"/>
      <c r="W14" s="1131"/>
      <c r="X14" s="1131"/>
      <c r="Y14" s="1131"/>
      <c r="Z14" s="1131"/>
      <c r="AA14" s="1131"/>
      <c r="AB14" s="1131"/>
      <c r="AC14" s="6">
        <f>SUMIF(AD$12:AS$12,"总值",AD14:AS14)</f>
        <v>0</v>
      </c>
      <c r="AD14" s="712"/>
      <c r="AE14" s="712"/>
      <c r="AF14" s="712"/>
      <c r="AG14" s="712"/>
      <c r="AH14" s="712"/>
      <c r="AI14" s="712"/>
      <c r="AJ14" s="712"/>
      <c r="AK14" s="712"/>
      <c r="AL14" s="712"/>
      <c r="AM14" s="712"/>
      <c r="AN14" s="712"/>
      <c r="AO14" s="712"/>
      <c r="AP14" s="712"/>
      <c r="AQ14" s="712"/>
      <c r="AR14" s="712"/>
      <c r="AS14" s="712"/>
      <c r="AT14" s="597"/>
      <c r="AU14" s="1180"/>
      <c r="AV14" s="6">
        <f t="shared" si="6"/>
        <v>0</v>
      </c>
      <c r="AW14" s="6">
        <f t="shared" si="6"/>
        <v>0</v>
      </c>
      <c r="AX14" s="6" t="str">
        <f t="shared" si="6"/>
        <v>商业</v>
      </c>
      <c r="AY14" s="929">
        <f>ROUND($AY$6*AZ14/$AZ$5,2)</f>
        <v>3716.64</v>
      </c>
      <c r="AZ14" s="9">
        <f>BA14+BL14</f>
        <v>12972.44</v>
      </c>
      <c r="BA14" s="9">
        <f>SUM(BB14:BK14)</f>
        <v>12972.44</v>
      </c>
      <c r="BB14" s="9">
        <f>IF($D14="是",I14-J14,0)</f>
        <v>0</v>
      </c>
      <c r="BC14" s="9">
        <f>IF($D14="是",K14-L14,0)</f>
        <v>11357.59</v>
      </c>
      <c r="BD14" s="9">
        <f>IF($D14="是",M14-N14,0)</f>
        <v>1614.85</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38" customFormat="1" ht="12.75">
      <c r="A15" s="712"/>
      <c r="B15" s="712"/>
      <c r="C15" s="4215" t="s">
        <v>4020</v>
      </c>
      <c r="D15" s="1179" t="s">
        <v>4017</v>
      </c>
      <c r="E15" s="6">
        <f>IF($C$3="是",ROUND($A$3*G15/$B$3,2),ROUND($A$3*(G15-AT15)/$B$3,2))</f>
        <v>55.92</v>
      </c>
      <c r="F15" s="597"/>
      <c r="G15" s="18">
        <f>H15+AC15+AT15</f>
        <v>195.18</v>
      </c>
      <c r="H15" s="11">
        <f>SUMIF(I$12:AB$12,"总值",I15:AB15)</f>
        <v>195.18</v>
      </c>
      <c r="I15" s="1131"/>
      <c r="J15" s="1131"/>
      <c r="K15" s="1131"/>
      <c r="L15" s="1131"/>
      <c r="M15" s="1131"/>
      <c r="N15" s="1131"/>
      <c r="O15" s="1131">
        <f>面积位置!O24</f>
        <v>195.18</v>
      </c>
      <c r="P15" s="1131"/>
      <c r="Q15" s="1131"/>
      <c r="R15" s="1131"/>
      <c r="S15" s="1131"/>
      <c r="T15" s="1131"/>
      <c r="U15" s="1131"/>
      <c r="V15" s="1131"/>
      <c r="W15" s="1131"/>
      <c r="X15" s="1131"/>
      <c r="Y15" s="1131"/>
      <c r="Z15" s="1131"/>
      <c r="AA15" s="1131"/>
      <c r="AB15" s="1131"/>
      <c r="AC15" s="6">
        <f>SUMIF(AD$12:AS$12,"总值",AD15:AS15)</f>
        <v>0</v>
      </c>
      <c r="AD15" s="712"/>
      <c r="AE15" s="712"/>
      <c r="AF15" s="712"/>
      <c r="AG15" s="712"/>
      <c r="AH15" s="712"/>
      <c r="AI15" s="712"/>
      <c r="AJ15" s="712"/>
      <c r="AK15" s="712"/>
      <c r="AL15" s="712"/>
      <c r="AM15" s="712"/>
      <c r="AN15" s="712"/>
      <c r="AO15" s="712"/>
      <c r="AP15" s="712"/>
      <c r="AQ15" s="712"/>
      <c r="AR15" s="712"/>
      <c r="AS15" s="712"/>
      <c r="AT15" s="597"/>
      <c r="AU15" s="1180"/>
      <c r="AV15" s="6">
        <f t="shared" si="6"/>
        <v>0</v>
      </c>
      <c r="AW15" s="6">
        <f t="shared" si="6"/>
        <v>0</v>
      </c>
      <c r="AX15" s="6" t="str">
        <f t="shared" si="6"/>
        <v>地下仓储</v>
      </c>
      <c r="AY15" s="929">
        <f>ROUND($AY$6*AZ15/$AZ$5,2)</f>
        <v>55.92</v>
      </c>
      <c r="AZ15" s="9">
        <f>BA15+BL15</f>
        <v>195.18</v>
      </c>
      <c r="BA15" s="9">
        <f>SUM(BB15:BK15)</f>
        <v>195.18</v>
      </c>
      <c r="BB15" s="9">
        <f>IF($D15="是",I15-J15,0)</f>
        <v>0</v>
      </c>
      <c r="BC15" s="9">
        <f>IF($D15="是",K15-L15,0)</f>
        <v>0</v>
      </c>
      <c r="BD15" s="9">
        <f>IF($D15="是",M15-N15,0)</f>
        <v>0</v>
      </c>
      <c r="BE15" s="9">
        <f>IF($D15="是",O15-P15,0)</f>
        <v>195.18</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38" customFormat="1" ht="12.75">
      <c r="A16" s="712"/>
      <c r="B16" s="712"/>
      <c r="C16" s="4215" t="s">
        <v>4021</v>
      </c>
      <c r="D16" s="1179" t="s">
        <v>4017</v>
      </c>
      <c r="E16" s="6">
        <f>IF($C$3="是",ROUND($A$3*G16/$B$3,2),ROUND($A$3*(G16-AT16)/$B$3,2))</f>
        <v>1370.73</v>
      </c>
      <c r="F16" s="597"/>
      <c r="G16" s="18">
        <f>H16+AC16+AT16</f>
        <v>4784.37</v>
      </c>
      <c r="H16" s="11">
        <f>SUMIF(I$12:AB$12,"总值",I16:AB16)</f>
        <v>4784.37</v>
      </c>
      <c r="I16" s="1131"/>
      <c r="J16" s="1131"/>
      <c r="K16" s="1131"/>
      <c r="L16" s="1131"/>
      <c r="M16" s="1131"/>
      <c r="N16" s="1131"/>
      <c r="O16" s="1131"/>
      <c r="P16" s="1131"/>
      <c r="Q16" s="1131">
        <f>面积位置!O25</f>
        <v>4784.37</v>
      </c>
      <c r="R16" s="1131"/>
      <c r="S16" s="1131"/>
      <c r="T16" s="1131"/>
      <c r="U16" s="1131"/>
      <c r="V16" s="1131"/>
      <c r="W16" s="1131"/>
      <c r="X16" s="1131"/>
      <c r="Y16" s="1131"/>
      <c r="Z16" s="1131"/>
      <c r="AA16" s="1131"/>
      <c r="AB16" s="1131"/>
      <c r="AC16" s="6">
        <f>SUMIF(AD$12:AS$12,"总值",AD16:AS16)</f>
        <v>0</v>
      </c>
      <c r="AD16" s="712"/>
      <c r="AE16" s="712"/>
      <c r="AF16" s="712"/>
      <c r="AG16" s="712"/>
      <c r="AH16" s="712"/>
      <c r="AI16" s="712"/>
      <c r="AJ16" s="712"/>
      <c r="AK16" s="712"/>
      <c r="AL16" s="712"/>
      <c r="AM16" s="712"/>
      <c r="AN16" s="712"/>
      <c r="AO16" s="712"/>
      <c r="AP16" s="712"/>
      <c r="AQ16" s="712"/>
      <c r="AR16" s="712"/>
      <c r="AS16" s="712"/>
      <c r="AT16" s="597"/>
      <c r="AU16" s="1180"/>
      <c r="AV16" s="6">
        <f t="shared" si="6"/>
        <v>0</v>
      </c>
      <c r="AW16" s="6">
        <f t="shared" si="6"/>
        <v>0</v>
      </c>
      <c r="AX16" s="6" t="str">
        <f t="shared" si="6"/>
        <v>地下车库</v>
      </c>
      <c r="AY16" s="929">
        <f>ROUND($AY$6*AZ16/$AZ$5,2)</f>
        <v>1370.73</v>
      </c>
      <c r="AZ16" s="9">
        <f>BA16+BL16</f>
        <v>4784.37</v>
      </c>
      <c r="BA16" s="9">
        <f>SUM(BB16:BK16)</f>
        <v>4784.37</v>
      </c>
      <c r="BB16" s="9">
        <f>IF($D16="是",I16-J16,0)</f>
        <v>0</v>
      </c>
      <c r="BC16" s="9">
        <f>IF($D16="是",K16-L16,0)</f>
        <v>0</v>
      </c>
      <c r="BD16" s="9">
        <f>IF($D16="是",M16-N16,0)</f>
        <v>0</v>
      </c>
      <c r="BE16" s="9">
        <f>IF($D16="是",O16-P16,0)</f>
        <v>0</v>
      </c>
      <c r="BF16" s="9">
        <f>IF($D16="是",Q16-R16,0)</f>
        <v>4784.37</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38" customFormat="1" ht="12.75">
      <c r="A17" s="712"/>
      <c r="B17" s="712"/>
      <c r="C17" s="1131"/>
      <c r="D17" s="1179"/>
      <c r="E17" s="6">
        <f>IF($C$3="是",ROUND($A$3*G17/$B$3,2),ROUND($A$3*(G17-AT17)/$B$3,2))</f>
        <v>0</v>
      </c>
      <c r="F17" s="597"/>
      <c r="G17" s="18">
        <f>H17+AC17+AT17</f>
        <v>0</v>
      </c>
      <c r="H17" s="11">
        <f>SUMIF(I$12:AB$12,"总值",I17:AB17)</f>
        <v>0</v>
      </c>
      <c r="I17" s="1131"/>
      <c r="J17" s="1131"/>
      <c r="K17" s="1131"/>
      <c r="L17" s="1131"/>
      <c r="M17" s="1131"/>
      <c r="N17" s="1131"/>
      <c r="O17" s="1131"/>
      <c r="P17" s="1131"/>
      <c r="Q17" s="1131"/>
      <c r="R17" s="1131"/>
      <c r="S17" s="1131"/>
      <c r="T17" s="1131"/>
      <c r="U17" s="1131"/>
      <c r="V17" s="1131"/>
      <c r="W17" s="1131"/>
      <c r="X17" s="1131"/>
      <c r="Y17" s="1131"/>
      <c r="Z17" s="1131"/>
      <c r="AA17" s="1131"/>
      <c r="AB17" s="1131"/>
      <c r="AC17" s="6">
        <f>SUMIF(AD$12:AS$12,"总值",AD17:AS17)</f>
        <v>0</v>
      </c>
      <c r="AD17" s="712"/>
      <c r="AE17" s="712"/>
      <c r="AF17" s="712"/>
      <c r="AG17" s="712"/>
      <c r="AH17" s="712"/>
      <c r="AI17" s="712"/>
      <c r="AJ17" s="712"/>
      <c r="AK17" s="712"/>
      <c r="AL17" s="712"/>
      <c r="AM17" s="712"/>
      <c r="AN17" s="712"/>
      <c r="AO17" s="712"/>
      <c r="AP17" s="712"/>
      <c r="AQ17" s="712"/>
      <c r="AR17" s="712"/>
      <c r="AS17" s="712"/>
      <c r="AT17" s="597"/>
      <c r="AU17" s="1180"/>
      <c r="AV17" s="6">
        <f t="shared" si="6"/>
        <v>0</v>
      </c>
      <c r="AW17" s="6">
        <f t="shared" si="6"/>
        <v>0</v>
      </c>
      <c r="AX17" s="6">
        <f t="shared" si="6"/>
        <v>0</v>
      </c>
      <c r="AY17" s="929">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81"/>
      <c r="E18" s="389">
        <f t="shared" ref="E18:E112" si="7">IF($C$3="是",ROUND($A$3*G18/$B$3,2),ROUND($A$3*(G18-AT18)/$B$3,2))</f>
        <v>0</v>
      </c>
      <c r="F18" s="20"/>
      <c r="G18" s="3890">
        <f t="shared" ref="G18:G109" si="8">H18+AC18+AT18</f>
        <v>0</v>
      </c>
      <c r="H18" s="1282">
        <f t="shared" ref="H18:H109" si="9">SUMIF(I$12:AB$12,"总值",I18:AB18)</f>
        <v>0</v>
      </c>
      <c r="I18" s="3891"/>
      <c r="J18" s="3891"/>
      <c r="K18" s="3891"/>
      <c r="L18" s="3891"/>
      <c r="M18" s="3891"/>
      <c r="N18" s="3891"/>
      <c r="O18" s="3891"/>
      <c r="P18" s="3891"/>
      <c r="Q18" s="3891"/>
      <c r="R18" s="3891"/>
      <c r="S18" s="3891"/>
      <c r="T18" s="3891"/>
      <c r="U18" s="3891"/>
      <c r="V18" s="3891"/>
      <c r="W18" s="3891"/>
      <c r="X18" s="3891"/>
      <c r="Y18" s="3891"/>
      <c r="Z18" s="3891"/>
      <c r="AA18" s="3891"/>
      <c r="AB18" s="3891"/>
      <c r="AC18" s="389">
        <f t="shared" ref="AC18:AC109" si="10">SUMIF(AD$12:AS$12,"总值",AD18:AS18)</f>
        <v>0</v>
      </c>
      <c r="AD18" s="5"/>
      <c r="AE18" s="5"/>
      <c r="AF18" s="5"/>
      <c r="AG18" s="5"/>
      <c r="AH18" s="5"/>
      <c r="AI18" s="5"/>
      <c r="AJ18" s="5"/>
      <c r="AK18" s="5"/>
      <c r="AL18" s="5"/>
      <c r="AM18" s="5"/>
      <c r="AN18" s="5"/>
      <c r="AO18" s="5"/>
      <c r="AP18" s="5"/>
      <c r="AQ18" s="5"/>
      <c r="AR18" s="5"/>
      <c r="AS18" s="5"/>
      <c r="AT18" s="20"/>
      <c r="AU18" s="1182"/>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81"/>
      <c r="E19" s="389">
        <f t="shared" si="7"/>
        <v>0</v>
      </c>
      <c r="F19" s="20"/>
      <c r="G19" s="3890">
        <f t="shared" si="8"/>
        <v>0</v>
      </c>
      <c r="H19" s="1282">
        <f t="shared" si="9"/>
        <v>0</v>
      </c>
      <c r="I19" s="3891"/>
      <c r="J19" s="3891"/>
      <c r="K19" s="3891"/>
      <c r="L19" s="3891"/>
      <c r="M19" s="3891"/>
      <c r="N19" s="3891"/>
      <c r="O19" s="3891"/>
      <c r="P19" s="3891"/>
      <c r="Q19" s="3891"/>
      <c r="R19" s="3891"/>
      <c r="S19" s="3891"/>
      <c r="T19" s="3891"/>
      <c r="U19" s="3891"/>
      <c r="V19" s="3891"/>
      <c r="W19" s="3891"/>
      <c r="X19" s="3891"/>
      <c r="Y19" s="3891"/>
      <c r="Z19" s="3891"/>
      <c r="AA19" s="3891"/>
      <c r="AB19" s="3891"/>
      <c r="AC19" s="389">
        <f t="shared" si="10"/>
        <v>0</v>
      </c>
      <c r="AD19" s="5"/>
      <c r="AE19" s="5"/>
      <c r="AF19" s="5"/>
      <c r="AG19" s="5"/>
      <c r="AH19" s="5"/>
      <c r="AI19" s="5"/>
      <c r="AJ19" s="5"/>
      <c r="AK19" s="5"/>
      <c r="AL19" s="5"/>
      <c r="AM19" s="5"/>
      <c r="AN19" s="5"/>
      <c r="AO19" s="5"/>
      <c r="AP19" s="5"/>
      <c r="AQ19" s="5"/>
      <c r="AR19" s="5"/>
      <c r="AS19" s="5"/>
      <c r="AT19" s="20"/>
      <c r="AU19" s="1182"/>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81"/>
      <c r="E20" s="389">
        <f t="shared" si="7"/>
        <v>0</v>
      </c>
      <c r="F20" s="20"/>
      <c r="G20" s="3890">
        <f t="shared" si="8"/>
        <v>0</v>
      </c>
      <c r="H20" s="1282">
        <f t="shared" si="9"/>
        <v>0</v>
      </c>
      <c r="I20" s="3891"/>
      <c r="J20" s="3891"/>
      <c r="K20" s="3891"/>
      <c r="L20" s="3891"/>
      <c r="M20" s="3891"/>
      <c r="N20" s="3891"/>
      <c r="O20" s="3891"/>
      <c r="P20" s="3891"/>
      <c r="Q20" s="3891"/>
      <c r="R20" s="3891"/>
      <c r="S20" s="3891"/>
      <c r="T20" s="3891"/>
      <c r="U20" s="3891"/>
      <c r="V20" s="3891"/>
      <c r="W20" s="3891"/>
      <c r="X20" s="3891"/>
      <c r="Y20" s="3891"/>
      <c r="Z20" s="3891"/>
      <c r="AA20" s="3891"/>
      <c r="AB20" s="3891"/>
      <c r="AC20" s="389">
        <f t="shared" si="10"/>
        <v>0</v>
      </c>
      <c r="AD20" s="5"/>
      <c r="AE20" s="5"/>
      <c r="AF20" s="5"/>
      <c r="AG20" s="5"/>
      <c r="AH20" s="5"/>
      <c r="AI20" s="5"/>
      <c r="AJ20" s="5"/>
      <c r="AK20" s="5"/>
      <c r="AL20" s="5"/>
      <c r="AM20" s="5"/>
      <c r="AN20" s="5"/>
      <c r="AO20" s="5"/>
      <c r="AP20" s="5"/>
      <c r="AQ20" s="5"/>
      <c r="AR20" s="5"/>
      <c r="AS20" s="5"/>
      <c r="AT20" s="20"/>
      <c r="AU20" s="1182"/>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81"/>
      <c r="E21" s="389">
        <f t="shared" si="7"/>
        <v>0</v>
      </c>
      <c r="F21" s="20"/>
      <c r="G21" s="3890">
        <f t="shared" si="8"/>
        <v>0</v>
      </c>
      <c r="H21" s="1282">
        <f t="shared" si="9"/>
        <v>0</v>
      </c>
      <c r="I21" s="3891"/>
      <c r="J21" s="3891"/>
      <c r="K21" s="3891"/>
      <c r="L21" s="3891"/>
      <c r="M21" s="3891"/>
      <c r="N21" s="3891"/>
      <c r="O21" s="3891"/>
      <c r="P21" s="3891"/>
      <c r="Q21" s="3891"/>
      <c r="R21" s="3891"/>
      <c r="S21" s="3891"/>
      <c r="T21" s="3891"/>
      <c r="U21" s="3891"/>
      <c r="V21" s="3891"/>
      <c r="W21" s="3891"/>
      <c r="X21" s="3891"/>
      <c r="Y21" s="3891"/>
      <c r="Z21" s="3891"/>
      <c r="AA21" s="3891"/>
      <c r="AB21" s="3891"/>
      <c r="AC21" s="389">
        <f t="shared" si="10"/>
        <v>0</v>
      </c>
      <c r="AD21" s="5"/>
      <c r="AE21" s="5"/>
      <c r="AF21" s="5"/>
      <c r="AG21" s="5"/>
      <c r="AH21" s="5"/>
      <c r="AI21" s="5"/>
      <c r="AJ21" s="5"/>
      <c r="AK21" s="5"/>
      <c r="AL21" s="5"/>
      <c r="AM21" s="5"/>
      <c r="AN21" s="5"/>
      <c r="AO21" s="5"/>
      <c r="AP21" s="5"/>
      <c r="AQ21" s="5"/>
      <c r="AR21" s="5"/>
      <c r="AS21" s="5"/>
      <c r="AT21" s="20"/>
      <c r="AU21" s="1182"/>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81"/>
      <c r="E22" s="389">
        <f t="shared" si="7"/>
        <v>0</v>
      </c>
      <c r="F22" s="20"/>
      <c r="G22" s="3890">
        <f t="shared" si="8"/>
        <v>0</v>
      </c>
      <c r="H22" s="1282">
        <f t="shared" si="9"/>
        <v>0</v>
      </c>
      <c r="I22" s="3891"/>
      <c r="J22" s="3891"/>
      <c r="K22" s="3891"/>
      <c r="L22" s="3891"/>
      <c r="M22" s="3891"/>
      <c r="N22" s="3891"/>
      <c r="O22" s="3891"/>
      <c r="P22" s="3891"/>
      <c r="Q22" s="3891"/>
      <c r="R22" s="3891"/>
      <c r="S22" s="3891"/>
      <c r="T22" s="3891"/>
      <c r="U22" s="3891"/>
      <c r="V22" s="3891"/>
      <c r="W22" s="3891"/>
      <c r="X22" s="3891"/>
      <c r="Y22" s="3891"/>
      <c r="Z22" s="3891"/>
      <c r="AA22" s="3891"/>
      <c r="AB22" s="3891"/>
      <c r="AC22" s="389">
        <f t="shared" si="10"/>
        <v>0</v>
      </c>
      <c r="AD22" s="5"/>
      <c r="AE22" s="5"/>
      <c r="AF22" s="5"/>
      <c r="AG22" s="5"/>
      <c r="AH22" s="5"/>
      <c r="AI22" s="5"/>
      <c r="AJ22" s="5"/>
      <c r="AK22" s="5"/>
      <c r="AL22" s="5"/>
      <c r="AM22" s="5"/>
      <c r="AN22" s="5"/>
      <c r="AO22" s="5"/>
      <c r="AP22" s="5"/>
      <c r="AQ22" s="5"/>
      <c r="AR22" s="5"/>
      <c r="AS22" s="5"/>
      <c r="AT22" s="20"/>
      <c r="AU22" s="1182"/>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81"/>
      <c r="E23" s="389">
        <f t="shared" si="7"/>
        <v>0</v>
      </c>
      <c r="F23" s="20"/>
      <c r="G23" s="3890">
        <f t="shared" si="8"/>
        <v>0</v>
      </c>
      <c r="H23" s="1282">
        <f t="shared" si="9"/>
        <v>0</v>
      </c>
      <c r="I23" s="3891"/>
      <c r="J23" s="3891"/>
      <c r="K23" s="3891"/>
      <c r="L23" s="3891"/>
      <c r="M23" s="3891"/>
      <c r="N23" s="3891"/>
      <c r="O23" s="3891"/>
      <c r="P23" s="3891"/>
      <c r="Q23" s="3891"/>
      <c r="R23" s="3891"/>
      <c r="S23" s="3891"/>
      <c r="T23" s="3891"/>
      <c r="U23" s="3891"/>
      <c r="V23" s="3891"/>
      <c r="W23" s="3891"/>
      <c r="X23" s="3891"/>
      <c r="Y23" s="3891"/>
      <c r="Z23" s="3891"/>
      <c r="AA23" s="3891"/>
      <c r="AB23" s="3891"/>
      <c r="AC23" s="389">
        <f t="shared" si="10"/>
        <v>0</v>
      </c>
      <c r="AD23" s="5"/>
      <c r="AE23" s="5"/>
      <c r="AF23" s="5"/>
      <c r="AG23" s="5"/>
      <c r="AH23" s="5"/>
      <c r="AI23" s="5"/>
      <c r="AJ23" s="5"/>
      <c r="AK23" s="5"/>
      <c r="AL23" s="5"/>
      <c r="AM23" s="5"/>
      <c r="AN23" s="5"/>
      <c r="AO23" s="5"/>
      <c r="AP23" s="5"/>
      <c r="AQ23" s="5"/>
      <c r="AR23" s="5"/>
      <c r="AS23" s="5"/>
      <c r="AT23" s="20"/>
      <c r="AU23" s="1182"/>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81"/>
      <c r="E24" s="389">
        <f t="shared" si="7"/>
        <v>0</v>
      </c>
      <c r="F24" s="20"/>
      <c r="G24" s="3890">
        <f t="shared" si="8"/>
        <v>0</v>
      </c>
      <c r="H24" s="1282">
        <f t="shared" si="9"/>
        <v>0</v>
      </c>
      <c r="I24" s="3891"/>
      <c r="J24" s="3891"/>
      <c r="K24" s="3891"/>
      <c r="L24" s="3891"/>
      <c r="M24" s="3891"/>
      <c r="N24" s="3891"/>
      <c r="O24" s="3891"/>
      <c r="P24" s="3891"/>
      <c r="Q24" s="3891"/>
      <c r="R24" s="3891"/>
      <c r="S24" s="3891"/>
      <c r="T24" s="3891"/>
      <c r="U24" s="3891"/>
      <c r="V24" s="3891"/>
      <c r="W24" s="3891"/>
      <c r="X24" s="3891"/>
      <c r="Y24" s="3891"/>
      <c r="Z24" s="3891"/>
      <c r="AA24" s="3891"/>
      <c r="AB24" s="3891"/>
      <c r="AC24" s="389">
        <f t="shared" si="10"/>
        <v>0</v>
      </c>
      <c r="AD24" s="5"/>
      <c r="AE24" s="5"/>
      <c r="AF24" s="5"/>
      <c r="AG24" s="5"/>
      <c r="AH24" s="5"/>
      <c r="AI24" s="5"/>
      <c r="AJ24" s="5"/>
      <c r="AK24" s="5"/>
      <c r="AL24" s="5"/>
      <c r="AM24" s="5"/>
      <c r="AN24" s="5"/>
      <c r="AO24" s="5"/>
      <c r="AP24" s="5"/>
      <c r="AQ24" s="5"/>
      <c r="AR24" s="5"/>
      <c r="AS24" s="5"/>
      <c r="AT24" s="20"/>
      <c r="AU24" s="1182"/>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81"/>
      <c r="E25" s="389">
        <f t="shared" si="7"/>
        <v>0</v>
      </c>
      <c r="F25" s="20"/>
      <c r="G25" s="3890">
        <f t="shared" si="8"/>
        <v>0</v>
      </c>
      <c r="H25" s="1282">
        <f t="shared" si="9"/>
        <v>0</v>
      </c>
      <c r="I25" s="3891"/>
      <c r="J25" s="3891"/>
      <c r="K25" s="3891"/>
      <c r="L25" s="3891"/>
      <c r="M25" s="3891"/>
      <c r="N25" s="3891"/>
      <c r="O25" s="3891"/>
      <c r="P25" s="3891"/>
      <c r="Q25" s="3891"/>
      <c r="R25" s="3891"/>
      <c r="S25" s="3891"/>
      <c r="T25" s="3891"/>
      <c r="U25" s="3891"/>
      <c r="V25" s="3891"/>
      <c r="W25" s="3891"/>
      <c r="X25" s="3891"/>
      <c r="Y25" s="3891"/>
      <c r="Z25" s="3891"/>
      <c r="AA25" s="3891"/>
      <c r="AB25" s="3891"/>
      <c r="AC25" s="389">
        <f t="shared" si="10"/>
        <v>0</v>
      </c>
      <c r="AD25" s="5"/>
      <c r="AE25" s="5"/>
      <c r="AF25" s="5"/>
      <c r="AG25" s="5"/>
      <c r="AH25" s="5"/>
      <c r="AI25" s="5"/>
      <c r="AJ25" s="5"/>
      <c r="AK25" s="5"/>
      <c r="AL25" s="5"/>
      <c r="AM25" s="5"/>
      <c r="AN25" s="5"/>
      <c r="AO25" s="5"/>
      <c r="AP25" s="5"/>
      <c r="AQ25" s="5"/>
      <c r="AR25" s="5"/>
      <c r="AS25" s="5"/>
      <c r="AT25" s="20"/>
      <c r="AU25" s="1182"/>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81"/>
      <c r="E26" s="389">
        <f t="shared" si="7"/>
        <v>0</v>
      </c>
      <c r="F26" s="20"/>
      <c r="G26" s="3890">
        <f t="shared" si="8"/>
        <v>0</v>
      </c>
      <c r="H26" s="1282">
        <f t="shared" si="9"/>
        <v>0</v>
      </c>
      <c r="I26" s="3891"/>
      <c r="J26" s="3891"/>
      <c r="K26" s="3891"/>
      <c r="L26" s="3891"/>
      <c r="M26" s="3891"/>
      <c r="N26" s="3891"/>
      <c r="O26" s="3891"/>
      <c r="P26" s="3891"/>
      <c r="Q26" s="3891"/>
      <c r="R26" s="3891"/>
      <c r="S26" s="3891"/>
      <c r="T26" s="3891"/>
      <c r="U26" s="3891"/>
      <c r="V26" s="3891"/>
      <c r="W26" s="3891"/>
      <c r="X26" s="3891"/>
      <c r="Y26" s="3891"/>
      <c r="Z26" s="3891"/>
      <c r="AA26" s="3891"/>
      <c r="AB26" s="3891"/>
      <c r="AC26" s="389">
        <f t="shared" si="10"/>
        <v>0</v>
      </c>
      <c r="AD26" s="5"/>
      <c r="AE26" s="5"/>
      <c r="AF26" s="5"/>
      <c r="AG26" s="5"/>
      <c r="AH26" s="5"/>
      <c r="AI26" s="5"/>
      <c r="AJ26" s="5"/>
      <c r="AK26" s="5"/>
      <c r="AL26" s="5"/>
      <c r="AM26" s="5"/>
      <c r="AN26" s="5"/>
      <c r="AO26" s="5"/>
      <c r="AP26" s="5"/>
      <c r="AQ26" s="5"/>
      <c r="AR26" s="5"/>
      <c r="AS26" s="5"/>
      <c r="AT26" s="20"/>
      <c r="AU26" s="1182"/>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81"/>
      <c r="E27" s="389">
        <f t="shared" si="7"/>
        <v>0</v>
      </c>
      <c r="F27" s="20"/>
      <c r="G27" s="3890">
        <f t="shared" si="8"/>
        <v>0</v>
      </c>
      <c r="H27" s="1282">
        <f t="shared" si="9"/>
        <v>0</v>
      </c>
      <c r="I27" s="3891"/>
      <c r="J27" s="3891"/>
      <c r="K27" s="3891"/>
      <c r="L27" s="3891"/>
      <c r="M27" s="3891"/>
      <c r="N27" s="3891"/>
      <c r="O27" s="3891"/>
      <c r="P27" s="3891"/>
      <c r="Q27" s="3891"/>
      <c r="R27" s="3891"/>
      <c r="S27" s="3891"/>
      <c r="T27" s="3891"/>
      <c r="U27" s="3891"/>
      <c r="V27" s="3891"/>
      <c r="W27" s="3891"/>
      <c r="X27" s="3891"/>
      <c r="Y27" s="3891"/>
      <c r="Z27" s="3891"/>
      <c r="AA27" s="3891"/>
      <c r="AB27" s="3891"/>
      <c r="AC27" s="389">
        <f t="shared" si="10"/>
        <v>0</v>
      </c>
      <c r="AD27" s="5"/>
      <c r="AE27" s="5"/>
      <c r="AF27" s="5"/>
      <c r="AG27" s="5"/>
      <c r="AH27" s="5"/>
      <c r="AI27" s="5"/>
      <c r="AJ27" s="5"/>
      <c r="AK27" s="5"/>
      <c r="AL27" s="5"/>
      <c r="AM27" s="5"/>
      <c r="AN27" s="5"/>
      <c r="AO27" s="5"/>
      <c r="AP27" s="5"/>
      <c r="AQ27" s="5"/>
      <c r="AR27" s="5"/>
      <c r="AS27" s="5"/>
      <c r="AT27" s="20"/>
      <c r="AU27" s="1182"/>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81"/>
      <c r="E28" s="389">
        <f t="shared" si="7"/>
        <v>0</v>
      </c>
      <c r="F28" s="20"/>
      <c r="G28" s="3890">
        <f t="shared" si="8"/>
        <v>0</v>
      </c>
      <c r="H28" s="1282">
        <f t="shared" si="9"/>
        <v>0</v>
      </c>
      <c r="I28" s="3891"/>
      <c r="J28" s="3891"/>
      <c r="K28" s="3891"/>
      <c r="L28" s="3891"/>
      <c r="M28" s="3891"/>
      <c r="N28" s="3891"/>
      <c r="O28" s="3891"/>
      <c r="P28" s="3891"/>
      <c r="Q28" s="3891"/>
      <c r="R28" s="3891"/>
      <c r="S28" s="3891"/>
      <c r="T28" s="3891"/>
      <c r="U28" s="3891"/>
      <c r="V28" s="3891"/>
      <c r="W28" s="3891"/>
      <c r="X28" s="3891"/>
      <c r="Y28" s="3891"/>
      <c r="Z28" s="3891"/>
      <c r="AA28" s="3891"/>
      <c r="AB28" s="3891"/>
      <c r="AC28" s="389">
        <f t="shared" si="10"/>
        <v>0</v>
      </c>
      <c r="AD28" s="5"/>
      <c r="AE28" s="5"/>
      <c r="AF28" s="5"/>
      <c r="AG28" s="5"/>
      <c r="AH28" s="5"/>
      <c r="AI28" s="5"/>
      <c r="AJ28" s="5"/>
      <c r="AK28" s="5"/>
      <c r="AL28" s="5"/>
      <c r="AM28" s="5"/>
      <c r="AN28" s="5"/>
      <c r="AO28" s="5"/>
      <c r="AP28" s="5"/>
      <c r="AQ28" s="5"/>
      <c r="AR28" s="5"/>
      <c r="AS28" s="5"/>
      <c r="AT28" s="20"/>
      <c r="AU28" s="1182"/>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81"/>
      <c r="E29" s="389">
        <f t="shared" si="7"/>
        <v>0</v>
      </c>
      <c r="F29" s="20"/>
      <c r="G29" s="3890">
        <f t="shared" si="8"/>
        <v>0</v>
      </c>
      <c r="H29" s="1282">
        <f t="shared" si="9"/>
        <v>0</v>
      </c>
      <c r="I29" s="3891"/>
      <c r="J29" s="3891"/>
      <c r="K29" s="3891"/>
      <c r="L29" s="3891"/>
      <c r="M29" s="3891"/>
      <c r="N29" s="3891"/>
      <c r="O29" s="3891"/>
      <c r="P29" s="3891"/>
      <c r="Q29" s="3891"/>
      <c r="R29" s="3891"/>
      <c r="S29" s="3891"/>
      <c r="T29" s="3891"/>
      <c r="U29" s="3891"/>
      <c r="V29" s="3891"/>
      <c r="W29" s="3891"/>
      <c r="X29" s="3891"/>
      <c r="Y29" s="3891"/>
      <c r="Z29" s="3891"/>
      <c r="AA29" s="3891"/>
      <c r="AB29" s="3891"/>
      <c r="AC29" s="389">
        <f t="shared" si="10"/>
        <v>0</v>
      </c>
      <c r="AD29" s="5"/>
      <c r="AE29" s="5"/>
      <c r="AF29" s="5"/>
      <c r="AG29" s="5"/>
      <c r="AH29" s="5"/>
      <c r="AI29" s="5"/>
      <c r="AJ29" s="5"/>
      <c r="AK29" s="5"/>
      <c r="AL29" s="5"/>
      <c r="AM29" s="5"/>
      <c r="AN29" s="5"/>
      <c r="AO29" s="5"/>
      <c r="AP29" s="5"/>
      <c r="AQ29" s="5"/>
      <c r="AR29" s="5"/>
      <c r="AS29" s="5"/>
      <c r="AT29" s="20"/>
      <c r="AU29" s="1182"/>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81"/>
      <c r="E30" s="389">
        <f t="shared" si="7"/>
        <v>0</v>
      </c>
      <c r="F30" s="20"/>
      <c r="G30" s="3890">
        <f t="shared" si="8"/>
        <v>0</v>
      </c>
      <c r="H30" s="1282">
        <f t="shared" si="9"/>
        <v>0</v>
      </c>
      <c r="I30" s="3891"/>
      <c r="J30" s="3891"/>
      <c r="K30" s="3891"/>
      <c r="L30" s="3891"/>
      <c r="M30" s="3891"/>
      <c r="N30" s="3891"/>
      <c r="O30" s="3891"/>
      <c r="P30" s="3891"/>
      <c r="Q30" s="3891"/>
      <c r="R30" s="3891"/>
      <c r="S30" s="3891"/>
      <c r="T30" s="3891"/>
      <c r="U30" s="3891"/>
      <c r="V30" s="3891"/>
      <c r="W30" s="3891"/>
      <c r="X30" s="3891"/>
      <c r="Y30" s="3891"/>
      <c r="Z30" s="3891"/>
      <c r="AA30" s="3891"/>
      <c r="AB30" s="3891"/>
      <c r="AC30" s="389">
        <f t="shared" si="10"/>
        <v>0</v>
      </c>
      <c r="AD30" s="5"/>
      <c r="AE30" s="5"/>
      <c r="AF30" s="5"/>
      <c r="AG30" s="5"/>
      <c r="AH30" s="5"/>
      <c r="AI30" s="5"/>
      <c r="AJ30" s="5"/>
      <c r="AK30" s="5"/>
      <c r="AL30" s="5"/>
      <c r="AM30" s="5"/>
      <c r="AN30" s="5"/>
      <c r="AO30" s="5"/>
      <c r="AP30" s="5"/>
      <c r="AQ30" s="5"/>
      <c r="AR30" s="5"/>
      <c r="AS30" s="5"/>
      <c r="AT30" s="20"/>
      <c r="AU30" s="1182"/>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81"/>
      <c r="E31" s="389">
        <f t="shared" si="7"/>
        <v>0</v>
      </c>
      <c r="F31" s="20"/>
      <c r="G31" s="3890">
        <f t="shared" si="8"/>
        <v>0</v>
      </c>
      <c r="H31" s="1282">
        <f t="shared" si="9"/>
        <v>0</v>
      </c>
      <c r="I31" s="3891"/>
      <c r="J31" s="3891"/>
      <c r="K31" s="3891"/>
      <c r="L31" s="3891"/>
      <c r="M31" s="3891"/>
      <c r="N31" s="3891"/>
      <c r="O31" s="3891"/>
      <c r="P31" s="3891"/>
      <c r="Q31" s="3891"/>
      <c r="R31" s="3891"/>
      <c r="S31" s="3891"/>
      <c r="T31" s="3891"/>
      <c r="U31" s="3891"/>
      <c r="V31" s="3891"/>
      <c r="W31" s="3891"/>
      <c r="X31" s="3891"/>
      <c r="Y31" s="3891"/>
      <c r="Z31" s="3891"/>
      <c r="AA31" s="3891"/>
      <c r="AB31" s="3891"/>
      <c r="AC31" s="389">
        <f t="shared" si="10"/>
        <v>0</v>
      </c>
      <c r="AD31" s="5"/>
      <c r="AE31" s="5"/>
      <c r="AF31" s="5"/>
      <c r="AG31" s="5"/>
      <c r="AH31" s="5"/>
      <c r="AI31" s="5"/>
      <c r="AJ31" s="5"/>
      <c r="AK31" s="5"/>
      <c r="AL31" s="5"/>
      <c r="AM31" s="5"/>
      <c r="AN31" s="5"/>
      <c r="AO31" s="5"/>
      <c r="AP31" s="5"/>
      <c r="AQ31" s="5"/>
      <c r="AR31" s="5"/>
      <c r="AS31" s="5"/>
      <c r="AT31" s="20"/>
      <c r="AU31" s="1182"/>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81"/>
      <c r="E32" s="389">
        <f t="shared" si="7"/>
        <v>0</v>
      </c>
      <c r="F32" s="20"/>
      <c r="G32" s="3890">
        <f t="shared" si="8"/>
        <v>0</v>
      </c>
      <c r="H32" s="1282">
        <f t="shared" si="9"/>
        <v>0</v>
      </c>
      <c r="I32" s="3891"/>
      <c r="J32" s="3891"/>
      <c r="K32" s="3891"/>
      <c r="L32" s="3891"/>
      <c r="M32" s="3891"/>
      <c r="N32" s="3891"/>
      <c r="O32" s="3891"/>
      <c r="P32" s="3891"/>
      <c r="Q32" s="3891"/>
      <c r="R32" s="3891"/>
      <c r="S32" s="3891"/>
      <c r="T32" s="3891"/>
      <c r="U32" s="3891"/>
      <c r="V32" s="3891"/>
      <c r="W32" s="3891"/>
      <c r="X32" s="3891"/>
      <c r="Y32" s="3891"/>
      <c r="Z32" s="3891"/>
      <c r="AA32" s="3891"/>
      <c r="AB32" s="3891"/>
      <c r="AC32" s="389">
        <f t="shared" si="10"/>
        <v>0</v>
      </c>
      <c r="AD32" s="5"/>
      <c r="AE32" s="5"/>
      <c r="AF32" s="5"/>
      <c r="AG32" s="5"/>
      <c r="AH32" s="5"/>
      <c r="AI32" s="5"/>
      <c r="AJ32" s="5"/>
      <c r="AK32" s="5"/>
      <c r="AL32" s="5"/>
      <c r="AM32" s="5"/>
      <c r="AN32" s="5"/>
      <c r="AO32" s="5"/>
      <c r="AP32" s="5"/>
      <c r="AQ32" s="5"/>
      <c r="AR32" s="5"/>
      <c r="AS32" s="5"/>
      <c r="AT32" s="20"/>
      <c r="AU32" s="1182"/>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81"/>
      <c r="E33" s="389">
        <f t="shared" si="7"/>
        <v>0</v>
      </c>
      <c r="F33" s="20"/>
      <c r="G33" s="3890">
        <f t="shared" si="8"/>
        <v>0</v>
      </c>
      <c r="H33" s="1282">
        <f t="shared" si="9"/>
        <v>0</v>
      </c>
      <c r="I33" s="3891"/>
      <c r="J33" s="3891"/>
      <c r="K33" s="3891"/>
      <c r="L33" s="3891"/>
      <c r="M33" s="3891"/>
      <c r="N33" s="3891"/>
      <c r="O33" s="3891"/>
      <c r="P33" s="3891"/>
      <c r="Q33" s="3891"/>
      <c r="R33" s="3891"/>
      <c r="S33" s="3891"/>
      <c r="T33" s="3891"/>
      <c r="U33" s="3891"/>
      <c r="V33" s="3891"/>
      <c r="W33" s="3891"/>
      <c r="X33" s="3891"/>
      <c r="Y33" s="3891"/>
      <c r="Z33" s="3891"/>
      <c r="AA33" s="3891"/>
      <c r="AB33" s="3891"/>
      <c r="AC33" s="389">
        <f t="shared" si="10"/>
        <v>0</v>
      </c>
      <c r="AD33" s="5"/>
      <c r="AE33" s="5"/>
      <c r="AF33" s="5"/>
      <c r="AG33" s="5"/>
      <c r="AH33" s="5"/>
      <c r="AI33" s="5"/>
      <c r="AJ33" s="5"/>
      <c r="AK33" s="5"/>
      <c r="AL33" s="5"/>
      <c r="AM33" s="5"/>
      <c r="AN33" s="5"/>
      <c r="AO33" s="5"/>
      <c r="AP33" s="5"/>
      <c r="AQ33" s="5"/>
      <c r="AR33" s="5"/>
      <c r="AS33" s="5"/>
      <c r="AT33" s="20"/>
      <c r="AU33" s="1182"/>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81"/>
      <c r="E34" s="389">
        <f t="shared" si="7"/>
        <v>0</v>
      </c>
      <c r="F34" s="20"/>
      <c r="G34" s="3890">
        <f t="shared" si="8"/>
        <v>0</v>
      </c>
      <c r="H34" s="1282">
        <f t="shared" si="9"/>
        <v>0</v>
      </c>
      <c r="I34" s="3891"/>
      <c r="J34" s="3891"/>
      <c r="K34" s="3891"/>
      <c r="L34" s="3891"/>
      <c r="M34" s="3891"/>
      <c r="N34" s="3891"/>
      <c r="O34" s="3891"/>
      <c r="P34" s="3891"/>
      <c r="Q34" s="3891"/>
      <c r="R34" s="3891"/>
      <c r="S34" s="3891"/>
      <c r="T34" s="3891"/>
      <c r="U34" s="3891"/>
      <c r="V34" s="3891"/>
      <c r="W34" s="3891"/>
      <c r="X34" s="3891"/>
      <c r="Y34" s="3891"/>
      <c r="Z34" s="3891"/>
      <c r="AA34" s="3891"/>
      <c r="AB34" s="3891"/>
      <c r="AC34" s="389">
        <f t="shared" si="10"/>
        <v>0</v>
      </c>
      <c r="AD34" s="5"/>
      <c r="AE34" s="5"/>
      <c r="AF34" s="5"/>
      <c r="AG34" s="5"/>
      <c r="AH34" s="5"/>
      <c r="AI34" s="5"/>
      <c r="AJ34" s="5"/>
      <c r="AK34" s="5"/>
      <c r="AL34" s="5"/>
      <c r="AM34" s="5"/>
      <c r="AN34" s="5"/>
      <c r="AO34" s="5"/>
      <c r="AP34" s="5"/>
      <c r="AQ34" s="5"/>
      <c r="AR34" s="5"/>
      <c r="AS34" s="5"/>
      <c r="AT34" s="20"/>
      <c r="AU34" s="1182"/>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81"/>
      <c r="E35" s="389">
        <f t="shared" si="7"/>
        <v>0</v>
      </c>
      <c r="F35" s="20"/>
      <c r="G35" s="3890">
        <f t="shared" si="8"/>
        <v>0</v>
      </c>
      <c r="H35" s="1282">
        <f t="shared" si="9"/>
        <v>0</v>
      </c>
      <c r="I35" s="3891"/>
      <c r="J35" s="3891"/>
      <c r="K35" s="3891"/>
      <c r="L35" s="3891"/>
      <c r="M35" s="3891"/>
      <c r="N35" s="3891"/>
      <c r="O35" s="3891"/>
      <c r="P35" s="3891"/>
      <c r="Q35" s="3891"/>
      <c r="R35" s="3891"/>
      <c r="S35" s="3891"/>
      <c r="T35" s="3891"/>
      <c r="U35" s="3891"/>
      <c r="V35" s="3891"/>
      <c r="W35" s="3891"/>
      <c r="X35" s="3891"/>
      <c r="Y35" s="3891"/>
      <c r="Z35" s="3891"/>
      <c r="AA35" s="3891"/>
      <c r="AB35" s="3891"/>
      <c r="AC35" s="389">
        <f t="shared" si="10"/>
        <v>0</v>
      </c>
      <c r="AD35" s="5"/>
      <c r="AE35" s="5"/>
      <c r="AF35" s="5"/>
      <c r="AG35" s="5"/>
      <c r="AH35" s="5"/>
      <c r="AI35" s="5"/>
      <c r="AJ35" s="5"/>
      <c r="AK35" s="5"/>
      <c r="AL35" s="5"/>
      <c r="AM35" s="5"/>
      <c r="AN35" s="5"/>
      <c r="AO35" s="5"/>
      <c r="AP35" s="5"/>
      <c r="AQ35" s="5"/>
      <c r="AR35" s="5"/>
      <c r="AS35" s="5"/>
      <c r="AT35" s="20"/>
      <c r="AU35" s="1182"/>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81"/>
      <c r="E36" s="389">
        <f t="shared" si="7"/>
        <v>0</v>
      </c>
      <c r="F36" s="20"/>
      <c r="G36" s="3890">
        <f t="shared" si="8"/>
        <v>0</v>
      </c>
      <c r="H36" s="1282">
        <f t="shared" si="9"/>
        <v>0</v>
      </c>
      <c r="I36" s="3891"/>
      <c r="J36" s="3891"/>
      <c r="K36" s="3891"/>
      <c r="L36" s="3891"/>
      <c r="M36" s="3891"/>
      <c r="N36" s="3891"/>
      <c r="O36" s="3891"/>
      <c r="P36" s="3891"/>
      <c r="Q36" s="3891"/>
      <c r="R36" s="3891"/>
      <c r="S36" s="3891"/>
      <c r="T36" s="3891"/>
      <c r="U36" s="3891"/>
      <c r="V36" s="3891"/>
      <c r="W36" s="3891"/>
      <c r="X36" s="3891"/>
      <c r="Y36" s="3891"/>
      <c r="Z36" s="3891"/>
      <c r="AA36" s="3891"/>
      <c r="AB36" s="3891"/>
      <c r="AC36" s="389">
        <f t="shared" si="10"/>
        <v>0</v>
      </c>
      <c r="AD36" s="5"/>
      <c r="AE36" s="5"/>
      <c r="AF36" s="5"/>
      <c r="AG36" s="5"/>
      <c r="AH36" s="5"/>
      <c r="AI36" s="5"/>
      <c r="AJ36" s="5"/>
      <c r="AK36" s="5"/>
      <c r="AL36" s="5"/>
      <c r="AM36" s="5"/>
      <c r="AN36" s="5"/>
      <c r="AO36" s="5"/>
      <c r="AP36" s="5"/>
      <c r="AQ36" s="5"/>
      <c r="AR36" s="5"/>
      <c r="AS36" s="5"/>
      <c r="AT36" s="20"/>
      <c r="AU36" s="1182"/>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81"/>
      <c r="E37" s="389">
        <f t="shared" si="7"/>
        <v>0</v>
      </c>
      <c r="F37" s="20"/>
      <c r="G37" s="3890">
        <f t="shared" si="8"/>
        <v>0</v>
      </c>
      <c r="H37" s="1282">
        <f t="shared" si="9"/>
        <v>0</v>
      </c>
      <c r="I37" s="3891"/>
      <c r="J37" s="3891"/>
      <c r="K37" s="3891"/>
      <c r="L37" s="3891"/>
      <c r="M37" s="3891"/>
      <c r="N37" s="3891"/>
      <c r="O37" s="3891"/>
      <c r="P37" s="3891"/>
      <c r="Q37" s="3891"/>
      <c r="R37" s="3891"/>
      <c r="S37" s="3891"/>
      <c r="T37" s="3891"/>
      <c r="U37" s="3891"/>
      <c r="V37" s="3891"/>
      <c r="W37" s="3891"/>
      <c r="X37" s="3891"/>
      <c r="Y37" s="3891"/>
      <c r="Z37" s="3891"/>
      <c r="AA37" s="3891"/>
      <c r="AB37" s="3891"/>
      <c r="AC37" s="389">
        <f t="shared" si="10"/>
        <v>0</v>
      </c>
      <c r="AD37" s="5"/>
      <c r="AE37" s="5"/>
      <c r="AF37" s="5"/>
      <c r="AG37" s="5"/>
      <c r="AH37" s="5"/>
      <c r="AI37" s="5"/>
      <c r="AJ37" s="5"/>
      <c r="AK37" s="5"/>
      <c r="AL37" s="5"/>
      <c r="AM37" s="5"/>
      <c r="AN37" s="5"/>
      <c r="AO37" s="5"/>
      <c r="AP37" s="5"/>
      <c r="AQ37" s="5"/>
      <c r="AR37" s="5"/>
      <c r="AS37" s="5"/>
      <c r="AT37" s="20"/>
      <c r="AU37" s="1182"/>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81"/>
      <c r="E38" s="389">
        <f t="shared" si="7"/>
        <v>0</v>
      </c>
      <c r="F38" s="20"/>
      <c r="G38" s="3890">
        <f t="shared" si="8"/>
        <v>0</v>
      </c>
      <c r="H38" s="1282">
        <f t="shared" si="9"/>
        <v>0</v>
      </c>
      <c r="I38" s="3891"/>
      <c r="J38" s="3891"/>
      <c r="K38" s="3891"/>
      <c r="L38" s="3891"/>
      <c r="M38" s="3891"/>
      <c r="N38" s="3891"/>
      <c r="O38" s="3891"/>
      <c r="P38" s="3891"/>
      <c r="Q38" s="3891"/>
      <c r="R38" s="3891"/>
      <c r="S38" s="3891"/>
      <c r="T38" s="3891"/>
      <c r="U38" s="3891"/>
      <c r="V38" s="3891"/>
      <c r="W38" s="3891"/>
      <c r="X38" s="3891"/>
      <c r="Y38" s="3891"/>
      <c r="Z38" s="3891"/>
      <c r="AA38" s="3891"/>
      <c r="AB38" s="3891"/>
      <c r="AC38" s="389">
        <f t="shared" si="10"/>
        <v>0</v>
      </c>
      <c r="AD38" s="5"/>
      <c r="AE38" s="5"/>
      <c r="AF38" s="5"/>
      <c r="AG38" s="5"/>
      <c r="AH38" s="5"/>
      <c r="AI38" s="5"/>
      <c r="AJ38" s="5"/>
      <c r="AK38" s="5"/>
      <c r="AL38" s="5"/>
      <c r="AM38" s="5"/>
      <c r="AN38" s="5"/>
      <c r="AO38" s="5"/>
      <c r="AP38" s="5"/>
      <c r="AQ38" s="5"/>
      <c r="AR38" s="5"/>
      <c r="AS38" s="5"/>
      <c r="AT38" s="20"/>
      <c r="AU38" s="1182"/>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81"/>
      <c r="E39" s="389">
        <f t="shared" si="7"/>
        <v>0</v>
      </c>
      <c r="F39" s="20"/>
      <c r="G39" s="3890">
        <f t="shared" si="8"/>
        <v>0</v>
      </c>
      <c r="H39" s="1282">
        <f t="shared" si="9"/>
        <v>0</v>
      </c>
      <c r="I39" s="3891"/>
      <c r="J39" s="3891"/>
      <c r="K39" s="3891"/>
      <c r="L39" s="3891"/>
      <c r="M39" s="3891"/>
      <c r="N39" s="3891"/>
      <c r="O39" s="3891"/>
      <c r="P39" s="3891"/>
      <c r="Q39" s="3891"/>
      <c r="R39" s="3891"/>
      <c r="S39" s="3891"/>
      <c r="T39" s="3891"/>
      <c r="U39" s="3891"/>
      <c r="V39" s="3891"/>
      <c r="W39" s="3891"/>
      <c r="X39" s="3891"/>
      <c r="Y39" s="3891"/>
      <c r="Z39" s="3891"/>
      <c r="AA39" s="3891"/>
      <c r="AB39" s="3891"/>
      <c r="AC39" s="389">
        <f t="shared" si="10"/>
        <v>0</v>
      </c>
      <c r="AD39" s="5"/>
      <c r="AE39" s="5"/>
      <c r="AF39" s="5"/>
      <c r="AG39" s="5"/>
      <c r="AH39" s="5"/>
      <c r="AI39" s="5"/>
      <c r="AJ39" s="5"/>
      <c r="AK39" s="5"/>
      <c r="AL39" s="5"/>
      <c r="AM39" s="5"/>
      <c r="AN39" s="5"/>
      <c r="AO39" s="5"/>
      <c r="AP39" s="5"/>
      <c r="AQ39" s="5"/>
      <c r="AR39" s="5"/>
      <c r="AS39" s="5"/>
      <c r="AT39" s="20"/>
      <c r="AU39" s="1182"/>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81"/>
      <c r="E40" s="389">
        <f t="shared" si="7"/>
        <v>0</v>
      </c>
      <c r="F40" s="20"/>
      <c r="G40" s="3890">
        <f t="shared" si="8"/>
        <v>0</v>
      </c>
      <c r="H40" s="1282">
        <f t="shared" si="9"/>
        <v>0</v>
      </c>
      <c r="I40" s="3891"/>
      <c r="J40" s="3891"/>
      <c r="K40" s="3891"/>
      <c r="L40" s="3891"/>
      <c r="M40" s="3891"/>
      <c r="N40" s="3891"/>
      <c r="O40" s="3891"/>
      <c r="P40" s="3891"/>
      <c r="Q40" s="3891"/>
      <c r="R40" s="3891"/>
      <c r="S40" s="3891"/>
      <c r="T40" s="3891"/>
      <c r="U40" s="3891"/>
      <c r="V40" s="3891"/>
      <c r="W40" s="3891"/>
      <c r="X40" s="3891"/>
      <c r="Y40" s="3891"/>
      <c r="Z40" s="3891"/>
      <c r="AA40" s="3891"/>
      <c r="AB40" s="3891"/>
      <c r="AC40" s="389">
        <f t="shared" si="10"/>
        <v>0</v>
      </c>
      <c r="AD40" s="5"/>
      <c r="AE40" s="5"/>
      <c r="AF40" s="5"/>
      <c r="AG40" s="5"/>
      <c r="AH40" s="5"/>
      <c r="AI40" s="5"/>
      <c r="AJ40" s="5"/>
      <c r="AK40" s="5"/>
      <c r="AL40" s="5"/>
      <c r="AM40" s="5"/>
      <c r="AN40" s="5"/>
      <c r="AO40" s="5"/>
      <c r="AP40" s="5"/>
      <c r="AQ40" s="5"/>
      <c r="AR40" s="5"/>
      <c r="AS40" s="5"/>
      <c r="AT40" s="20"/>
      <c r="AU40" s="1182"/>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81"/>
      <c r="E41" s="389">
        <f t="shared" si="7"/>
        <v>0</v>
      </c>
      <c r="F41" s="20"/>
      <c r="G41" s="3890">
        <f t="shared" si="8"/>
        <v>0</v>
      </c>
      <c r="H41" s="1282">
        <f t="shared" si="9"/>
        <v>0</v>
      </c>
      <c r="I41" s="3891"/>
      <c r="J41" s="3891"/>
      <c r="K41" s="3891"/>
      <c r="L41" s="3891"/>
      <c r="M41" s="3891"/>
      <c r="N41" s="3891"/>
      <c r="O41" s="3891"/>
      <c r="P41" s="3891"/>
      <c r="Q41" s="3891"/>
      <c r="R41" s="3891"/>
      <c r="S41" s="3891"/>
      <c r="T41" s="3891"/>
      <c r="U41" s="3891"/>
      <c r="V41" s="3891"/>
      <c r="W41" s="3891"/>
      <c r="X41" s="3891"/>
      <c r="Y41" s="3891"/>
      <c r="Z41" s="3891"/>
      <c r="AA41" s="3891"/>
      <c r="AB41" s="3891"/>
      <c r="AC41" s="389">
        <f t="shared" si="10"/>
        <v>0</v>
      </c>
      <c r="AD41" s="5"/>
      <c r="AE41" s="5"/>
      <c r="AF41" s="5"/>
      <c r="AG41" s="5"/>
      <c r="AH41" s="5"/>
      <c r="AI41" s="5"/>
      <c r="AJ41" s="5"/>
      <c r="AK41" s="5"/>
      <c r="AL41" s="5"/>
      <c r="AM41" s="5"/>
      <c r="AN41" s="5"/>
      <c r="AO41" s="5"/>
      <c r="AP41" s="5"/>
      <c r="AQ41" s="5"/>
      <c r="AR41" s="5"/>
      <c r="AS41" s="5"/>
      <c r="AT41" s="20"/>
      <c r="AU41" s="1182"/>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81"/>
      <c r="E42" s="389">
        <f t="shared" si="7"/>
        <v>0</v>
      </c>
      <c r="F42" s="20"/>
      <c r="G42" s="3890">
        <f t="shared" si="8"/>
        <v>0</v>
      </c>
      <c r="H42" s="1282">
        <f t="shared" si="9"/>
        <v>0</v>
      </c>
      <c r="I42" s="3891"/>
      <c r="J42" s="3891"/>
      <c r="K42" s="3891"/>
      <c r="L42" s="3891"/>
      <c r="M42" s="3891"/>
      <c r="N42" s="3891"/>
      <c r="O42" s="3891"/>
      <c r="P42" s="3891"/>
      <c r="Q42" s="3891"/>
      <c r="R42" s="3891"/>
      <c r="S42" s="3891"/>
      <c r="T42" s="3891"/>
      <c r="U42" s="3891"/>
      <c r="V42" s="3891"/>
      <c r="W42" s="3891"/>
      <c r="X42" s="3891"/>
      <c r="Y42" s="3891"/>
      <c r="Z42" s="3891"/>
      <c r="AA42" s="3891"/>
      <c r="AB42" s="3891"/>
      <c r="AC42" s="389">
        <f t="shared" si="10"/>
        <v>0</v>
      </c>
      <c r="AD42" s="5"/>
      <c r="AE42" s="5"/>
      <c r="AF42" s="5"/>
      <c r="AG42" s="5"/>
      <c r="AH42" s="5"/>
      <c r="AI42" s="5"/>
      <c r="AJ42" s="5"/>
      <c r="AK42" s="5"/>
      <c r="AL42" s="5"/>
      <c r="AM42" s="5"/>
      <c r="AN42" s="5"/>
      <c r="AO42" s="5"/>
      <c r="AP42" s="5"/>
      <c r="AQ42" s="5"/>
      <c r="AR42" s="5"/>
      <c r="AS42" s="5"/>
      <c r="AT42" s="20"/>
      <c r="AU42" s="1182"/>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81"/>
      <c r="E43" s="389">
        <f t="shared" si="7"/>
        <v>0</v>
      </c>
      <c r="F43" s="20"/>
      <c r="G43" s="3890">
        <f t="shared" si="8"/>
        <v>0</v>
      </c>
      <c r="H43" s="1282">
        <f t="shared" si="9"/>
        <v>0</v>
      </c>
      <c r="I43" s="3891"/>
      <c r="J43" s="3891"/>
      <c r="K43" s="3891"/>
      <c r="L43" s="3891"/>
      <c r="M43" s="3891"/>
      <c r="N43" s="3891"/>
      <c r="O43" s="3891"/>
      <c r="P43" s="3891"/>
      <c r="Q43" s="3891"/>
      <c r="R43" s="3891"/>
      <c r="S43" s="3891"/>
      <c r="T43" s="3891"/>
      <c r="U43" s="3891"/>
      <c r="V43" s="3891"/>
      <c r="W43" s="3891"/>
      <c r="X43" s="3891"/>
      <c r="Y43" s="3891"/>
      <c r="Z43" s="3891"/>
      <c r="AA43" s="3891"/>
      <c r="AB43" s="3891"/>
      <c r="AC43" s="389">
        <f t="shared" si="10"/>
        <v>0</v>
      </c>
      <c r="AD43" s="5"/>
      <c r="AE43" s="5"/>
      <c r="AF43" s="5"/>
      <c r="AG43" s="5"/>
      <c r="AH43" s="5"/>
      <c r="AI43" s="5"/>
      <c r="AJ43" s="5"/>
      <c r="AK43" s="5"/>
      <c r="AL43" s="5"/>
      <c r="AM43" s="5"/>
      <c r="AN43" s="5"/>
      <c r="AO43" s="5"/>
      <c r="AP43" s="5"/>
      <c r="AQ43" s="5"/>
      <c r="AR43" s="5"/>
      <c r="AS43" s="5"/>
      <c r="AT43" s="20"/>
      <c r="AU43" s="1182"/>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81"/>
      <c r="E44" s="389">
        <f t="shared" si="7"/>
        <v>0</v>
      </c>
      <c r="F44" s="20"/>
      <c r="G44" s="3890">
        <f t="shared" si="8"/>
        <v>0</v>
      </c>
      <c r="H44" s="1282">
        <f t="shared" si="9"/>
        <v>0</v>
      </c>
      <c r="I44" s="3891"/>
      <c r="J44" s="3891"/>
      <c r="K44" s="3891"/>
      <c r="L44" s="3891"/>
      <c r="M44" s="3891"/>
      <c r="N44" s="3891"/>
      <c r="O44" s="3891"/>
      <c r="P44" s="3891"/>
      <c r="Q44" s="3891"/>
      <c r="R44" s="3891"/>
      <c r="S44" s="3891"/>
      <c r="T44" s="3891"/>
      <c r="U44" s="3891"/>
      <c r="V44" s="3891"/>
      <c r="W44" s="3891"/>
      <c r="X44" s="3891"/>
      <c r="Y44" s="3891"/>
      <c r="Z44" s="3891"/>
      <c r="AA44" s="3891"/>
      <c r="AB44" s="3891"/>
      <c r="AC44" s="389">
        <f t="shared" si="10"/>
        <v>0</v>
      </c>
      <c r="AD44" s="5"/>
      <c r="AE44" s="5"/>
      <c r="AF44" s="5"/>
      <c r="AG44" s="5"/>
      <c r="AH44" s="5"/>
      <c r="AI44" s="5"/>
      <c r="AJ44" s="5"/>
      <c r="AK44" s="5"/>
      <c r="AL44" s="5"/>
      <c r="AM44" s="5"/>
      <c r="AN44" s="5"/>
      <c r="AO44" s="5"/>
      <c r="AP44" s="5"/>
      <c r="AQ44" s="5"/>
      <c r="AR44" s="5"/>
      <c r="AS44" s="5"/>
      <c r="AT44" s="20"/>
      <c r="AU44" s="1182"/>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81"/>
      <c r="E45" s="389">
        <f t="shared" si="7"/>
        <v>0</v>
      </c>
      <c r="F45" s="20"/>
      <c r="G45" s="3890">
        <f t="shared" si="8"/>
        <v>0</v>
      </c>
      <c r="H45" s="1282">
        <f t="shared" si="9"/>
        <v>0</v>
      </c>
      <c r="I45" s="3891"/>
      <c r="J45" s="3891"/>
      <c r="K45" s="3891"/>
      <c r="L45" s="3891"/>
      <c r="M45" s="3891"/>
      <c r="N45" s="3891"/>
      <c r="O45" s="3891"/>
      <c r="P45" s="3891"/>
      <c r="Q45" s="3891"/>
      <c r="R45" s="3891"/>
      <c r="S45" s="3891"/>
      <c r="T45" s="3891"/>
      <c r="U45" s="3891"/>
      <c r="V45" s="3891"/>
      <c r="W45" s="3891"/>
      <c r="X45" s="3891"/>
      <c r="Y45" s="3891"/>
      <c r="Z45" s="3891"/>
      <c r="AA45" s="3891"/>
      <c r="AB45" s="3891"/>
      <c r="AC45" s="389">
        <f t="shared" si="10"/>
        <v>0</v>
      </c>
      <c r="AD45" s="5"/>
      <c r="AE45" s="5"/>
      <c r="AF45" s="5"/>
      <c r="AG45" s="5"/>
      <c r="AH45" s="5"/>
      <c r="AI45" s="5"/>
      <c r="AJ45" s="5"/>
      <c r="AK45" s="5"/>
      <c r="AL45" s="5"/>
      <c r="AM45" s="5"/>
      <c r="AN45" s="5"/>
      <c r="AO45" s="5"/>
      <c r="AP45" s="5"/>
      <c r="AQ45" s="5"/>
      <c r="AR45" s="5"/>
      <c r="AS45" s="5"/>
      <c r="AT45" s="20"/>
      <c r="AU45" s="1182"/>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81"/>
      <c r="E46" s="389">
        <f t="shared" si="7"/>
        <v>0</v>
      </c>
      <c r="F46" s="20"/>
      <c r="G46" s="3890">
        <f t="shared" si="8"/>
        <v>0</v>
      </c>
      <c r="H46" s="1282">
        <f t="shared" si="9"/>
        <v>0</v>
      </c>
      <c r="I46" s="3891"/>
      <c r="J46" s="3891"/>
      <c r="K46" s="3891"/>
      <c r="L46" s="3891"/>
      <c r="M46" s="3891"/>
      <c r="N46" s="3891"/>
      <c r="O46" s="3891"/>
      <c r="P46" s="3891"/>
      <c r="Q46" s="3891"/>
      <c r="R46" s="3891"/>
      <c r="S46" s="3891"/>
      <c r="T46" s="3891"/>
      <c r="U46" s="3891"/>
      <c r="V46" s="3891"/>
      <c r="W46" s="3891"/>
      <c r="X46" s="3891"/>
      <c r="Y46" s="3891"/>
      <c r="Z46" s="3891"/>
      <c r="AA46" s="3891"/>
      <c r="AB46" s="3891"/>
      <c r="AC46" s="389">
        <f t="shared" si="10"/>
        <v>0</v>
      </c>
      <c r="AD46" s="5"/>
      <c r="AE46" s="5"/>
      <c r="AF46" s="5"/>
      <c r="AG46" s="5"/>
      <c r="AH46" s="5"/>
      <c r="AI46" s="5"/>
      <c r="AJ46" s="5"/>
      <c r="AK46" s="5"/>
      <c r="AL46" s="5"/>
      <c r="AM46" s="5"/>
      <c r="AN46" s="5"/>
      <c r="AO46" s="5"/>
      <c r="AP46" s="5"/>
      <c r="AQ46" s="5"/>
      <c r="AR46" s="5"/>
      <c r="AS46" s="5"/>
      <c r="AT46" s="20"/>
      <c r="AU46" s="1182"/>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81"/>
      <c r="E47" s="389">
        <f t="shared" si="7"/>
        <v>0</v>
      </c>
      <c r="F47" s="20"/>
      <c r="G47" s="3890">
        <f t="shared" si="8"/>
        <v>0</v>
      </c>
      <c r="H47" s="1282">
        <f t="shared" si="9"/>
        <v>0</v>
      </c>
      <c r="I47" s="3891"/>
      <c r="J47" s="3891"/>
      <c r="K47" s="3891"/>
      <c r="L47" s="3891"/>
      <c r="M47" s="3891"/>
      <c r="N47" s="3891"/>
      <c r="O47" s="3891"/>
      <c r="P47" s="3891"/>
      <c r="Q47" s="3891"/>
      <c r="R47" s="3891"/>
      <c r="S47" s="3891"/>
      <c r="T47" s="3891"/>
      <c r="U47" s="3891"/>
      <c r="V47" s="3891"/>
      <c r="W47" s="3891"/>
      <c r="X47" s="3891"/>
      <c r="Y47" s="3891"/>
      <c r="Z47" s="3891"/>
      <c r="AA47" s="3891"/>
      <c r="AB47" s="3891"/>
      <c r="AC47" s="389">
        <f t="shared" si="10"/>
        <v>0</v>
      </c>
      <c r="AD47" s="5"/>
      <c r="AE47" s="5"/>
      <c r="AF47" s="5"/>
      <c r="AG47" s="5"/>
      <c r="AH47" s="5"/>
      <c r="AI47" s="5"/>
      <c r="AJ47" s="5"/>
      <c r="AK47" s="5"/>
      <c r="AL47" s="5"/>
      <c r="AM47" s="5"/>
      <c r="AN47" s="5"/>
      <c r="AO47" s="5"/>
      <c r="AP47" s="5"/>
      <c r="AQ47" s="5"/>
      <c r="AR47" s="5"/>
      <c r="AS47" s="5"/>
      <c r="AT47" s="20"/>
      <c r="AU47" s="1182"/>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81"/>
      <c r="E48" s="389">
        <f t="shared" si="7"/>
        <v>0</v>
      </c>
      <c r="F48" s="20"/>
      <c r="G48" s="3890">
        <f t="shared" si="8"/>
        <v>0</v>
      </c>
      <c r="H48" s="1282">
        <f t="shared" si="9"/>
        <v>0</v>
      </c>
      <c r="I48" s="3891"/>
      <c r="J48" s="3891"/>
      <c r="K48" s="3891"/>
      <c r="L48" s="3891"/>
      <c r="M48" s="3891"/>
      <c r="N48" s="3891"/>
      <c r="O48" s="3891"/>
      <c r="P48" s="3891"/>
      <c r="Q48" s="3891"/>
      <c r="R48" s="3891"/>
      <c r="S48" s="3891"/>
      <c r="T48" s="3891"/>
      <c r="U48" s="3891"/>
      <c r="V48" s="3891"/>
      <c r="W48" s="3891"/>
      <c r="X48" s="3891"/>
      <c r="Y48" s="3891"/>
      <c r="Z48" s="3891"/>
      <c r="AA48" s="3891"/>
      <c r="AB48" s="3891"/>
      <c r="AC48" s="389">
        <f t="shared" si="10"/>
        <v>0</v>
      </c>
      <c r="AD48" s="5"/>
      <c r="AE48" s="5"/>
      <c r="AF48" s="5"/>
      <c r="AG48" s="5"/>
      <c r="AH48" s="5"/>
      <c r="AI48" s="5"/>
      <c r="AJ48" s="5"/>
      <c r="AK48" s="5"/>
      <c r="AL48" s="5"/>
      <c r="AM48" s="5"/>
      <c r="AN48" s="5"/>
      <c r="AO48" s="5"/>
      <c r="AP48" s="5"/>
      <c r="AQ48" s="5"/>
      <c r="AR48" s="5"/>
      <c r="AS48" s="5"/>
      <c r="AT48" s="20"/>
      <c r="AU48" s="1182"/>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81"/>
      <c r="E49" s="389">
        <f t="shared" si="7"/>
        <v>0</v>
      </c>
      <c r="F49" s="20"/>
      <c r="G49" s="3890">
        <f t="shared" si="8"/>
        <v>0</v>
      </c>
      <c r="H49" s="1282">
        <f t="shared" si="9"/>
        <v>0</v>
      </c>
      <c r="I49" s="3891"/>
      <c r="J49" s="3891"/>
      <c r="K49" s="3891"/>
      <c r="L49" s="3891"/>
      <c r="M49" s="3891"/>
      <c r="N49" s="3891"/>
      <c r="O49" s="3891"/>
      <c r="P49" s="3891"/>
      <c r="Q49" s="3891"/>
      <c r="R49" s="3891"/>
      <c r="S49" s="3891"/>
      <c r="T49" s="3891"/>
      <c r="U49" s="3891"/>
      <c r="V49" s="3891"/>
      <c r="W49" s="3891"/>
      <c r="X49" s="3891"/>
      <c r="Y49" s="3891"/>
      <c r="Z49" s="3891"/>
      <c r="AA49" s="3891"/>
      <c r="AB49" s="3891"/>
      <c r="AC49" s="389">
        <f t="shared" si="10"/>
        <v>0</v>
      </c>
      <c r="AD49" s="5"/>
      <c r="AE49" s="5"/>
      <c r="AF49" s="5"/>
      <c r="AG49" s="5"/>
      <c r="AH49" s="5"/>
      <c r="AI49" s="5"/>
      <c r="AJ49" s="5"/>
      <c r="AK49" s="5"/>
      <c r="AL49" s="5"/>
      <c r="AM49" s="5"/>
      <c r="AN49" s="5"/>
      <c r="AO49" s="5"/>
      <c r="AP49" s="5"/>
      <c r="AQ49" s="5"/>
      <c r="AR49" s="5"/>
      <c r="AS49" s="5"/>
      <c r="AT49" s="20"/>
      <c r="AU49" s="1182"/>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81"/>
      <c r="E50" s="389">
        <f t="shared" si="7"/>
        <v>0</v>
      </c>
      <c r="F50" s="20"/>
      <c r="G50" s="3890">
        <f t="shared" si="8"/>
        <v>0</v>
      </c>
      <c r="H50" s="1282">
        <f t="shared" si="9"/>
        <v>0</v>
      </c>
      <c r="I50" s="3891"/>
      <c r="J50" s="3891"/>
      <c r="K50" s="3891"/>
      <c r="L50" s="3891"/>
      <c r="M50" s="3891"/>
      <c r="N50" s="3891"/>
      <c r="O50" s="3891"/>
      <c r="P50" s="3891"/>
      <c r="Q50" s="3891"/>
      <c r="R50" s="3891"/>
      <c r="S50" s="3891"/>
      <c r="T50" s="3891"/>
      <c r="U50" s="3891"/>
      <c r="V50" s="3891"/>
      <c r="W50" s="3891"/>
      <c r="X50" s="3891"/>
      <c r="Y50" s="3891"/>
      <c r="Z50" s="3891"/>
      <c r="AA50" s="3891"/>
      <c r="AB50" s="3891"/>
      <c r="AC50" s="389">
        <f t="shared" si="10"/>
        <v>0</v>
      </c>
      <c r="AD50" s="5"/>
      <c r="AE50" s="5"/>
      <c r="AF50" s="5"/>
      <c r="AG50" s="5"/>
      <c r="AH50" s="5"/>
      <c r="AI50" s="5"/>
      <c r="AJ50" s="5"/>
      <c r="AK50" s="5"/>
      <c r="AL50" s="5"/>
      <c r="AM50" s="5"/>
      <c r="AN50" s="5"/>
      <c r="AO50" s="5"/>
      <c r="AP50" s="5"/>
      <c r="AQ50" s="5"/>
      <c r="AR50" s="5"/>
      <c r="AS50" s="5"/>
      <c r="AT50" s="20"/>
      <c r="AU50" s="1182"/>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81"/>
      <c r="E51" s="389">
        <f t="shared" si="7"/>
        <v>0</v>
      </c>
      <c r="F51" s="20"/>
      <c r="G51" s="3890">
        <f t="shared" si="8"/>
        <v>0</v>
      </c>
      <c r="H51" s="1282">
        <f t="shared" si="9"/>
        <v>0</v>
      </c>
      <c r="I51" s="3891"/>
      <c r="J51" s="3891"/>
      <c r="K51" s="3891"/>
      <c r="L51" s="3891"/>
      <c r="M51" s="3891"/>
      <c r="N51" s="3891"/>
      <c r="O51" s="3891"/>
      <c r="P51" s="3891"/>
      <c r="Q51" s="3891"/>
      <c r="R51" s="3891"/>
      <c r="S51" s="3891"/>
      <c r="T51" s="3891"/>
      <c r="U51" s="3891"/>
      <c r="V51" s="3891"/>
      <c r="W51" s="3891"/>
      <c r="X51" s="3891"/>
      <c r="Y51" s="3891"/>
      <c r="Z51" s="3891"/>
      <c r="AA51" s="3891"/>
      <c r="AB51" s="3891"/>
      <c r="AC51" s="389">
        <f t="shared" si="10"/>
        <v>0</v>
      </c>
      <c r="AD51" s="5"/>
      <c r="AE51" s="5"/>
      <c r="AF51" s="5"/>
      <c r="AG51" s="5"/>
      <c r="AH51" s="5"/>
      <c r="AI51" s="5"/>
      <c r="AJ51" s="5"/>
      <c r="AK51" s="5"/>
      <c r="AL51" s="5"/>
      <c r="AM51" s="5"/>
      <c r="AN51" s="5"/>
      <c r="AO51" s="5"/>
      <c r="AP51" s="5"/>
      <c r="AQ51" s="5"/>
      <c r="AR51" s="5"/>
      <c r="AS51" s="5"/>
      <c r="AT51" s="20"/>
      <c r="AU51" s="1182"/>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81"/>
      <c r="E52" s="389">
        <f t="shared" si="7"/>
        <v>0</v>
      </c>
      <c r="F52" s="20"/>
      <c r="G52" s="3890">
        <f t="shared" si="8"/>
        <v>0</v>
      </c>
      <c r="H52" s="1282">
        <f t="shared" si="9"/>
        <v>0</v>
      </c>
      <c r="I52" s="3891"/>
      <c r="J52" s="3891"/>
      <c r="K52" s="3891"/>
      <c r="L52" s="3891"/>
      <c r="M52" s="3891"/>
      <c r="N52" s="3891"/>
      <c r="O52" s="3891"/>
      <c r="P52" s="3891"/>
      <c r="Q52" s="3891"/>
      <c r="R52" s="3891"/>
      <c r="S52" s="3891"/>
      <c r="T52" s="3891"/>
      <c r="U52" s="3891"/>
      <c r="V52" s="3891"/>
      <c r="W52" s="3891"/>
      <c r="X52" s="3891"/>
      <c r="Y52" s="3891"/>
      <c r="Z52" s="3891"/>
      <c r="AA52" s="3891"/>
      <c r="AB52" s="3891"/>
      <c r="AC52" s="389">
        <f t="shared" si="10"/>
        <v>0</v>
      </c>
      <c r="AD52" s="5"/>
      <c r="AE52" s="5"/>
      <c r="AF52" s="5"/>
      <c r="AG52" s="5"/>
      <c r="AH52" s="5"/>
      <c r="AI52" s="5"/>
      <c r="AJ52" s="5"/>
      <c r="AK52" s="5"/>
      <c r="AL52" s="5"/>
      <c r="AM52" s="5"/>
      <c r="AN52" s="5"/>
      <c r="AO52" s="5"/>
      <c r="AP52" s="5"/>
      <c r="AQ52" s="5"/>
      <c r="AR52" s="5"/>
      <c r="AS52" s="5"/>
      <c r="AT52" s="20"/>
      <c r="AU52" s="1182"/>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81"/>
      <c r="E53" s="389">
        <f t="shared" si="7"/>
        <v>0</v>
      </c>
      <c r="F53" s="20"/>
      <c r="G53" s="3890">
        <f t="shared" si="8"/>
        <v>0</v>
      </c>
      <c r="H53" s="1282">
        <f t="shared" si="9"/>
        <v>0</v>
      </c>
      <c r="I53" s="3891"/>
      <c r="J53" s="3891"/>
      <c r="K53" s="3891"/>
      <c r="L53" s="3891"/>
      <c r="M53" s="3891"/>
      <c r="N53" s="3891"/>
      <c r="O53" s="3891"/>
      <c r="P53" s="3891"/>
      <c r="Q53" s="3891"/>
      <c r="R53" s="3891"/>
      <c r="S53" s="3891"/>
      <c r="T53" s="3891"/>
      <c r="U53" s="3891"/>
      <c r="V53" s="3891"/>
      <c r="W53" s="3891"/>
      <c r="X53" s="3891"/>
      <c r="Y53" s="3891"/>
      <c r="Z53" s="3891"/>
      <c r="AA53" s="3891"/>
      <c r="AB53" s="3891"/>
      <c r="AC53" s="389">
        <f t="shared" si="10"/>
        <v>0</v>
      </c>
      <c r="AD53" s="5"/>
      <c r="AE53" s="5"/>
      <c r="AF53" s="5"/>
      <c r="AG53" s="5"/>
      <c r="AH53" s="5"/>
      <c r="AI53" s="5"/>
      <c r="AJ53" s="5"/>
      <c r="AK53" s="5"/>
      <c r="AL53" s="5"/>
      <c r="AM53" s="5"/>
      <c r="AN53" s="5"/>
      <c r="AO53" s="5"/>
      <c r="AP53" s="5"/>
      <c r="AQ53" s="5"/>
      <c r="AR53" s="5"/>
      <c r="AS53" s="5"/>
      <c r="AT53" s="20"/>
      <c r="AU53" s="1182"/>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81"/>
      <c r="E54" s="389">
        <f t="shared" si="7"/>
        <v>0</v>
      </c>
      <c r="F54" s="20"/>
      <c r="G54" s="3890">
        <f t="shared" si="8"/>
        <v>0</v>
      </c>
      <c r="H54" s="1282">
        <f t="shared" si="9"/>
        <v>0</v>
      </c>
      <c r="I54" s="3891"/>
      <c r="J54" s="3891"/>
      <c r="K54" s="3891"/>
      <c r="L54" s="3891"/>
      <c r="M54" s="3891"/>
      <c r="N54" s="3891"/>
      <c r="O54" s="3891"/>
      <c r="P54" s="3891"/>
      <c r="Q54" s="3891"/>
      <c r="R54" s="3891"/>
      <c r="S54" s="3891"/>
      <c r="T54" s="3891"/>
      <c r="U54" s="3891"/>
      <c r="V54" s="3891"/>
      <c r="W54" s="3891"/>
      <c r="X54" s="3891"/>
      <c r="Y54" s="3891"/>
      <c r="Z54" s="3891"/>
      <c r="AA54" s="3891"/>
      <c r="AB54" s="3891"/>
      <c r="AC54" s="389">
        <f t="shared" si="10"/>
        <v>0</v>
      </c>
      <c r="AD54" s="5"/>
      <c r="AE54" s="5"/>
      <c r="AF54" s="5"/>
      <c r="AG54" s="5"/>
      <c r="AH54" s="5"/>
      <c r="AI54" s="5"/>
      <c r="AJ54" s="5"/>
      <c r="AK54" s="5"/>
      <c r="AL54" s="5"/>
      <c r="AM54" s="5"/>
      <c r="AN54" s="5"/>
      <c r="AO54" s="5"/>
      <c r="AP54" s="5"/>
      <c r="AQ54" s="5"/>
      <c r="AR54" s="5"/>
      <c r="AS54" s="5"/>
      <c r="AT54" s="20"/>
      <c r="AU54" s="1182"/>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81"/>
      <c r="E55" s="389">
        <f t="shared" si="7"/>
        <v>0</v>
      </c>
      <c r="F55" s="20"/>
      <c r="G55" s="3890">
        <f t="shared" si="8"/>
        <v>0</v>
      </c>
      <c r="H55" s="1282">
        <f t="shared" si="9"/>
        <v>0</v>
      </c>
      <c r="I55" s="3891"/>
      <c r="J55" s="3891"/>
      <c r="K55" s="3891"/>
      <c r="L55" s="3891"/>
      <c r="M55" s="3891"/>
      <c r="N55" s="3891"/>
      <c r="O55" s="3891"/>
      <c r="P55" s="3891"/>
      <c r="Q55" s="3891"/>
      <c r="R55" s="3891"/>
      <c r="S55" s="3891"/>
      <c r="T55" s="3891"/>
      <c r="U55" s="3891"/>
      <c r="V55" s="3891"/>
      <c r="W55" s="3891"/>
      <c r="X55" s="3891"/>
      <c r="Y55" s="3891"/>
      <c r="Z55" s="3891"/>
      <c r="AA55" s="3891"/>
      <c r="AB55" s="3891"/>
      <c r="AC55" s="389">
        <f t="shared" si="10"/>
        <v>0</v>
      </c>
      <c r="AD55" s="5"/>
      <c r="AE55" s="5"/>
      <c r="AF55" s="5"/>
      <c r="AG55" s="5"/>
      <c r="AH55" s="5"/>
      <c r="AI55" s="5"/>
      <c r="AJ55" s="5"/>
      <c r="AK55" s="5"/>
      <c r="AL55" s="5"/>
      <c r="AM55" s="5"/>
      <c r="AN55" s="5"/>
      <c r="AO55" s="5"/>
      <c r="AP55" s="5"/>
      <c r="AQ55" s="5"/>
      <c r="AR55" s="5"/>
      <c r="AS55" s="5"/>
      <c r="AT55" s="20"/>
      <c r="AU55" s="1182"/>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81"/>
      <c r="E56" s="389">
        <f t="shared" si="7"/>
        <v>0</v>
      </c>
      <c r="F56" s="20"/>
      <c r="G56" s="3890">
        <f t="shared" si="8"/>
        <v>0</v>
      </c>
      <c r="H56" s="1282">
        <f t="shared" si="9"/>
        <v>0</v>
      </c>
      <c r="I56" s="3891"/>
      <c r="J56" s="3891"/>
      <c r="K56" s="3891"/>
      <c r="L56" s="3891"/>
      <c r="M56" s="3891"/>
      <c r="N56" s="3891"/>
      <c r="O56" s="3891"/>
      <c r="P56" s="3891"/>
      <c r="Q56" s="3891"/>
      <c r="R56" s="3891"/>
      <c r="S56" s="3891"/>
      <c r="T56" s="3891"/>
      <c r="U56" s="3891"/>
      <c r="V56" s="3891"/>
      <c r="W56" s="3891"/>
      <c r="X56" s="3891"/>
      <c r="Y56" s="3891"/>
      <c r="Z56" s="3891"/>
      <c r="AA56" s="3891"/>
      <c r="AB56" s="3891"/>
      <c r="AC56" s="389">
        <f t="shared" si="10"/>
        <v>0</v>
      </c>
      <c r="AD56" s="5"/>
      <c r="AE56" s="5"/>
      <c r="AF56" s="5"/>
      <c r="AG56" s="5"/>
      <c r="AH56" s="5"/>
      <c r="AI56" s="5"/>
      <c r="AJ56" s="5"/>
      <c r="AK56" s="5"/>
      <c r="AL56" s="5"/>
      <c r="AM56" s="5"/>
      <c r="AN56" s="5"/>
      <c r="AO56" s="5"/>
      <c r="AP56" s="5"/>
      <c r="AQ56" s="5"/>
      <c r="AR56" s="5"/>
      <c r="AS56" s="5"/>
      <c r="AT56" s="20"/>
      <c r="AU56" s="1182"/>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81"/>
      <c r="E57" s="389">
        <f t="shared" si="7"/>
        <v>0</v>
      </c>
      <c r="F57" s="20"/>
      <c r="G57" s="3890">
        <f t="shared" si="8"/>
        <v>0</v>
      </c>
      <c r="H57" s="1282">
        <f t="shared" si="9"/>
        <v>0</v>
      </c>
      <c r="I57" s="3891"/>
      <c r="J57" s="3891"/>
      <c r="K57" s="3891"/>
      <c r="L57" s="3891"/>
      <c r="M57" s="3891"/>
      <c r="N57" s="3891"/>
      <c r="O57" s="3891"/>
      <c r="P57" s="3891"/>
      <c r="Q57" s="3891"/>
      <c r="R57" s="3891"/>
      <c r="S57" s="3891"/>
      <c r="T57" s="3891"/>
      <c r="U57" s="3891"/>
      <c r="V57" s="3891"/>
      <c r="W57" s="3891"/>
      <c r="X57" s="3891"/>
      <c r="Y57" s="3891"/>
      <c r="Z57" s="3891"/>
      <c r="AA57" s="3891"/>
      <c r="AB57" s="3891"/>
      <c r="AC57" s="389">
        <f t="shared" si="10"/>
        <v>0</v>
      </c>
      <c r="AD57" s="5"/>
      <c r="AE57" s="5"/>
      <c r="AF57" s="5"/>
      <c r="AG57" s="5"/>
      <c r="AH57" s="5"/>
      <c r="AI57" s="5"/>
      <c r="AJ57" s="5"/>
      <c r="AK57" s="5"/>
      <c r="AL57" s="5"/>
      <c r="AM57" s="5"/>
      <c r="AN57" s="5"/>
      <c r="AO57" s="5"/>
      <c r="AP57" s="5"/>
      <c r="AQ57" s="5"/>
      <c r="AR57" s="5"/>
      <c r="AS57" s="5"/>
      <c r="AT57" s="20"/>
      <c r="AU57" s="1182"/>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81"/>
      <c r="E58" s="389">
        <f t="shared" si="7"/>
        <v>0</v>
      </c>
      <c r="F58" s="20"/>
      <c r="G58" s="3890">
        <f t="shared" si="8"/>
        <v>0</v>
      </c>
      <c r="H58" s="1282">
        <f t="shared" si="9"/>
        <v>0</v>
      </c>
      <c r="I58" s="3891"/>
      <c r="J58" s="3891"/>
      <c r="K58" s="3891"/>
      <c r="L58" s="3891"/>
      <c r="M58" s="3891"/>
      <c r="N58" s="3891"/>
      <c r="O58" s="3891"/>
      <c r="P58" s="3891"/>
      <c r="Q58" s="3891"/>
      <c r="R58" s="3891"/>
      <c r="S58" s="3891"/>
      <c r="T58" s="3891"/>
      <c r="U58" s="3891"/>
      <c r="V58" s="3891"/>
      <c r="W58" s="3891"/>
      <c r="X58" s="3891"/>
      <c r="Y58" s="3891"/>
      <c r="Z58" s="3891"/>
      <c r="AA58" s="3891"/>
      <c r="AB58" s="3891"/>
      <c r="AC58" s="389">
        <f t="shared" si="10"/>
        <v>0</v>
      </c>
      <c r="AD58" s="5"/>
      <c r="AE58" s="5"/>
      <c r="AF58" s="5"/>
      <c r="AG58" s="5"/>
      <c r="AH58" s="5"/>
      <c r="AI58" s="5"/>
      <c r="AJ58" s="5"/>
      <c r="AK58" s="5"/>
      <c r="AL58" s="5"/>
      <c r="AM58" s="5"/>
      <c r="AN58" s="5"/>
      <c r="AO58" s="5"/>
      <c r="AP58" s="5"/>
      <c r="AQ58" s="5"/>
      <c r="AR58" s="5"/>
      <c r="AS58" s="5"/>
      <c r="AT58" s="20"/>
      <c r="AU58" s="1182"/>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81"/>
      <c r="E59" s="389">
        <f t="shared" si="7"/>
        <v>0</v>
      </c>
      <c r="F59" s="20"/>
      <c r="G59" s="3890">
        <f t="shared" si="8"/>
        <v>0</v>
      </c>
      <c r="H59" s="1282">
        <f t="shared" si="9"/>
        <v>0</v>
      </c>
      <c r="I59" s="3891"/>
      <c r="J59" s="3891"/>
      <c r="K59" s="3891"/>
      <c r="L59" s="3891"/>
      <c r="M59" s="3891"/>
      <c r="N59" s="3891"/>
      <c r="O59" s="3891"/>
      <c r="P59" s="3891"/>
      <c r="Q59" s="3891"/>
      <c r="R59" s="3891"/>
      <c r="S59" s="3891"/>
      <c r="T59" s="3891"/>
      <c r="U59" s="3891"/>
      <c r="V59" s="3891"/>
      <c r="W59" s="3891"/>
      <c r="X59" s="3891"/>
      <c r="Y59" s="3891"/>
      <c r="Z59" s="3891"/>
      <c r="AA59" s="3891"/>
      <c r="AB59" s="3891"/>
      <c r="AC59" s="389">
        <f t="shared" si="10"/>
        <v>0</v>
      </c>
      <c r="AD59" s="5"/>
      <c r="AE59" s="5"/>
      <c r="AF59" s="5"/>
      <c r="AG59" s="5"/>
      <c r="AH59" s="5"/>
      <c r="AI59" s="5"/>
      <c r="AJ59" s="5"/>
      <c r="AK59" s="5"/>
      <c r="AL59" s="5"/>
      <c r="AM59" s="5"/>
      <c r="AN59" s="5"/>
      <c r="AO59" s="5"/>
      <c r="AP59" s="5"/>
      <c r="AQ59" s="5"/>
      <c r="AR59" s="5"/>
      <c r="AS59" s="5"/>
      <c r="AT59" s="20"/>
      <c r="AU59" s="1182"/>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81"/>
      <c r="E60" s="389">
        <f t="shared" si="7"/>
        <v>0</v>
      </c>
      <c r="F60" s="20"/>
      <c r="G60" s="3890">
        <f t="shared" si="8"/>
        <v>0</v>
      </c>
      <c r="H60" s="1282">
        <f t="shared" si="9"/>
        <v>0</v>
      </c>
      <c r="I60" s="3891"/>
      <c r="J60" s="3891"/>
      <c r="K60" s="3891"/>
      <c r="L60" s="3891"/>
      <c r="M60" s="3891"/>
      <c r="N60" s="3891"/>
      <c r="O60" s="3891"/>
      <c r="P60" s="3891"/>
      <c r="Q60" s="3891"/>
      <c r="R60" s="3891"/>
      <c r="S60" s="3891"/>
      <c r="T60" s="3891"/>
      <c r="U60" s="3891"/>
      <c r="V60" s="3891"/>
      <c r="W60" s="3891"/>
      <c r="X60" s="3891"/>
      <c r="Y60" s="3891"/>
      <c r="Z60" s="3891"/>
      <c r="AA60" s="3891"/>
      <c r="AB60" s="3891"/>
      <c r="AC60" s="389">
        <f t="shared" si="10"/>
        <v>0</v>
      </c>
      <c r="AD60" s="5"/>
      <c r="AE60" s="5"/>
      <c r="AF60" s="5"/>
      <c r="AG60" s="5"/>
      <c r="AH60" s="5"/>
      <c r="AI60" s="5"/>
      <c r="AJ60" s="5"/>
      <c r="AK60" s="5"/>
      <c r="AL60" s="5"/>
      <c r="AM60" s="5"/>
      <c r="AN60" s="5"/>
      <c r="AO60" s="5"/>
      <c r="AP60" s="5"/>
      <c r="AQ60" s="5"/>
      <c r="AR60" s="5"/>
      <c r="AS60" s="5"/>
      <c r="AT60" s="20"/>
      <c r="AU60" s="1182"/>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81"/>
      <c r="E61" s="389">
        <f t="shared" si="7"/>
        <v>0</v>
      </c>
      <c r="F61" s="20"/>
      <c r="G61" s="3890">
        <f t="shared" si="8"/>
        <v>0</v>
      </c>
      <c r="H61" s="1282">
        <f t="shared" si="9"/>
        <v>0</v>
      </c>
      <c r="I61" s="3891"/>
      <c r="J61" s="3891"/>
      <c r="K61" s="3891"/>
      <c r="L61" s="3891"/>
      <c r="M61" s="3891"/>
      <c r="N61" s="3891"/>
      <c r="O61" s="3891"/>
      <c r="P61" s="3891"/>
      <c r="Q61" s="3891"/>
      <c r="R61" s="3891"/>
      <c r="S61" s="3891"/>
      <c r="T61" s="3891"/>
      <c r="U61" s="3891"/>
      <c r="V61" s="3891"/>
      <c r="W61" s="3891"/>
      <c r="X61" s="3891"/>
      <c r="Y61" s="3891"/>
      <c r="Z61" s="3891"/>
      <c r="AA61" s="3891"/>
      <c r="AB61" s="3891"/>
      <c r="AC61" s="389">
        <f t="shared" si="10"/>
        <v>0</v>
      </c>
      <c r="AD61" s="5"/>
      <c r="AE61" s="5"/>
      <c r="AF61" s="5"/>
      <c r="AG61" s="5"/>
      <c r="AH61" s="5"/>
      <c r="AI61" s="5"/>
      <c r="AJ61" s="5"/>
      <c r="AK61" s="5"/>
      <c r="AL61" s="5"/>
      <c r="AM61" s="5"/>
      <c r="AN61" s="5"/>
      <c r="AO61" s="5"/>
      <c r="AP61" s="5"/>
      <c r="AQ61" s="5"/>
      <c r="AR61" s="5"/>
      <c r="AS61" s="5"/>
      <c r="AT61" s="20"/>
      <c r="AU61" s="1182"/>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81"/>
      <c r="E62" s="389">
        <f t="shared" si="7"/>
        <v>0</v>
      </c>
      <c r="F62" s="20"/>
      <c r="G62" s="3890">
        <f t="shared" si="8"/>
        <v>0</v>
      </c>
      <c r="H62" s="1282">
        <f t="shared" si="9"/>
        <v>0</v>
      </c>
      <c r="I62" s="3891"/>
      <c r="J62" s="3891"/>
      <c r="K62" s="3891"/>
      <c r="L62" s="3891"/>
      <c r="M62" s="3891"/>
      <c r="N62" s="3891"/>
      <c r="O62" s="3891"/>
      <c r="P62" s="3891"/>
      <c r="Q62" s="3891"/>
      <c r="R62" s="3891"/>
      <c r="S62" s="3891"/>
      <c r="T62" s="3891"/>
      <c r="U62" s="3891"/>
      <c r="V62" s="3891"/>
      <c r="W62" s="3891"/>
      <c r="X62" s="3891"/>
      <c r="Y62" s="3891"/>
      <c r="Z62" s="3891"/>
      <c r="AA62" s="3891"/>
      <c r="AB62" s="3891"/>
      <c r="AC62" s="389">
        <f t="shared" si="10"/>
        <v>0</v>
      </c>
      <c r="AD62" s="5"/>
      <c r="AE62" s="5"/>
      <c r="AF62" s="5"/>
      <c r="AG62" s="5"/>
      <c r="AH62" s="5"/>
      <c r="AI62" s="5"/>
      <c r="AJ62" s="5"/>
      <c r="AK62" s="5"/>
      <c r="AL62" s="5"/>
      <c r="AM62" s="5"/>
      <c r="AN62" s="5"/>
      <c r="AO62" s="5"/>
      <c r="AP62" s="5"/>
      <c r="AQ62" s="5"/>
      <c r="AR62" s="5"/>
      <c r="AS62" s="5"/>
      <c r="AT62" s="20"/>
      <c r="AU62" s="1182"/>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81"/>
      <c r="E63" s="389">
        <f t="shared" si="7"/>
        <v>0</v>
      </c>
      <c r="F63" s="20"/>
      <c r="G63" s="3890">
        <f t="shared" si="8"/>
        <v>0</v>
      </c>
      <c r="H63" s="1282">
        <f t="shared" si="9"/>
        <v>0</v>
      </c>
      <c r="I63" s="3891"/>
      <c r="J63" s="3891"/>
      <c r="K63" s="3891"/>
      <c r="L63" s="3891"/>
      <c r="M63" s="3891"/>
      <c r="N63" s="3891"/>
      <c r="O63" s="3891"/>
      <c r="P63" s="3891"/>
      <c r="Q63" s="3891"/>
      <c r="R63" s="3891"/>
      <c r="S63" s="3891"/>
      <c r="T63" s="3891"/>
      <c r="U63" s="3891"/>
      <c r="V63" s="3891"/>
      <c r="W63" s="3891"/>
      <c r="X63" s="3891"/>
      <c r="Y63" s="3891"/>
      <c r="Z63" s="3891"/>
      <c r="AA63" s="3891"/>
      <c r="AB63" s="3891"/>
      <c r="AC63" s="389">
        <f t="shared" si="10"/>
        <v>0</v>
      </c>
      <c r="AD63" s="5"/>
      <c r="AE63" s="5"/>
      <c r="AF63" s="5"/>
      <c r="AG63" s="5"/>
      <c r="AH63" s="5"/>
      <c r="AI63" s="5"/>
      <c r="AJ63" s="5"/>
      <c r="AK63" s="5"/>
      <c r="AL63" s="5"/>
      <c r="AM63" s="5"/>
      <c r="AN63" s="5"/>
      <c r="AO63" s="5"/>
      <c r="AP63" s="5"/>
      <c r="AQ63" s="5"/>
      <c r="AR63" s="5"/>
      <c r="AS63" s="5"/>
      <c r="AT63" s="20"/>
      <c r="AU63" s="1182"/>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81"/>
      <c r="E64" s="389">
        <f t="shared" si="7"/>
        <v>0</v>
      </c>
      <c r="F64" s="20"/>
      <c r="G64" s="3890">
        <f t="shared" si="8"/>
        <v>0</v>
      </c>
      <c r="H64" s="1282">
        <f t="shared" si="9"/>
        <v>0</v>
      </c>
      <c r="I64" s="3891"/>
      <c r="J64" s="3891"/>
      <c r="K64" s="3891"/>
      <c r="L64" s="3891"/>
      <c r="M64" s="3891"/>
      <c r="N64" s="3891"/>
      <c r="O64" s="3891"/>
      <c r="P64" s="3891"/>
      <c r="Q64" s="3891"/>
      <c r="R64" s="3891"/>
      <c r="S64" s="3891"/>
      <c r="T64" s="3891"/>
      <c r="U64" s="3891"/>
      <c r="V64" s="3891"/>
      <c r="W64" s="3891"/>
      <c r="X64" s="3891"/>
      <c r="Y64" s="3891"/>
      <c r="Z64" s="3891"/>
      <c r="AA64" s="3891"/>
      <c r="AB64" s="3891"/>
      <c r="AC64" s="389">
        <f t="shared" si="10"/>
        <v>0</v>
      </c>
      <c r="AD64" s="5"/>
      <c r="AE64" s="5"/>
      <c r="AF64" s="5"/>
      <c r="AG64" s="5"/>
      <c r="AH64" s="5"/>
      <c r="AI64" s="5"/>
      <c r="AJ64" s="5"/>
      <c r="AK64" s="5"/>
      <c r="AL64" s="5"/>
      <c r="AM64" s="5"/>
      <c r="AN64" s="5"/>
      <c r="AO64" s="5"/>
      <c r="AP64" s="5"/>
      <c r="AQ64" s="5"/>
      <c r="AR64" s="5"/>
      <c r="AS64" s="5"/>
      <c r="AT64" s="20"/>
      <c r="AU64" s="1182"/>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81"/>
      <c r="E65" s="389">
        <f t="shared" si="7"/>
        <v>0</v>
      </c>
      <c r="F65" s="20"/>
      <c r="G65" s="3890">
        <f t="shared" si="8"/>
        <v>0</v>
      </c>
      <c r="H65" s="1282">
        <f t="shared" si="9"/>
        <v>0</v>
      </c>
      <c r="I65" s="3891"/>
      <c r="J65" s="3891"/>
      <c r="K65" s="3891"/>
      <c r="L65" s="3891"/>
      <c r="M65" s="3891"/>
      <c r="N65" s="3891"/>
      <c r="O65" s="3891"/>
      <c r="P65" s="3891"/>
      <c r="Q65" s="3891"/>
      <c r="R65" s="3891"/>
      <c r="S65" s="3891"/>
      <c r="T65" s="3891"/>
      <c r="U65" s="3891"/>
      <c r="V65" s="3891"/>
      <c r="W65" s="3891"/>
      <c r="X65" s="3891"/>
      <c r="Y65" s="3891"/>
      <c r="Z65" s="3891"/>
      <c r="AA65" s="3891"/>
      <c r="AB65" s="3891"/>
      <c r="AC65" s="389">
        <f t="shared" si="10"/>
        <v>0</v>
      </c>
      <c r="AD65" s="5"/>
      <c r="AE65" s="5"/>
      <c r="AF65" s="5"/>
      <c r="AG65" s="5"/>
      <c r="AH65" s="5"/>
      <c r="AI65" s="5"/>
      <c r="AJ65" s="5"/>
      <c r="AK65" s="5"/>
      <c r="AL65" s="5"/>
      <c r="AM65" s="5"/>
      <c r="AN65" s="5"/>
      <c r="AO65" s="5"/>
      <c r="AP65" s="5"/>
      <c r="AQ65" s="5"/>
      <c r="AR65" s="5"/>
      <c r="AS65" s="5"/>
      <c r="AT65" s="20"/>
      <c r="AU65" s="1182"/>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81"/>
      <c r="E66" s="389">
        <f t="shared" si="7"/>
        <v>0</v>
      </c>
      <c r="F66" s="20"/>
      <c r="G66" s="3890">
        <f t="shared" si="8"/>
        <v>0</v>
      </c>
      <c r="H66" s="1282">
        <f t="shared" si="9"/>
        <v>0</v>
      </c>
      <c r="I66" s="3891"/>
      <c r="J66" s="3891"/>
      <c r="K66" s="3891"/>
      <c r="L66" s="3891"/>
      <c r="M66" s="3891"/>
      <c r="N66" s="3891"/>
      <c r="O66" s="3891"/>
      <c r="P66" s="3891"/>
      <c r="Q66" s="3891"/>
      <c r="R66" s="3891"/>
      <c r="S66" s="3891"/>
      <c r="T66" s="3891"/>
      <c r="U66" s="3891"/>
      <c r="V66" s="3891"/>
      <c r="W66" s="3891"/>
      <c r="X66" s="3891"/>
      <c r="Y66" s="3891"/>
      <c r="Z66" s="3891"/>
      <c r="AA66" s="3891"/>
      <c r="AB66" s="3891"/>
      <c r="AC66" s="389">
        <f t="shared" si="10"/>
        <v>0</v>
      </c>
      <c r="AD66" s="5"/>
      <c r="AE66" s="5"/>
      <c r="AF66" s="5"/>
      <c r="AG66" s="5"/>
      <c r="AH66" s="5"/>
      <c r="AI66" s="5"/>
      <c r="AJ66" s="5"/>
      <c r="AK66" s="5"/>
      <c r="AL66" s="5"/>
      <c r="AM66" s="5"/>
      <c r="AN66" s="5"/>
      <c r="AO66" s="5"/>
      <c r="AP66" s="5"/>
      <c r="AQ66" s="5"/>
      <c r="AR66" s="5"/>
      <c r="AS66" s="5"/>
      <c r="AT66" s="20"/>
      <c r="AU66" s="1182"/>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81"/>
      <c r="E67" s="389">
        <f t="shared" si="7"/>
        <v>0</v>
      </c>
      <c r="F67" s="20"/>
      <c r="G67" s="3890">
        <f t="shared" si="8"/>
        <v>0</v>
      </c>
      <c r="H67" s="1282">
        <f t="shared" si="9"/>
        <v>0</v>
      </c>
      <c r="I67" s="3891"/>
      <c r="J67" s="3891"/>
      <c r="K67" s="3891"/>
      <c r="L67" s="3891"/>
      <c r="M67" s="3891"/>
      <c r="N67" s="3891"/>
      <c r="O67" s="3891"/>
      <c r="P67" s="3891"/>
      <c r="Q67" s="3891"/>
      <c r="R67" s="3891"/>
      <c r="S67" s="3891"/>
      <c r="T67" s="3891"/>
      <c r="U67" s="3891"/>
      <c r="V67" s="3891"/>
      <c r="W67" s="3891"/>
      <c r="X67" s="3891"/>
      <c r="Y67" s="3891"/>
      <c r="Z67" s="3891"/>
      <c r="AA67" s="3891"/>
      <c r="AB67" s="3891"/>
      <c r="AC67" s="389">
        <f t="shared" si="10"/>
        <v>0</v>
      </c>
      <c r="AD67" s="5"/>
      <c r="AE67" s="5"/>
      <c r="AF67" s="5"/>
      <c r="AG67" s="5"/>
      <c r="AH67" s="5"/>
      <c r="AI67" s="5"/>
      <c r="AJ67" s="5"/>
      <c r="AK67" s="5"/>
      <c r="AL67" s="5"/>
      <c r="AM67" s="5"/>
      <c r="AN67" s="5"/>
      <c r="AO67" s="5"/>
      <c r="AP67" s="5"/>
      <c r="AQ67" s="5"/>
      <c r="AR67" s="5"/>
      <c r="AS67" s="5"/>
      <c r="AT67" s="20"/>
      <c r="AU67" s="1182"/>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81"/>
      <c r="E68" s="389">
        <f t="shared" si="7"/>
        <v>0</v>
      </c>
      <c r="F68" s="20"/>
      <c r="G68" s="3890">
        <f t="shared" si="8"/>
        <v>0</v>
      </c>
      <c r="H68" s="1282">
        <f t="shared" si="9"/>
        <v>0</v>
      </c>
      <c r="I68" s="3891"/>
      <c r="J68" s="3891"/>
      <c r="K68" s="3891"/>
      <c r="L68" s="3891"/>
      <c r="M68" s="3891"/>
      <c r="N68" s="3891"/>
      <c r="O68" s="3891"/>
      <c r="P68" s="3891"/>
      <c r="Q68" s="3891"/>
      <c r="R68" s="3891"/>
      <c r="S68" s="3891"/>
      <c r="T68" s="3891"/>
      <c r="U68" s="3891"/>
      <c r="V68" s="3891"/>
      <c r="W68" s="3891"/>
      <c r="X68" s="3891"/>
      <c r="Y68" s="3891"/>
      <c r="Z68" s="3891"/>
      <c r="AA68" s="3891"/>
      <c r="AB68" s="3891"/>
      <c r="AC68" s="389">
        <f t="shared" si="10"/>
        <v>0</v>
      </c>
      <c r="AD68" s="5"/>
      <c r="AE68" s="5"/>
      <c r="AF68" s="5"/>
      <c r="AG68" s="5"/>
      <c r="AH68" s="5"/>
      <c r="AI68" s="5"/>
      <c r="AJ68" s="5"/>
      <c r="AK68" s="5"/>
      <c r="AL68" s="5"/>
      <c r="AM68" s="5"/>
      <c r="AN68" s="5"/>
      <c r="AO68" s="5"/>
      <c r="AP68" s="5"/>
      <c r="AQ68" s="5"/>
      <c r="AR68" s="5"/>
      <c r="AS68" s="5"/>
      <c r="AT68" s="20"/>
      <c r="AU68" s="1182"/>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81"/>
      <c r="E69" s="389">
        <f t="shared" si="7"/>
        <v>0</v>
      </c>
      <c r="F69" s="20"/>
      <c r="G69" s="3890">
        <f t="shared" si="8"/>
        <v>0</v>
      </c>
      <c r="H69" s="1282">
        <f t="shared" si="9"/>
        <v>0</v>
      </c>
      <c r="I69" s="3891"/>
      <c r="J69" s="3891"/>
      <c r="K69" s="3891"/>
      <c r="L69" s="3891"/>
      <c r="M69" s="3891"/>
      <c r="N69" s="3891"/>
      <c r="O69" s="3891"/>
      <c r="P69" s="3891"/>
      <c r="Q69" s="3891"/>
      <c r="R69" s="3891"/>
      <c r="S69" s="3891"/>
      <c r="T69" s="3891"/>
      <c r="U69" s="3891"/>
      <c r="V69" s="3891"/>
      <c r="W69" s="3891"/>
      <c r="X69" s="3891"/>
      <c r="Y69" s="3891"/>
      <c r="Z69" s="3891"/>
      <c r="AA69" s="3891"/>
      <c r="AB69" s="3891"/>
      <c r="AC69" s="389">
        <f t="shared" si="10"/>
        <v>0</v>
      </c>
      <c r="AD69" s="5"/>
      <c r="AE69" s="5"/>
      <c r="AF69" s="5"/>
      <c r="AG69" s="5"/>
      <c r="AH69" s="5"/>
      <c r="AI69" s="5"/>
      <c r="AJ69" s="5"/>
      <c r="AK69" s="5"/>
      <c r="AL69" s="5"/>
      <c r="AM69" s="5"/>
      <c r="AN69" s="5"/>
      <c r="AO69" s="5"/>
      <c r="AP69" s="5"/>
      <c r="AQ69" s="5"/>
      <c r="AR69" s="5"/>
      <c r="AS69" s="5"/>
      <c r="AT69" s="20"/>
      <c r="AU69" s="1182"/>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81"/>
      <c r="E70" s="389">
        <f t="shared" si="7"/>
        <v>0</v>
      </c>
      <c r="F70" s="20"/>
      <c r="G70" s="3890">
        <f t="shared" si="8"/>
        <v>0</v>
      </c>
      <c r="H70" s="1282">
        <f t="shared" si="9"/>
        <v>0</v>
      </c>
      <c r="I70" s="3891"/>
      <c r="J70" s="3891"/>
      <c r="K70" s="3891"/>
      <c r="L70" s="3891"/>
      <c r="M70" s="3891"/>
      <c r="N70" s="3891"/>
      <c r="O70" s="3891"/>
      <c r="P70" s="3891"/>
      <c r="Q70" s="3891"/>
      <c r="R70" s="3891"/>
      <c r="S70" s="3891"/>
      <c r="T70" s="3891"/>
      <c r="U70" s="3891"/>
      <c r="V70" s="3891"/>
      <c r="W70" s="3891"/>
      <c r="X70" s="3891"/>
      <c r="Y70" s="3891"/>
      <c r="Z70" s="3891"/>
      <c r="AA70" s="3891"/>
      <c r="AB70" s="3891"/>
      <c r="AC70" s="389">
        <f t="shared" si="10"/>
        <v>0</v>
      </c>
      <c r="AD70" s="5"/>
      <c r="AE70" s="5"/>
      <c r="AF70" s="5"/>
      <c r="AG70" s="5"/>
      <c r="AH70" s="5"/>
      <c r="AI70" s="5"/>
      <c r="AJ70" s="5"/>
      <c r="AK70" s="5"/>
      <c r="AL70" s="5"/>
      <c r="AM70" s="5"/>
      <c r="AN70" s="5"/>
      <c r="AO70" s="5"/>
      <c r="AP70" s="5"/>
      <c r="AQ70" s="5"/>
      <c r="AR70" s="5"/>
      <c r="AS70" s="5"/>
      <c r="AT70" s="20"/>
      <c r="AU70" s="1182"/>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81"/>
      <c r="E71" s="389">
        <f t="shared" si="7"/>
        <v>0</v>
      </c>
      <c r="F71" s="20"/>
      <c r="G71" s="3890">
        <f t="shared" si="8"/>
        <v>0</v>
      </c>
      <c r="H71" s="1282">
        <f t="shared" si="9"/>
        <v>0</v>
      </c>
      <c r="I71" s="3891"/>
      <c r="J71" s="3891"/>
      <c r="K71" s="3891"/>
      <c r="L71" s="3891"/>
      <c r="M71" s="3891"/>
      <c r="N71" s="3891"/>
      <c r="O71" s="3891"/>
      <c r="P71" s="3891"/>
      <c r="Q71" s="3891"/>
      <c r="R71" s="3891"/>
      <c r="S71" s="3891"/>
      <c r="T71" s="3891"/>
      <c r="U71" s="3891"/>
      <c r="V71" s="3891"/>
      <c r="W71" s="3891"/>
      <c r="X71" s="3891"/>
      <c r="Y71" s="3891"/>
      <c r="Z71" s="3891"/>
      <c r="AA71" s="3891"/>
      <c r="AB71" s="3891"/>
      <c r="AC71" s="389">
        <f t="shared" si="10"/>
        <v>0</v>
      </c>
      <c r="AD71" s="5"/>
      <c r="AE71" s="5"/>
      <c r="AF71" s="5"/>
      <c r="AG71" s="5"/>
      <c r="AH71" s="5"/>
      <c r="AI71" s="5"/>
      <c r="AJ71" s="5"/>
      <c r="AK71" s="5"/>
      <c r="AL71" s="5"/>
      <c r="AM71" s="5"/>
      <c r="AN71" s="5"/>
      <c r="AO71" s="5"/>
      <c r="AP71" s="5"/>
      <c r="AQ71" s="5"/>
      <c r="AR71" s="5"/>
      <c r="AS71" s="5"/>
      <c r="AT71" s="20"/>
      <c r="AU71" s="1182"/>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81"/>
      <c r="E72" s="389">
        <f t="shared" si="7"/>
        <v>0</v>
      </c>
      <c r="F72" s="20"/>
      <c r="G72" s="3890">
        <f t="shared" si="8"/>
        <v>0</v>
      </c>
      <c r="H72" s="1282">
        <f t="shared" si="9"/>
        <v>0</v>
      </c>
      <c r="I72" s="3891"/>
      <c r="J72" s="3891"/>
      <c r="K72" s="3891"/>
      <c r="L72" s="3891"/>
      <c r="M72" s="3891"/>
      <c r="N72" s="3891"/>
      <c r="O72" s="3891"/>
      <c r="P72" s="3891"/>
      <c r="Q72" s="3891"/>
      <c r="R72" s="3891"/>
      <c r="S72" s="3891"/>
      <c r="T72" s="3891"/>
      <c r="U72" s="3891"/>
      <c r="V72" s="3891"/>
      <c r="W72" s="3891"/>
      <c r="X72" s="3891"/>
      <c r="Y72" s="3891"/>
      <c r="Z72" s="3891"/>
      <c r="AA72" s="3891"/>
      <c r="AB72" s="3891"/>
      <c r="AC72" s="389">
        <f t="shared" si="10"/>
        <v>0</v>
      </c>
      <c r="AD72" s="5"/>
      <c r="AE72" s="5"/>
      <c r="AF72" s="5"/>
      <c r="AG72" s="5"/>
      <c r="AH72" s="5"/>
      <c r="AI72" s="5"/>
      <c r="AJ72" s="5"/>
      <c r="AK72" s="5"/>
      <c r="AL72" s="5"/>
      <c r="AM72" s="5"/>
      <c r="AN72" s="5"/>
      <c r="AO72" s="5"/>
      <c r="AP72" s="5"/>
      <c r="AQ72" s="5"/>
      <c r="AR72" s="5"/>
      <c r="AS72" s="5"/>
      <c r="AT72" s="20"/>
      <c r="AU72" s="1182"/>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81"/>
      <c r="E73" s="389">
        <f t="shared" si="7"/>
        <v>0</v>
      </c>
      <c r="F73" s="20"/>
      <c r="G73" s="3890">
        <f t="shared" si="8"/>
        <v>0</v>
      </c>
      <c r="H73" s="1282">
        <f t="shared" si="9"/>
        <v>0</v>
      </c>
      <c r="I73" s="3891"/>
      <c r="J73" s="3891"/>
      <c r="K73" s="3891"/>
      <c r="L73" s="3891"/>
      <c r="M73" s="3891"/>
      <c r="N73" s="3891"/>
      <c r="O73" s="3891"/>
      <c r="P73" s="3891"/>
      <c r="Q73" s="3891"/>
      <c r="R73" s="3891"/>
      <c r="S73" s="3891"/>
      <c r="T73" s="3891"/>
      <c r="U73" s="3891"/>
      <c r="V73" s="3891"/>
      <c r="W73" s="3891"/>
      <c r="X73" s="3891"/>
      <c r="Y73" s="3891"/>
      <c r="Z73" s="3891"/>
      <c r="AA73" s="3891"/>
      <c r="AB73" s="3891"/>
      <c r="AC73" s="389">
        <f t="shared" si="10"/>
        <v>0</v>
      </c>
      <c r="AD73" s="5"/>
      <c r="AE73" s="5"/>
      <c r="AF73" s="5"/>
      <c r="AG73" s="5"/>
      <c r="AH73" s="5"/>
      <c r="AI73" s="5"/>
      <c r="AJ73" s="5"/>
      <c r="AK73" s="5"/>
      <c r="AL73" s="5"/>
      <c r="AM73" s="5"/>
      <c r="AN73" s="5"/>
      <c r="AO73" s="5"/>
      <c r="AP73" s="5"/>
      <c r="AQ73" s="5"/>
      <c r="AR73" s="5"/>
      <c r="AS73" s="5"/>
      <c r="AT73" s="20"/>
      <c r="AU73" s="1182"/>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81"/>
      <c r="E74" s="389">
        <f t="shared" si="7"/>
        <v>0</v>
      </c>
      <c r="F74" s="20"/>
      <c r="G74" s="3890">
        <f t="shared" si="8"/>
        <v>0</v>
      </c>
      <c r="H74" s="1282">
        <f t="shared" si="9"/>
        <v>0</v>
      </c>
      <c r="I74" s="3891"/>
      <c r="J74" s="3891"/>
      <c r="K74" s="3891"/>
      <c r="L74" s="3891"/>
      <c r="M74" s="3891"/>
      <c r="N74" s="3891"/>
      <c r="O74" s="3891"/>
      <c r="P74" s="3891"/>
      <c r="Q74" s="3891"/>
      <c r="R74" s="3891"/>
      <c r="S74" s="3891"/>
      <c r="T74" s="3891"/>
      <c r="U74" s="3891"/>
      <c r="V74" s="3891"/>
      <c r="W74" s="3891"/>
      <c r="X74" s="3891"/>
      <c r="Y74" s="3891"/>
      <c r="Z74" s="3891"/>
      <c r="AA74" s="3891"/>
      <c r="AB74" s="3891"/>
      <c r="AC74" s="389">
        <f t="shared" si="10"/>
        <v>0</v>
      </c>
      <c r="AD74" s="5"/>
      <c r="AE74" s="5"/>
      <c r="AF74" s="5"/>
      <c r="AG74" s="5"/>
      <c r="AH74" s="5"/>
      <c r="AI74" s="5"/>
      <c r="AJ74" s="5"/>
      <c r="AK74" s="5"/>
      <c r="AL74" s="5"/>
      <c r="AM74" s="5"/>
      <c r="AN74" s="5"/>
      <c r="AO74" s="5"/>
      <c r="AP74" s="5"/>
      <c r="AQ74" s="5"/>
      <c r="AR74" s="5"/>
      <c r="AS74" s="5"/>
      <c r="AT74" s="20"/>
      <c r="AU74" s="1182"/>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81"/>
      <c r="E75" s="389">
        <f t="shared" si="7"/>
        <v>0</v>
      </c>
      <c r="F75" s="20"/>
      <c r="G75" s="3890">
        <f t="shared" si="8"/>
        <v>0</v>
      </c>
      <c r="H75" s="1282">
        <f t="shared" si="9"/>
        <v>0</v>
      </c>
      <c r="I75" s="3891"/>
      <c r="J75" s="3891"/>
      <c r="K75" s="3891"/>
      <c r="L75" s="3891"/>
      <c r="M75" s="3891"/>
      <c r="N75" s="3891"/>
      <c r="O75" s="3891"/>
      <c r="P75" s="3891"/>
      <c r="Q75" s="3891"/>
      <c r="R75" s="3891"/>
      <c r="S75" s="3891"/>
      <c r="T75" s="3891"/>
      <c r="U75" s="3891"/>
      <c r="V75" s="3891"/>
      <c r="W75" s="3891"/>
      <c r="X75" s="3891"/>
      <c r="Y75" s="3891"/>
      <c r="Z75" s="3891"/>
      <c r="AA75" s="3891"/>
      <c r="AB75" s="3891"/>
      <c r="AC75" s="389">
        <f t="shared" si="10"/>
        <v>0</v>
      </c>
      <c r="AD75" s="5"/>
      <c r="AE75" s="5"/>
      <c r="AF75" s="5"/>
      <c r="AG75" s="5"/>
      <c r="AH75" s="5"/>
      <c r="AI75" s="5"/>
      <c r="AJ75" s="5"/>
      <c r="AK75" s="5"/>
      <c r="AL75" s="5"/>
      <c r="AM75" s="5"/>
      <c r="AN75" s="5"/>
      <c r="AO75" s="5"/>
      <c r="AP75" s="5"/>
      <c r="AQ75" s="5"/>
      <c r="AR75" s="5"/>
      <c r="AS75" s="5"/>
      <c r="AT75" s="20"/>
      <c r="AU75" s="1182"/>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81"/>
      <c r="E76" s="389">
        <f t="shared" si="7"/>
        <v>0</v>
      </c>
      <c r="F76" s="20"/>
      <c r="G76" s="3890">
        <f t="shared" si="8"/>
        <v>0</v>
      </c>
      <c r="H76" s="1282">
        <f t="shared" si="9"/>
        <v>0</v>
      </c>
      <c r="I76" s="3891"/>
      <c r="J76" s="3891"/>
      <c r="K76" s="3891"/>
      <c r="L76" s="3891"/>
      <c r="M76" s="3891"/>
      <c r="N76" s="3891"/>
      <c r="O76" s="3891"/>
      <c r="P76" s="3891"/>
      <c r="Q76" s="3891"/>
      <c r="R76" s="3891"/>
      <c r="S76" s="3891"/>
      <c r="T76" s="3891"/>
      <c r="U76" s="3891"/>
      <c r="V76" s="3891"/>
      <c r="W76" s="3891"/>
      <c r="X76" s="3891"/>
      <c r="Y76" s="3891"/>
      <c r="Z76" s="3891"/>
      <c r="AA76" s="3891"/>
      <c r="AB76" s="3891"/>
      <c r="AC76" s="389">
        <f t="shared" si="10"/>
        <v>0</v>
      </c>
      <c r="AD76" s="5"/>
      <c r="AE76" s="5"/>
      <c r="AF76" s="5"/>
      <c r="AG76" s="5"/>
      <c r="AH76" s="5"/>
      <c r="AI76" s="5"/>
      <c r="AJ76" s="5"/>
      <c r="AK76" s="5"/>
      <c r="AL76" s="5"/>
      <c r="AM76" s="5"/>
      <c r="AN76" s="5"/>
      <c r="AO76" s="5"/>
      <c r="AP76" s="5"/>
      <c r="AQ76" s="5"/>
      <c r="AR76" s="5"/>
      <c r="AS76" s="5"/>
      <c r="AT76" s="20"/>
      <c r="AU76" s="1182"/>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81"/>
      <c r="E77" s="389">
        <f t="shared" si="7"/>
        <v>0</v>
      </c>
      <c r="F77" s="20"/>
      <c r="G77" s="3890">
        <f t="shared" si="8"/>
        <v>0</v>
      </c>
      <c r="H77" s="1282">
        <f t="shared" si="9"/>
        <v>0</v>
      </c>
      <c r="I77" s="3891"/>
      <c r="J77" s="3891"/>
      <c r="K77" s="3891"/>
      <c r="L77" s="3891"/>
      <c r="M77" s="3891"/>
      <c r="N77" s="3891"/>
      <c r="O77" s="3891"/>
      <c r="P77" s="3891"/>
      <c r="Q77" s="3891"/>
      <c r="R77" s="3891"/>
      <c r="S77" s="3891"/>
      <c r="T77" s="3891"/>
      <c r="U77" s="3891"/>
      <c r="V77" s="3891"/>
      <c r="W77" s="3891"/>
      <c r="X77" s="3891"/>
      <c r="Y77" s="3891"/>
      <c r="Z77" s="3891"/>
      <c r="AA77" s="3891"/>
      <c r="AB77" s="3891"/>
      <c r="AC77" s="389">
        <f t="shared" si="10"/>
        <v>0</v>
      </c>
      <c r="AD77" s="5"/>
      <c r="AE77" s="5"/>
      <c r="AF77" s="5"/>
      <c r="AG77" s="5"/>
      <c r="AH77" s="5"/>
      <c r="AI77" s="5"/>
      <c r="AJ77" s="5"/>
      <c r="AK77" s="5"/>
      <c r="AL77" s="5"/>
      <c r="AM77" s="5"/>
      <c r="AN77" s="5"/>
      <c r="AO77" s="5"/>
      <c r="AP77" s="5"/>
      <c r="AQ77" s="5"/>
      <c r="AR77" s="5"/>
      <c r="AS77" s="5"/>
      <c r="AT77" s="20"/>
      <c r="AU77" s="1182"/>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81"/>
      <c r="E78" s="389">
        <f t="shared" si="7"/>
        <v>0</v>
      </c>
      <c r="F78" s="20"/>
      <c r="G78" s="3890">
        <f t="shared" si="8"/>
        <v>0</v>
      </c>
      <c r="H78" s="1282">
        <f t="shared" si="9"/>
        <v>0</v>
      </c>
      <c r="I78" s="3891"/>
      <c r="J78" s="3891"/>
      <c r="K78" s="3891"/>
      <c r="L78" s="3891"/>
      <c r="M78" s="3891"/>
      <c r="N78" s="3891"/>
      <c r="O78" s="3891"/>
      <c r="P78" s="3891"/>
      <c r="Q78" s="3891"/>
      <c r="R78" s="3891"/>
      <c r="S78" s="3891"/>
      <c r="T78" s="3891"/>
      <c r="U78" s="3891"/>
      <c r="V78" s="3891"/>
      <c r="W78" s="3891"/>
      <c r="X78" s="3891"/>
      <c r="Y78" s="3891"/>
      <c r="Z78" s="3891"/>
      <c r="AA78" s="3891"/>
      <c r="AB78" s="3891"/>
      <c r="AC78" s="389">
        <f t="shared" si="10"/>
        <v>0</v>
      </c>
      <c r="AD78" s="5"/>
      <c r="AE78" s="5"/>
      <c r="AF78" s="5"/>
      <c r="AG78" s="5"/>
      <c r="AH78" s="5"/>
      <c r="AI78" s="5"/>
      <c r="AJ78" s="5"/>
      <c r="AK78" s="5"/>
      <c r="AL78" s="5"/>
      <c r="AM78" s="5"/>
      <c r="AN78" s="5"/>
      <c r="AO78" s="5"/>
      <c r="AP78" s="5"/>
      <c r="AQ78" s="5"/>
      <c r="AR78" s="5"/>
      <c r="AS78" s="5"/>
      <c r="AT78" s="20"/>
      <c r="AU78" s="1182"/>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81"/>
      <c r="E79" s="389">
        <f t="shared" si="7"/>
        <v>0</v>
      </c>
      <c r="F79" s="20"/>
      <c r="G79" s="3890">
        <f t="shared" si="8"/>
        <v>0</v>
      </c>
      <c r="H79" s="1282">
        <f t="shared" si="9"/>
        <v>0</v>
      </c>
      <c r="I79" s="3891"/>
      <c r="J79" s="3891"/>
      <c r="K79" s="3891"/>
      <c r="L79" s="3891"/>
      <c r="M79" s="3891"/>
      <c r="N79" s="3891"/>
      <c r="O79" s="3891"/>
      <c r="P79" s="3891"/>
      <c r="Q79" s="3891"/>
      <c r="R79" s="3891"/>
      <c r="S79" s="3891"/>
      <c r="T79" s="3891"/>
      <c r="U79" s="3891"/>
      <c r="V79" s="3891"/>
      <c r="W79" s="3891"/>
      <c r="X79" s="3891"/>
      <c r="Y79" s="3891"/>
      <c r="Z79" s="3891"/>
      <c r="AA79" s="3891"/>
      <c r="AB79" s="3891"/>
      <c r="AC79" s="389">
        <f t="shared" si="10"/>
        <v>0</v>
      </c>
      <c r="AD79" s="5"/>
      <c r="AE79" s="5"/>
      <c r="AF79" s="5"/>
      <c r="AG79" s="5"/>
      <c r="AH79" s="5"/>
      <c r="AI79" s="5"/>
      <c r="AJ79" s="5"/>
      <c r="AK79" s="5"/>
      <c r="AL79" s="5"/>
      <c r="AM79" s="5"/>
      <c r="AN79" s="5"/>
      <c r="AO79" s="5"/>
      <c r="AP79" s="5"/>
      <c r="AQ79" s="5"/>
      <c r="AR79" s="5"/>
      <c r="AS79" s="5"/>
      <c r="AT79" s="20"/>
      <c r="AU79" s="1182"/>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81"/>
      <c r="E80" s="389">
        <f t="shared" si="7"/>
        <v>0</v>
      </c>
      <c r="F80" s="20"/>
      <c r="G80" s="3890">
        <f t="shared" si="8"/>
        <v>0</v>
      </c>
      <c r="H80" s="1282">
        <f t="shared" si="9"/>
        <v>0</v>
      </c>
      <c r="I80" s="3891"/>
      <c r="J80" s="3891"/>
      <c r="K80" s="3891"/>
      <c r="L80" s="3891"/>
      <c r="M80" s="3891"/>
      <c r="N80" s="3891"/>
      <c r="O80" s="3891"/>
      <c r="P80" s="3891"/>
      <c r="Q80" s="3891"/>
      <c r="R80" s="3891"/>
      <c r="S80" s="3891"/>
      <c r="T80" s="3891"/>
      <c r="U80" s="3891"/>
      <c r="V80" s="3891"/>
      <c r="W80" s="3891"/>
      <c r="X80" s="3891"/>
      <c r="Y80" s="3891"/>
      <c r="Z80" s="3891"/>
      <c r="AA80" s="3891"/>
      <c r="AB80" s="3891"/>
      <c r="AC80" s="389">
        <f t="shared" si="10"/>
        <v>0</v>
      </c>
      <c r="AD80" s="5"/>
      <c r="AE80" s="5"/>
      <c r="AF80" s="5"/>
      <c r="AG80" s="5"/>
      <c r="AH80" s="5"/>
      <c r="AI80" s="5"/>
      <c r="AJ80" s="5"/>
      <c r="AK80" s="5"/>
      <c r="AL80" s="5"/>
      <c r="AM80" s="5"/>
      <c r="AN80" s="5"/>
      <c r="AO80" s="5"/>
      <c r="AP80" s="5"/>
      <c r="AQ80" s="5"/>
      <c r="AR80" s="5"/>
      <c r="AS80" s="5"/>
      <c r="AT80" s="20"/>
      <c r="AU80" s="1182"/>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81"/>
      <c r="E81" s="389">
        <f t="shared" si="7"/>
        <v>0</v>
      </c>
      <c r="F81" s="20"/>
      <c r="G81" s="3890">
        <f t="shared" si="8"/>
        <v>0</v>
      </c>
      <c r="H81" s="1282">
        <f t="shared" si="9"/>
        <v>0</v>
      </c>
      <c r="I81" s="3891"/>
      <c r="J81" s="3891"/>
      <c r="K81" s="3891"/>
      <c r="L81" s="3891"/>
      <c r="M81" s="3891"/>
      <c r="N81" s="3891"/>
      <c r="O81" s="3891"/>
      <c r="P81" s="3891"/>
      <c r="Q81" s="3891"/>
      <c r="R81" s="3891"/>
      <c r="S81" s="3891"/>
      <c r="T81" s="3891"/>
      <c r="U81" s="3891"/>
      <c r="V81" s="3891"/>
      <c r="W81" s="3891"/>
      <c r="X81" s="3891"/>
      <c r="Y81" s="3891"/>
      <c r="Z81" s="3891"/>
      <c r="AA81" s="3891"/>
      <c r="AB81" s="3891"/>
      <c r="AC81" s="389">
        <f t="shared" si="10"/>
        <v>0</v>
      </c>
      <c r="AD81" s="5"/>
      <c r="AE81" s="5"/>
      <c r="AF81" s="5"/>
      <c r="AG81" s="5"/>
      <c r="AH81" s="5"/>
      <c r="AI81" s="5"/>
      <c r="AJ81" s="5"/>
      <c r="AK81" s="5"/>
      <c r="AL81" s="5"/>
      <c r="AM81" s="5"/>
      <c r="AN81" s="5"/>
      <c r="AO81" s="5"/>
      <c r="AP81" s="5"/>
      <c r="AQ81" s="5"/>
      <c r="AR81" s="5"/>
      <c r="AS81" s="5"/>
      <c r="AT81" s="20"/>
      <c r="AU81" s="1182"/>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81"/>
      <c r="E82" s="389">
        <f t="shared" si="7"/>
        <v>0</v>
      </c>
      <c r="F82" s="20"/>
      <c r="G82" s="3890">
        <f t="shared" si="8"/>
        <v>0</v>
      </c>
      <c r="H82" s="1282">
        <f t="shared" si="9"/>
        <v>0</v>
      </c>
      <c r="I82" s="3891"/>
      <c r="J82" s="3891"/>
      <c r="K82" s="3891"/>
      <c r="L82" s="3891"/>
      <c r="M82" s="3891"/>
      <c r="N82" s="3891"/>
      <c r="O82" s="3891"/>
      <c r="P82" s="3891"/>
      <c r="Q82" s="3891"/>
      <c r="R82" s="3891"/>
      <c r="S82" s="3891"/>
      <c r="T82" s="3891"/>
      <c r="U82" s="3891"/>
      <c r="V82" s="3891"/>
      <c r="W82" s="3891"/>
      <c r="X82" s="3891"/>
      <c r="Y82" s="3891"/>
      <c r="Z82" s="3891"/>
      <c r="AA82" s="3891"/>
      <c r="AB82" s="3891"/>
      <c r="AC82" s="389">
        <f t="shared" si="10"/>
        <v>0</v>
      </c>
      <c r="AD82" s="5"/>
      <c r="AE82" s="5"/>
      <c r="AF82" s="5"/>
      <c r="AG82" s="5"/>
      <c r="AH82" s="5"/>
      <c r="AI82" s="5"/>
      <c r="AJ82" s="5"/>
      <c r="AK82" s="5"/>
      <c r="AL82" s="5"/>
      <c r="AM82" s="5"/>
      <c r="AN82" s="5"/>
      <c r="AO82" s="5"/>
      <c r="AP82" s="5"/>
      <c r="AQ82" s="5"/>
      <c r="AR82" s="5"/>
      <c r="AS82" s="5"/>
      <c r="AT82" s="20"/>
      <c r="AU82" s="1182"/>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81"/>
      <c r="E83" s="389">
        <f t="shared" si="7"/>
        <v>0</v>
      </c>
      <c r="F83" s="20"/>
      <c r="G83" s="3890">
        <f t="shared" si="8"/>
        <v>0</v>
      </c>
      <c r="H83" s="1282">
        <f t="shared" si="9"/>
        <v>0</v>
      </c>
      <c r="I83" s="3891"/>
      <c r="J83" s="3891"/>
      <c r="K83" s="3891"/>
      <c r="L83" s="3891"/>
      <c r="M83" s="3891"/>
      <c r="N83" s="3891"/>
      <c r="O83" s="3891"/>
      <c r="P83" s="3891"/>
      <c r="Q83" s="3891"/>
      <c r="R83" s="3891"/>
      <c r="S83" s="3891"/>
      <c r="T83" s="3891"/>
      <c r="U83" s="3891"/>
      <c r="V83" s="3891"/>
      <c r="W83" s="3891"/>
      <c r="X83" s="3891"/>
      <c r="Y83" s="3891"/>
      <c r="Z83" s="3891"/>
      <c r="AA83" s="3891"/>
      <c r="AB83" s="3891"/>
      <c r="AC83" s="389">
        <f t="shared" si="10"/>
        <v>0</v>
      </c>
      <c r="AD83" s="5"/>
      <c r="AE83" s="5"/>
      <c r="AF83" s="5"/>
      <c r="AG83" s="5"/>
      <c r="AH83" s="5"/>
      <c r="AI83" s="5"/>
      <c r="AJ83" s="5"/>
      <c r="AK83" s="5"/>
      <c r="AL83" s="5"/>
      <c r="AM83" s="5"/>
      <c r="AN83" s="5"/>
      <c r="AO83" s="5"/>
      <c r="AP83" s="5"/>
      <c r="AQ83" s="5"/>
      <c r="AR83" s="5"/>
      <c r="AS83" s="5"/>
      <c r="AT83" s="20"/>
      <c r="AU83" s="1182"/>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81"/>
      <c r="E84" s="389">
        <f t="shared" si="7"/>
        <v>0</v>
      </c>
      <c r="F84" s="20"/>
      <c r="G84" s="3890">
        <f t="shared" si="8"/>
        <v>0</v>
      </c>
      <c r="H84" s="1282">
        <f t="shared" si="9"/>
        <v>0</v>
      </c>
      <c r="I84" s="3891"/>
      <c r="J84" s="3891"/>
      <c r="K84" s="3891"/>
      <c r="L84" s="3891"/>
      <c r="M84" s="3891"/>
      <c r="N84" s="3891"/>
      <c r="O84" s="3891"/>
      <c r="P84" s="3891"/>
      <c r="Q84" s="3891"/>
      <c r="R84" s="3891"/>
      <c r="S84" s="3891"/>
      <c r="T84" s="3891"/>
      <c r="U84" s="3891"/>
      <c r="V84" s="3891"/>
      <c r="W84" s="3891"/>
      <c r="X84" s="3891"/>
      <c r="Y84" s="3891"/>
      <c r="Z84" s="3891"/>
      <c r="AA84" s="3891"/>
      <c r="AB84" s="3891"/>
      <c r="AC84" s="389">
        <f t="shared" si="10"/>
        <v>0</v>
      </c>
      <c r="AD84" s="5"/>
      <c r="AE84" s="5"/>
      <c r="AF84" s="5"/>
      <c r="AG84" s="5"/>
      <c r="AH84" s="5"/>
      <c r="AI84" s="5"/>
      <c r="AJ84" s="5"/>
      <c r="AK84" s="5"/>
      <c r="AL84" s="5"/>
      <c r="AM84" s="5"/>
      <c r="AN84" s="5"/>
      <c r="AO84" s="5"/>
      <c r="AP84" s="5"/>
      <c r="AQ84" s="5"/>
      <c r="AR84" s="5"/>
      <c r="AS84" s="5"/>
      <c r="AT84" s="20"/>
      <c r="AU84" s="1182"/>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81"/>
      <c r="E85" s="389">
        <f t="shared" si="7"/>
        <v>0</v>
      </c>
      <c r="F85" s="20"/>
      <c r="G85" s="3890">
        <f t="shared" si="8"/>
        <v>0</v>
      </c>
      <c r="H85" s="1282">
        <f t="shared" si="9"/>
        <v>0</v>
      </c>
      <c r="I85" s="3891"/>
      <c r="J85" s="3891"/>
      <c r="K85" s="3891"/>
      <c r="L85" s="3891"/>
      <c r="M85" s="3891"/>
      <c r="N85" s="3891"/>
      <c r="O85" s="3891"/>
      <c r="P85" s="3891"/>
      <c r="Q85" s="3891"/>
      <c r="R85" s="3891"/>
      <c r="S85" s="3891"/>
      <c r="T85" s="3891"/>
      <c r="U85" s="3891"/>
      <c r="V85" s="3891"/>
      <c r="W85" s="3891"/>
      <c r="X85" s="3891"/>
      <c r="Y85" s="3891"/>
      <c r="Z85" s="3891"/>
      <c r="AA85" s="3891"/>
      <c r="AB85" s="3891"/>
      <c r="AC85" s="389">
        <f t="shared" si="10"/>
        <v>0</v>
      </c>
      <c r="AD85" s="5"/>
      <c r="AE85" s="5"/>
      <c r="AF85" s="5"/>
      <c r="AG85" s="5"/>
      <c r="AH85" s="5"/>
      <c r="AI85" s="5"/>
      <c r="AJ85" s="5"/>
      <c r="AK85" s="5"/>
      <c r="AL85" s="5"/>
      <c r="AM85" s="5"/>
      <c r="AN85" s="5"/>
      <c r="AO85" s="5"/>
      <c r="AP85" s="5"/>
      <c r="AQ85" s="5"/>
      <c r="AR85" s="5"/>
      <c r="AS85" s="5"/>
      <c r="AT85" s="20"/>
      <c r="AU85" s="1182"/>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81"/>
      <c r="E86" s="389">
        <f t="shared" si="7"/>
        <v>0</v>
      </c>
      <c r="F86" s="20"/>
      <c r="G86" s="3890">
        <f t="shared" si="8"/>
        <v>0</v>
      </c>
      <c r="H86" s="1282">
        <f t="shared" si="9"/>
        <v>0</v>
      </c>
      <c r="I86" s="3891"/>
      <c r="J86" s="3891"/>
      <c r="K86" s="3891"/>
      <c r="L86" s="3891"/>
      <c r="M86" s="3891"/>
      <c r="N86" s="3891"/>
      <c r="O86" s="3891"/>
      <c r="P86" s="3891"/>
      <c r="Q86" s="3891"/>
      <c r="R86" s="3891"/>
      <c r="S86" s="3891"/>
      <c r="T86" s="3891"/>
      <c r="U86" s="3891"/>
      <c r="V86" s="3891"/>
      <c r="W86" s="3891"/>
      <c r="X86" s="3891"/>
      <c r="Y86" s="3891"/>
      <c r="Z86" s="3891"/>
      <c r="AA86" s="3891"/>
      <c r="AB86" s="3891"/>
      <c r="AC86" s="389">
        <f t="shared" si="10"/>
        <v>0</v>
      </c>
      <c r="AD86" s="5"/>
      <c r="AE86" s="5"/>
      <c r="AF86" s="5"/>
      <c r="AG86" s="5"/>
      <c r="AH86" s="5"/>
      <c r="AI86" s="5"/>
      <c r="AJ86" s="5"/>
      <c r="AK86" s="5"/>
      <c r="AL86" s="5"/>
      <c r="AM86" s="5"/>
      <c r="AN86" s="5"/>
      <c r="AO86" s="5"/>
      <c r="AP86" s="5"/>
      <c r="AQ86" s="5"/>
      <c r="AR86" s="5"/>
      <c r="AS86" s="5"/>
      <c r="AT86" s="20"/>
      <c r="AU86" s="1182"/>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81"/>
      <c r="E87" s="389">
        <f t="shared" si="7"/>
        <v>0</v>
      </c>
      <c r="F87" s="20"/>
      <c r="G87" s="3890">
        <f t="shared" si="8"/>
        <v>0</v>
      </c>
      <c r="H87" s="1282">
        <f t="shared" si="9"/>
        <v>0</v>
      </c>
      <c r="I87" s="3891"/>
      <c r="J87" s="3891"/>
      <c r="K87" s="3891"/>
      <c r="L87" s="3891"/>
      <c r="M87" s="3891"/>
      <c r="N87" s="3891"/>
      <c r="O87" s="3891"/>
      <c r="P87" s="3891"/>
      <c r="Q87" s="3891"/>
      <c r="R87" s="3891"/>
      <c r="S87" s="3891"/>
      <c r="T87" s="3891"/>
      <c r="U87" s="3891"/>
      <c r="V87" s="3891"/>
      <c r="W87" s="3891"/>
      <c r="X87" s="3891"/>
      <c r="Y87" s="3891"/>
      <c r="Z87" s="3891"/>
      <c r="AA87" s="3891"/>
      <c r="AB87" s="3891"/>
      <c r="AC87" s="389">
        <f t="shared" si="10"/>
        <v>0</v>
      </c>
      <c r="AD87" s="5"/>
      <c r="AE87" s="5"/>
      <c r="AF87" s="5"/>
      <c r="AG87" s="5"/>
      <c r="AH87" s="5"/>
      <c r="AI87" s="5"/>
      <c r="AJ87" s="5"/>
      <c r="AK87" s="5"/>
      <c r="AL87" s="5"/>
      <c r="AM87" s="5"/>
      <c r="AN87" s="5"/>
      <c r="AO87" s="5"/>
      <c r="AP87" s="5"/>
      <c r="AQ87" s="5"/>
      <c r="AR87" s="5"/>
      <c r="AS87" s="5"/>
      <c r="AT87" s="20"/>
      <c r="AU87" s="1182"/>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81"/>
      <c r="E88" s="389">
        <f t="shared" si="7"/>
        <v>0</v>
      </c>
      <c r="F88" s="20"/>
      <c r="G88" s="3890">
        <f t="shared" si="8"/>
        <v>0</v>
      </c>
      <c r="H88" s="1282">
        <f t="shared" si="9"/>
        <v>0</v>
      </c>
      <c r="I88" s="3891"/>
      <c r="J88" s="3891"/>
      <c r="K88" s="3891"/>
      <c r="L88" s="3891"/>
      <c r="M88" s="3891"/>
      <c r="N88" s="3891"/>
      <c r="O88" s="3891"/>
      <c r="P88" s="3891"/>
      <c r="Q88" s="3891"/>
      <c r="R88" s="3891"/>
      <c r="S88" s="3891"/>
      <c r="T88" s="3891"/>
      <c r="U88" s="3891"/>
      <c r="V88" s="3891"/>
      <c r="W88" s="3891"/>
      <c r="X88" s="3891"/>
      <c r="Y88" s="3891"/>
      <c r="Z88" s="3891"/>
      <c r="AA88" s="3891"/>
      <c r="AB88" s="3891"/>
      <c r="AC88" s="389">
        <f t="shared" si="10"/>
        <v>0</v>
      </c>
      <c r="AD88" s="5"/>
      <c r="AE88" s="5"/>
      <c r="AF88" s="5"/>
      <c r="AG88" s="5"/>
      <c r="AH88" s="5"/>
      <c r="AI88" s="5"/>
      <c r="AJ88" s="5"/>
      <c r="AK88" s="5"/>
      <c r="AL88" s="5"/>
      <c r="AM88" s="5"/>
      <c r="AN88" s="5"/>
      <c r="AO88" s="5"/>
      <c r="AP88" s="5"/>
      <c r="AQ88" s="5"/>
      <c r="AR88" s="5"/>
      <c r="AS88" s="5"/>
      <c r="AT88" s="20"/>
      <c r="AU88" s="1182"/>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81"/>
      <c r="E89" s="389">
        <f t="shared" si="7"/>
        <v>0</v>
      </c>
      <c r="F89" s="20"/>
      <c r="G89" s="3890">
        <f t="shared" si="8"/>
        <v>0</v>
      </c>
      <c r="H89" s="1282">
        <f t="shared" si="9"/>
        <v>0</v>
      </c>
      <c r="I89" s="3891"/>
      <c r="J89" s="3891"/>
      <c r="K89" s="3891"/>
      <c r="L89" s="3891"/>
      <c r="M89" s="3891"/>
      <c r="N89" s="3891"/>
      <c r="O89" s="3891"/>
      <c r="P89" s="3891"/>
      <c r="Q89" s="3891"/>
      <c r="R89" s="3891"/>
      <c r="S89" s="3891"/>
      <c r="T89" s="3891"/>
      <c r="U89" s="3891"/>
      <c r="V89" s="3891"/>
      <c r="W89" s="3891"/>
      <c r="X89" s="3891"/>
      <c r="Y89" s="3891"/>
      <c r="Z89" s="3891"/>
      <c r="AA89" s="3891"/>
      <c r="AB89" s="3891"/>
      <c r="AC89" s="389">
        <f t="shared" si="10"/>
        <v>0</v>
      </c>
      <c r="AD89" s="5"/>
      <c r="AE89" s="5"/>
      <c r="AF89" s="5"/>
      <c r="AG89" s="5"/>
      <c r="AH89" s="5"/>
      <c r="AI89" s="5"/>
      <c r="AJ89" s="5"/>
      <c r="AK89" s="5"/>
      <c r="AL89" s="5"/>
      <c r="AM89" s="5"/>
      <c r="AN89" s="5"/>
      <c r="AO89" s="5"/>
      <c r="AP89" s="5"/>
      <c r="AQ89" s="5"/>
      <c r="AR89" s="5"/>
      <c r="AS89" s="5"/>
      <c r="AT89" s="20"/>
      <c r="AU89" s="1182"/>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81"/>
      <c r="E90" s="389">
        <f t="shared" si="7"/>
        <v>0</v>
      </c>
      <c r="F90" s="20"/>
      <c r="G90" s="3890">
        <f t="shared" si="8"/>
        <v>0</v>
      </c>
      <c r="H90" s="1282">
        <f t="shared" si="9"/>
        <v>0</v>
      </c>
      <c r="I90" s="3891"/>
      <c r="J90" s="3891"/>
      <c r="K90" s="3891"/>
      <c r="L90" s="3891"/>
      <c r="M90" s="3891"/>
      <c r="N90" s="3891"/>
      <c r="O90" s="3891"/>
      <c r="P90" s="3891"/>
      <c r="Q90" s="3891"/>
      <c r="R90" s="3891"/>
      <c r="S90" s="3891"/>
      <c r="T90" s="3891"/>
      <c r="U90" s="3891"/>
      <c r="V90" s="3891"/>
      <c r="W90" s="3891"/>
      <c r="X90" s="3891"/>
      <c r="Y90" s="3891"/>
      <c r="Z90" s="3891"/>
      <c r="AA90" s="3891"/>
      <c r="AB90" s="3891"/>
      <c r="AC90" s="389">
        <f t="shared" si="10"/>
        <v>0</v>
      </c>
      <c r="AD90" s="5"/>
      <c r="AE90" s="5"/>
      <c r="AF90" s="5"/>
      <c r="AG90" s="5"/>
      <c r="AH90" s="5"/>
      <c r="AI90" s="5"/>
      <c r="AJ90" s="5"/>
      <c r="AK90" s="5"/>
      <c r="AL90" s="5"/>
      <c r="AM90" s="5"/>
      <c r="AN90" s="5"/>
      <c r="AO90" s="5"/>
      <c r="AP90" s="5"/>
      <c r="AQ90" s="5"/>
      <c r="AR90" s="5"/>
      <c r="AS90" s="5"/>
      <c r="AT90" s="20"/>
      <c r="AU90" s="1182"/>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81"/>
      <c r="E91" s="389">
        <f t="shared" si="7"/>
        <v>0</v>
      </c>
      <c r="F91" s="20"/>
      <c r="G91" s="3890">
        <f t="shared" si="8"/>
        <v>0</v>
      </c>
      <c r="H91" s="1282">
        <f t="shared" si="9"/>
        <v>0</v>
      </c>
      <c r="I91" s="3891"/>
      <c r="J91" s="3891"/>
      <c r="K91" s="3891"/>
      <c r="L91" s="3891"/>
      <c r="M91" s="3891"/>
      <c r="N91" s="3891"/>
      <c r="O91" s="3891"/>
      <c r="P91" s="3891"/>
      <c r="Q91" s="3891"/>
      <c r="R91" s="3891"/>
      <c r="S91" s="3891"/>
      <c r="T91" s="3891"/>
      <c r="U91" s="3891"/>
      <c r="V91" s="3891"/>
      <c r="W91" s="3891"/>
      <c r="X91" s="3891"/>
      <c r="Y91" s="3891"/>
      <c r="Z91" s="3891"/>
      <c r="AA91" s="3891"/>
      <c r="AB91" s="3891"/>
      <c r="AC91" s="389">
        <f t="shared" si="10"/>
        <v>0</v>
      </c>
      <c r="AD91" s="5"/>
      <c r="AE91" s="5"/>
      <c r="AF91" s="5"/>
      <c r="AG91" s="5"/>
      <c r="AH91" s="5"/>
      <c r="AI91" s="5"/>
      <c r="AJ91" s="5"/>
      <c r="AK91" s="5"/>
      <c r="AL91" s="5"/>
      <c r="AM91" s="5"/>
      <c r="AN91" s="5"/>
      <c r="AO91" s="5"/>
      <c r="AP91" s="5"/>
      <c r="AQ91" s="5"/>
      <c r="AR91" s="5"/>
      <c r="AS91" s="5"/>
      <c r="AT91" s="20"/>
      <c r="AU91" s="1182"/>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81"/>
      <c r="E92" s="389">
        <f t="shared" si="7"/>
        <v>0</v>
      </c>
      <c r="F92" s="20"/>
      <c r="G92" s="3890">
        <f t="shared" si="8"/>
        <v>0</v>
      </c>
      <c r="H92" s="1282">
        <f t="shared" si="9"/>
        <v>0</v>
      </c>
      <c r="I92" s="3891"/>
      <c r="J92" s="3891"/>
      <c r="K92" s="3891"/>
      <c r="L92" s="3891"/>
      <c r="M92" s="3891"/>
      <c r="N92" s="3891"/>
      <c r="O92" s="3891"/>
      <c r="P92" s="3891"/>
      <c r="Q92" s="3891"/>
      <c r="R92" s="3891"/>
      <c r="S92" s="3891"/>
      <c r="T92" s="3891"/>
      <c r="U92" s="3891"/>
      <c r="V92" s="3891"/>
      <c r="W92" s="3891"/>
      <c r="X92" s="3891"/>
      <c r="Y92" s="3891"/>
      <c r="Z92" s="3891"/>
      <c r="AA92" s="3891"/>
      <c r="AB92" s="3891"/>
      <c r="AC92" s="389">
        <f t="shared" si="10"/>
        <v>0</v>
      </c>
      <c r="AD92" s="5"/>
      <c r="AE92" s="5"/>
      <c r="AF92" s="5"/>
      <c r="AG92" s="5"/>
      <c r="AH92" s="5"/>
      <c r="AI92" s="5"/>
      <c r="AJ92" s="5"/>
      <c r="AK92" s="5"/>
      <c r="AL92" s="5"/>
      <c r="AM92" s="5"/>
      <c r="AN92" s="5"/>
      <c r="AO92" s="5"/>
      <c r="AP92" s="5"/>
      <c r="AQ92" s="5"/>
      <c r="AR92" s="5"/>
      <c r="AS92" s="5"/>
      <c r="AT92" s="20"/>
      <c r="AU92" s="1182"/>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81"/>
      <c r="E93" s="389">
        <f t="shared" si="7"/>
        <v>0</v>
      </c>
      <c r="F93" s="20"/>
      <c r="G93" s="3890">
        <f t="shared" si="8"/>
        <v>0</v>
      </c>
      <c r="H93" s="1282">
        <f t="shared" si="9"/>
        <v>0</v>
      </c>
      <c r="I93" s="3891"/>
      <c r="J93" s="3891"/>
      <c r="K93" s="3891"/>
      <c r="L93" s="3891"/>
      <c r="M93" s="3891"/>
      <c r="N93" s="3891"/>
      <c r="O93" s="3891"/>
      <c r="P93" s="3891"/>
      <c r="Q93" s="3891"/>
      <c r="R93" s="3891"/>
      <c r="S93" s="3891"/>
      <c r="T93" s="3891"/>
      <c r="U93" s="3891"/>
      <c r="V93" s="3891"/>
      <c r="W93" s="3891"/>
      <c r="X93" s="3891"/>
      <c r="Y93" s="3891"/>
      <c r="Z93" s="3891"/>
      <c r="AA93" s="3891"/>
      <c r="AB93" s="3891"/>
      <c r="AC93" s="389">
        <f t="shared" si="10"/>
        <v>0</v>
      </c>
      <c r="AD93" s="5"/>
      <c r="AE93" s="5"/>
      <c r="AF93" s="5"/>
      <c r="AG93" s="5"/>
      <c r="AH93" s="5"/>
      <c r="AI93" s="5"/>
      <c r="AJ93" s="5"/>
      <c r="AK93" s="5"/>
      <c r="AL93" s="5"/>
      <c r="AM93" s="5"/>
      <c r="AN93" s="5"/>
      <c r="AO93" s="5"/>
      <c r="AP93" s="5"/>
      <c r="AQ93" s="5"/>
      <c r="AR93" s="5"/>
      <c r="AS93" s="5"/>
      <c r="AT93" s="20"/>
      <c r="AU93" s="1182"/>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81"/>
      <c r="E94" s="389">
        <f t="shared" si="7"/>
        <v>0</v>
      </c>
      <c r="F94" s="20"/>
      <c r="G94" s="3890">
        <f t="shared" si="8"/>
        <v>0</v>
      </c>
      <c r="H94" s="1282">
        <f t="shared" si="9"/>
        <v>0</v>
      </c>
      <c r="I94" s="3891"/>
      <c r="J94" s="3891"/>
      <c r="K94" s="3891"/>
      <c r="L94" s="3891"/>
      <c r="M94" s="3891"/>
      <c r="N94" s="3891"/>
      <c r="O94" s="3891"/>
      <c r="P94" s="3891"/>
      <c r="Q94" s="3891"/>
      <c r="R94" s="3891"/>
      <c r="S94" s="3891"/>
      <c r="T94" s="3891"/>
      <c r="U94" s="3891"/>
      <c r="V94" s="3891"/>
      <c r="W94" s="3891"/>
      <c r="X94" s="3891"/>
      <c r="Y94" s="3891"/>
      <c r="Z94" s="3891"/>
      <c r="AA94" s="3891"/>
      <c r="AB94" s="3891"/>
      <c r="AC94" s="389">
        <f t="shared" si="10"/>
        <v>0</v>
      </c>
      <c r="AD94" s="5"/>
      <c r="AE94" s="5"/>
      <c r="AF94" s="5"/>
      <c r="AG94" s="5"/>
      <c r="AH94" s="5"/>
      <c r="AI94" s="5"/>
      <c r="AJ94" s="5"/>
      <c r="AK94" s="5"/>
      <c r="AL94" s="5"/>
      <c r="AM94" s="5"/>
      <c r="AN94" s="5"/>
      <c r="AO94" s="5"/>
      <c r="AP94" s="5"/>
      <c r="AQ94" s="5"/>
      <c r="AR94" s="5"/>
      <c r="AS94" s="5"/>
      <c r="AT94" s="20"/>
      <c r="AU94" s="1182"/>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81"/>
      <c r="E95" s="389">
        <f t="shared" si="7"/>
        <v>0</v>
      </c>
      <c r="F95" s="20"/>
      <c r="G95" s="3890">
        <f t="shared" si="8"/>
        <v>0</v>
      </c>
      <c r="H95" s="1282">
        <f t="shared" si="9"/>
        <v>0</v>
      </c>
      <c r="I95" s="3891"/>
      <c r="J95" s="3891"/>
      <c r="K95" s="3891"/>
      <c r="L95" s="3891"/>
      <c r="M95" s="3891"/>
      <c r="N95" s="3891"/>
      <c r="O95" s="3891"/>
      <c r="P95" s="3891"/>
      <c r="Q95" s="3891"/>
      <c r="R95" s="3891"/>
      <c r="S95" s="3891"/>
      <c r="T95" s="3891"/>
      <c r="U95" s="3891"/>
      <c r="V95" s="3891"/>
      <c r="W95" s="3891"/>
      <c r="X95" s="3891"/>
      <c r="Y95" s="3891"/>
      <c r="Z95" s="3891"/>
      <c r="AA95" s="3891"/>
      <c r="AB95" s="3891"/>
      <c r="AC95" s="389">
        <f t="shared" si="10"/>
        <v>0</v>
      </c>
      <c r="AD95" s="5"/>
      <c r="AE95" s="5"/>
      <c r="AF95" s="5"/>
      <c r="AG95" s="5"/>
      <c r="AH95" s="5"/>
      <c r="AI95" s="5"/>
      <c r="AJ95" s="5"/>
      <c r="AK95" s="5"/>
      <c r="AL95" s="5"/>
      <c r="AM95" s="5"/>
      <c r="AN95" s="5"/>
      <c r="AO95" s="5"/>
      <c r="AP95" s="5"/>
      <c r="AQ95" s="5"/>
      <c r="AR95" s="5"/>
      <c r="AS95" s="5"/>
      <c r="AT95" s="20"/>
      <c r="AU95" s="1182"/>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81"/>
      <c r="E96" s="389">
        <f t="shared" si="7"/>
        <v>0</v>
      </c>
      <c r="F96" s="20"/>
      <c r="G96" s="3890">
        <f t="shared" si="8"/>
        <v>0</v>
      </c>
      <c r="H96" s="1282">
        <f t="shared" si="9"/>
        <v>0</v>
      </c>
      <c r="I96" s="3891"/>
      <c r="J96" s="3891"/>
      <c r="K96" s="3891"/>
      <c r="L96" s="3891"/>
      <c r="M96" s="3891"/>
      <c r="N96" s="3891"/>
      <c r="O96" s="3891"/>
      <c r="P96" s="3891"/>
      <c r="Q96" s="3891"/>
      <c r="R96" s="3891"/>
      <c r="S96" s="3891"/>
      <c r="T96" s="3891"/>
      <c r="U96" s="3891"/>
      <c r="V96" s="3891"/>
      <c r="W96" s="3891"/>
      <c r="X96" s="3891"/>
      <c r="Y96" s="3891"/>
      <c r="Z96" s="3891"/>
      <c r="AA96" s="3891"/>
      <c r="AB96" s="3891"/>
      <c r="AC96" s="389">
        <f t="shared" si="10"/>
        <v>0</v>
      </c>
      <c r="AD96" s="5"/>
      <c r="AE96" s="5"/>
      <c r="AF96" s="5"/>
      <c r="AG96" s="5"/>
      <c r="AH96" s="5"/>
      <c r="AI96" s="5"/>
      <c r="AJ96" s="5"/>
      <c r="AK96" s="5"/>
      <c r="AL96" s="5"/>
      <c r="AM96" s="5"/>
      <c r="AN96" s="5"/>
      <c r="AO96" s="5"/>
      <c r="AP96" s="5"/>
      <c r="AQ96" s="5"/>
      <c r="AR96" s="5"/>
      <c r="AS96" s="5"/>
      <c r="AT96" s="20"/>
      <c r="AU96" s="1182"/>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81"/>
      <c r="E97" s="389">
        <f t="shared" si="7"/>
        <v>0</v>
      </c>
      <c r="F97" s="20"/>
      <c r="G97" s="3890">
        <f t="shared" si="8"/>
        <v>0</v>
      </c>
      <c r="H97" s="1282">
        <f t="shared" si="9"/>
        <v>0</v>
      </c>
      <c r="I97" s="3891"/>
      <c r="J97" s="3891"/>
      <c r="K97" s="3891"/>
      <c r="L97" s="3891"/>
      <c r="M97" s="3891"/>
      <c r="N97" s="3891"/>
      <c r="O97" s="3891"/>
      <c r="P97" s="3891"/>
      <c r="Q97" s="3891"/>
      <c r="R97" s="3891"/>
      <c r="S97" s="3891"/>
      <c r="T97" s="3891"/>
      <c r="U97" s="3891"/>
      <c r="V97" s="3891"/>
      <c r="W97" s="3891"/>
      <c r="X97" s="3891"/>
      <c r="Y97" s="3891"/>
      <c r="Z97" s="3891"/>
      <c r="AA97" s="3891"/>
      <c r="AB97" s="3891"/>
      <c r="AC97" s="389">
        <f t="shared" si="10"/>
        <v>0</v>
      </c>
      <c r="AD97" s="5"/>
      <c r="AE97" s="5"/>
      <c r="AF97" s="5"/>
      <c r="AG97" s="5"/>
      <c r="AH97" s="5"/>
      <c r="AI97" s="5"/>
      <c r="AJ97" s="5"/>
      <c r="AK97" s="5"/>
      <c r="AL97" s="5"/>
      <c r="AM97" s="5"/>
      <c r="AN97" s="5"/>
      <c r="AO97" s="5"/>
      <c r="AP97" s="5"/>
      <c r="AQ97" s="5"/>
      <c r="AR97" s="5"/>
      <c r="AS97" s="5"/>
      <c r="AT97" s="20"/>
      <c r="AU97" s="1182"/>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81"/>
      <c r="E98" s="389">
        <f t="shared" si="7"/>
        <v>0</v>
      </c>
      <c r="F98" s="20"/>
      <c r="G98" s="3890">
        <f t="shared" si="8"/>
        <v>0</v>
      </c>
      <c r="H98" s="1282">
        <f t="shared" si="9"/>
        <v>0</v>
      </c>
      <c r="I98" s="3891"/>
      <c r="J98" s="3891"/>
      <c r="K98" s="3891"/>
      <c r="L98" s="3891"/>
      <c r="M98" s="3891"/>
      <c r="N98" s="3891"/>
      <c r="O98" s="3891"/>
      <c r="P98" s="3891"/>
      <c r="Q98" s="3891"/>
      <c r="R98" s="3891"/>
      <c r="S98" s="3891"/>
      <c r="T98" s="3891"/>
      <c r="U98" s="3891"/>
      <c r="V98" s="3891"/>
      <c r="W98" s="3891"/>
      <c r="X98" s="3891"/>
      <c r="Y98" s="3891"/>
      <c r="Z98" s="3891"/>
      <c r="AA98" s="3891"/>
      <c r="AB98" s="3891"/>
      <c r="AC98" s="389">
        <f t="shared" si="10"/>
        <v>0</v>
      </c>
      <c r="AD98" s="5"/>
      <c r="AE98" s="5"/>
      <c r="AF98" s="5"/>
      <c r="AG98" s="5"/>
      <c r="AH98" s="5"/>
      <c r="AI98" s="5"/>
      <c r="AJ98" s="5"/>
      <c r="AK98" s="5"/>
      <c r="AL98" s="5"/>
      <c r="AM98" s="5"/>
      <c r="AN98" s="5"/>
      <c r="AO98" s="5"/>
      <c r="AP98" s="5"/>
      <c r="AQ98" s="5"/>
      <c r="AR98" s="5"/>
      <c r="AS98" s="5"/>
      <c r="AT98" s="20"/>
      <c r="AU98" s="1182"/>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81"/>
      <c r="E99" s="389">
        <f t="shared" si="7"/>
        <v>0</v>
      </c>
      <c r="F99" s="20"/>
      <c r="G99" s="3890">
        <f t="shared" si="8"/>
        <v>0</v>
      </c>
      <c r="H99" s="1282">
        <f t="shared" si="9"/>
        <v>0</v>
      </c>
      <c r="I99" s="3891"/>
      <c r="J99" s="3891"/>
      <c r="K99" s="3891"/>
      <c r="L99" s="3891"/>
      <c r="M99" s="3891"/>
      <c r="N99" s="3891"/>
      <c r="O99" s="3891"/>
      <c r="P99" s="3891"/>
      <c r="Q99" s="3891"/>
      <c r="R99" s="3891"/>
      <c r="S99" s="3891"/>
      <c r="T99" s="3891"/>
      <c r="U99" s="3891"/>
      <c r="V99" s="3891"/>
      <c r="W99" s="3891"/>
      <c r="X99" s="3891"/>
      <c r="Y99" s="3891"/>
      <c r="Z99" s="3891"/>
      <c r="AA99" s="3891"/>
      <c r="AB99" s="3891"/>
      <c r="AC99" s="389">
        <f t="shared" si="10"/>
        <v>0</v>
      </c>
      <c r="AD99" s="5"/>
      <c r="AE99" s="5"/>
      <c r="AF99" s="5"/>
      <c r="AG99" s="5"/>
      <c r="AH99" s="5"/>
      <c r="AI99" s="5"/>
      <c r="AJ99" s="5"/>
      <c r="AK99" s="5"/>
      <c r="AL99" s="5"/>
      <c r="AM99" s="5"/>
      <c r="AN99" s="5"/>
      <c r="AO99" s="5"/>
      <c r="AP99" s="5"/>
      <c r="AQ99" s="5"/>
      <c r="AR99" s="5"/>
      <c r="AS99" s="5"/>
      <c r="AT99" s="20"/>
      <c r="AU99" s="1182"/>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81"/>
      <c r="E100" s="389">
        <f t="shared" si="7"/>
        <v>0</v>
      </c>
      <c r="F100" s="20"/>
      <c r="G100" s="3890">
        <f t="shared" si="8"/>
        <v>0</v>
      </c>
      <c r="H100" s="1282">
        <f t="shared" si="9"/>
        <v>0</v>
      </c>
      <c r="I100" s="3891"/>
      <c r="J100" s="3891"/>
      <c r="K100" s="3891"/>
      <c r="L100" s="3891"/>
      <c r="M100" s="3891"/>
      <c r="N100" s="3891"/>
      <c r="O100" s="3891"/>
      <c r="P100" s="3891"/>
      <c r="Q100" s="3891"/>
      <c r="R100" s="3891"/>
      <c r="S100" s="3891"/>
      <c r="T100" s="3891"/>
      <c r="U100" s="3891"/>
      <c r="V100" s="3891"/>
      <c r="W100" s="3891"/>
      <c r="X100" s="3891"/>
      <c r="Y100" s="3891"/>
      <c r="Z100" s="3891"/>
      <c r="AA100" s="3891"/>
      <c r="AB100" s="3891"/>
      <c r="AC100" s="389">
        <f t="shared" si="10"/>
        <v>0</v>
      </c>
      <c r="AD100" s="5"/>
      <c r="AE100" s="5"/>
      <c r="AF100" s="5"/>
      <c r="AG100" s="5"/>
      <c r="AH100" s="5"/>
      <c r="AI100" s="5"/>
      <c r="AJ100" s="5"/>
      <c r="AK100" s="5"/>
      <c r="AL100" s="5"/>
      <c r="AM100" s="5"/>
      <c r="AN100" s="5"/>
      <c r="AO100" s="5"/>
      <c r="AP100" s="5"/>
      <c r="AQ100" s="5"/>
      <c r="AR100" s="5"/>
      <c r="AS100" s="5"/>
      <c r="AT100" s="20"/>
      <c r="AU100" s="1182"/>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81"/>
      <c r="E101" s="389">
        <f t="shared" si="7"/>
        <v>0</v>
      </c>
      <c r="F101" s="20"/>
      <c r="G101" s="3890">
        <f t="shared" si="8"/>
        <v>0</v>
      </c>
      <c r="H101" s="1282">
        <f t="shared" si="9"/>
        <v>0</v>
      </c>
      <c r="I101" s="3891"/>
      <c r="J101" s="3891"/>
      <c r="K101" s="3891"/>
      <c r="L101" s="3891"/>
      <c r="M101" s="3891"/>
      <c r="N101" s="3891"/>
      <c r="O101" s="3891"/>
      <c r="P101" s="3891"/>
      <c r="Q101" s="3891"/>
      <c r="R101" s="3891"/>
      <c r="S101" s="3891"/>
      <c r="T101" s="3891"/>
      <c r="U101" s="3891"/>
      <c r="V101" s="3891"/>
      <c r="W101" s="3891"/>
      <c r="X101" s="3891"/>
      <c r="Y101" s="3891"/>
      <c r="Z101" s="3891"/>
      <c r="AA101" s="3891"/>
      <c r="AB101" s="3891"/>
      <c r="AC101" s="389">
        <f t="shared" si="10"/>
        <v>0</v>
      </c>
      <c r="AD101" s="5"/>
      <c r="AE101" s="5"/>
      <c r="AF101" s="5"/>
      <c r="AG101" s="5"/>
      <c r="AH101" s="5"/>
      <c r="AI101" s="5"/>
      <c r="AJ101" s="5"/>
      <c r="AK101" s="5"/>
      <c r="AL101" s="5"/>
      <c r="AM101" s="5"/>
      <c r="AN101" s="5"/>
      <c r="AO101" s="5"/>
      <c r="AP101" s="5"/>
      <c r="AQ101" s="5"/>
      <c r="AR101" s="5"/>
      <c r="AS101" s="5"/>
      <c r="AT101" s="20"/>
      <c r="AU101" s="1182"/>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81"/>
      <c r="E102" s="389">
        <f t="shared" si="7"/>
        <v>0</v>
      </c>
      <c r="F102" s="20"/>
      <c r="G102" s="3890">
        <f t="shared" si="8"/>
        <v>0</v>
      </c>
      <c r="H102" s="1282">
        <f t="shared" si="9"/>
        <v>0</v>
      </c>
      <c r="I102" s="3891"/>
      <c r="J102" s="3891"/>
      <c r="K102" s="3891"/>
      <c r="L102" s="3891"/>
      <c r="M102" s="3891"/>
      <c r="N102" s="3891"/>
      <c r="O102" s="3891"/>
      <c r="P102" s="3891"/>
      <c r="Q102" s="3891"/>
      <c r="R102" s="3891"/>
      <c r="S102" s="3891"/>
      <c r="T102" s="3891"/>
      <c r="U102" s="3891"/>
      <c r="V102" s="3891"/>
      <c r="W102" s="3891"/>
      <c r="X102" s="3891"/>
      <c r="Y102" s="3891"/>
      <c r="Z102" s="3891"/>
      <c r="AA102" s="3891"/>
      <c r="AB102" s="3891"/>
      <c r="AC102" s="389">
        <f t="shared" si="10"/>
        <v>0</v>
      </c>
      <c r="AD102" s="5"/>
      <c r="AE102" s="5"/>
      <c r="AF102" s="5"/>
      <c r="AG102" s="5"/>
      <c r="AH102" s="5"/>
      <c r="AI102" s="5"/>
      <c r="AJ102" s="5"/>
      <c r="AK102" s="5"/>
      <c r="AL102" s="5"/>
      <c r="AM102" s="5"/>
      <c r="AN102" s="5"/>
      <c r="AO102" s="5"/>
      <c r="AP102" s="5"/>
      <c r="AQ102" s="5"/>
      <c r="AR102" s="5"/>
      <c r="AS102" s="5"/>
      <c r="AT102" s="20"/>
      <c r="AU102" s="1182"/>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81"/>
      <c r="E103" s="389">
        <f t="shared" si="7"/>
        <v>0</v>
      </c>
      <c r="F103" s="20"/>
      <c r="G103" s="3890">
        <f t="shared" si="8"/>
        <v>0</v>
      </c>
      <c r="H103" s="1282">
        <f t="shared" si="9"/>
        <v>0</v>
      </c>
      <c r="I103" s="3891"/>
      <c r="J103" s="3891"/>
      <c r="K103" s="3891"/>
      <c r="L103" s="3891"/>
      <c r="M103" s="3891"/>
      <c r="N103" s="3891"/>
      <c r="O103" s="3891"/>
      <c r="P103" s="3891"/>
      <c r="Q103" s="3891"/>
      <c r="R103" s="3891"/>
      <c r="S103" s="3891"/>
      <c r="T103" s="3891"/>
      <c r="U103" s="3891"/>
      <c r="V103" s="3891"/>
      <c r="W103" s="3891"/>
      <c r="X103" s="3891"/>
      <c r="Y103" s="3891"/>
      <c r="Z103" s="3891"/>
      <c r="AA103" s="3891"/>
      <c r="AB103" s="3891"/>
      <c r="AC103" s="389">
        <f t="shared" si="10"/>
        <v>0</v>
      </c>
      <c r="AD103" s="5"/>
      <c r="AE103" s="5"/>
      <c r="AF103" s="5"/>
      <c r="AG103" s="5"/>
      <c r="AH103" s="5"/>
      <c r="AI103" s="5"/>
      <c r="AJ103" s="5"/>
      <c r="AK103" s="5"/>
      <c r="AL103" s="5"/>
      <c r="AM103" s="5"/>
      <c r="AN103" s="5"/>
      <c r="AO103" s="5"/>
      <c r="AP103" s="5"/>
      <c r="AQ103" s="5"/>
      <c r="AR103" s="5"/>
      <c r="AS103" s="5"/>
      <c r="AT103" s="20"/>
      <c r="AU103" s="1182"/>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81"/>
      <c r="E104" s="389">
        <f t="shared" si="7"/>
        <v>0</v>
      </c>
      <c r="F104" s="20"/>
      <c r="G104" s="3890">
        <f t="shared" si="8"/>
        <v>0</v>
      </c>
      <c r="H104" s="1282">
        <f t="shared" si="9"/>
        <v>0</v>
      </c>
      <c r="I104" s="3891"/>
      <c r="J104" s="3891"/>
      <c r="K104" s="3891"/>
      <c r="L104" s="3891"/>
      <c r="M104" s="3891"/>
      <c r="N104" s="3891"/>
      <c r="O104" s="3891"/>
      <c r="P104" s="3891"/>
      <c r="Q104" s="3891"/>
      <c r="R104" s="3891"/>
      <c r="S104" s="3891"/>
      <c r="T104" s="3891"/>
      <c r="U104" s="3891"/>
      <c r="V104" s="3891"/>
      <c r="W104" s="3891"/>
      <c r="X104" s="3891"/>
      <c r="Y104" s="3891"/>
      <c r="Z104" s="3891"/>
      <c r="AA104" s="3891"/>
      <c r="AB104" s="3891"/>
      <c r="AC104" s="389">
        <f t="shared" si="10"/>
        <v>0</v>
      </c>
      <c r="AD104" s="5"/>
      <c r="AE104" s="5"/>
      <c r="AF104" s="5"/>
      <c r="AG104" s="5"/>
      <c r="AH104" s="5"/>
      <c r="AI104" s="5"/>
      <c r="AJ104" s="5"/>
      <c r="AK104" s="5"/>
      <c r="AL104" s="5"/>
      <c r="AM104" s="5"/>
      <c r="AN104" s="5"/>
      <c r="AO104" s="5"/>
      <c r="AP104" s="5"/>
      <c r="AQ104" s="5"/>
      <c r="AR104" s="5"/>
      <c r="AS104" s="5"/>
      <c r="AT104" s="20"/>
      <c r="AU104" s="1182"/>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81"/>
      <c r="E105" s="389">
        <f t="shared" si="7"/>
        <v>0</v>
      </c>
      <c r="F105" s="20"/>
      <c r="G105" s="3890">
        <f t="shared" si="8"/>
        <v>0</v>
      </c>
      <c r="H105" s="1282">
        <f t="shared" si="9"/>
        <v>0</v>
      </c>
      <c r="I105" s="3891"/>
      <c r="J105" s="3891"/>
      <c r="K105" s="3891"/>
      <c r="L105" s="3891"/>
      <c r="M105" s="3891"/>
      <c r="N105" s="3891"/>
      <c r="O105" s="3891"/>
      <c r="P105" s="3891"/>
      <c r="Q105" s="3891"/>
      <c r="R105" s="3891"/>
      <c r="S105" s="3891"/>
      <c r="T105" s="3891"/>
      <c r="U105" s="3891"/>
      <c r="V105" s="3891"/>
      <c r="W105" s="3891"/>
      <c r="X105" s="3891"/>
      <c r="Y105" s="3891"/>
      <c r="Z105" s="3891"/>
      <c r="AA105" s="3891"/>
      <c r="AB105" s="3891"/>
      <c r="AC105" s="389">
        <f t="shared" si="10"/>
        <v>0</v>
      </c>
      <c r="AD105" s="5"/>
      <c r="AE105" s="5"/>
      <c r="AF105" s="5"/>
      <c r="AG105" s="5"/>
      <c r="AH105" s="5"/>
      <c r="AI105" s="5"/>
      <c r="AJ105" s="5"/>
      <c r="AK105" s="5"/>
      <c r="AL105" s="5"/>
      <c r="AM105" s="5"/>
      <c r="AN105" s="5"/>
      <c r="AO105" s="5"/>
      <c r="AP105" s="5"/>
      <c r="AQ105" s="5"/>
      <c r="AR105" s="5"/>
      <c r="AS105" s="5"/>
      <c r="AT105" s="20"/>
      <c r="AU105" s="1182"/>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81"/>
      <c r="E106" s="389">
        <f t="shared" si="7"/>
        <v>0</v>
      </c>
      <c r="F106" s="20"/>
      <c r="G106" s="3890">
        <f t="shared" si="8"/>
        <v>0</v>
      </c>
      <c r="H106" s="1282">
        <f t="shared" si="9"/>
        <v>0</v>
      </c>
      <c r="I106" s="3891"/>
      <c r="J106" s="3891"/>
      <c r="K106" s="3891"/>
      <c r="L106" s="3891"/>
      <c r="M106" s="3891"/>
      <c r="N106" s="3891"/>
      <c r="O106" s="3891"/>
      <c r="P106" s="3891"/>
      <c r="Q106" s="3891"/>
      <c r="R106" s="3891"/>
      <c r="S106" s="3891"/>
      <c r="T106" s="3891"/>
      <c r="U106" s="3891"/>
      <c r="V106" s="3891"/>
      <c r="W106" s="3891"/>
      <c r="X106" s="3891"/>
      <c r="Y106" s="3891"/>
      <c r="Z106" s="3891"/>
      <c r="AA106" s="3891"/>
      <c r="AB106" s="3891"/>
      <c r="AC106" s="389">
        <f t="shared" si="10"/>
        <v>0</v>
      </c>
      <c r="AD106" s="5"/>
      <c r="AE106" s="5"/>
      <c r="AF106" s="5"/>
      <c r="AG106" s="5"/>
      <c r="AH106" s="5"/>
      <c r="AI106" s="5"/>
      <c r="AJ106" s="5"/>
      <c r="AK106" s="5"/>
      <c r="AL106" s="5"/>
      <c r="AM106" s="5"/>
      <c r="AN106" s="5"/>
      <c r="AO106" s="5"/>
      <c r="AP106" s="5"/>
      <c r="AQ106" s="5"/>
      <c r="AR106" s="5"/>
      <c r="AS106" s="5"/>
      <c r="AT106" s="20"/>
      <c r="AU106" s="1182"/>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81"/>
      <c r="E107" s="389">
        <f t="shared" si="7"/>
        <v>0</v>
      </c>
      <c r="F107" s="20"/>
      <c r="G107" s="3890">
        <f t="shared" si="8"/>
        <v>0</v>
      </c>
      <c r="H107" s="1282">
        <f t="shared" si="9"/>
        <v>0</v>
      </c>
      <c r="I107" s="3891"/>
      <c r="J107" s="3891"/>
      <c r="K107" s="3891"/>
      <c r="L107" s="3891"/>
      <c r="M107" s="3891"/>
      <c r="N107" s="3891"/>
      <c r="O107" s="3891"/>
      <c r="P107" s="3891"/>
      <c r="Q107" s="3891"/>
      <c r="R107" s="3891"/>
      <c r="S107" s="3891"/>
      <c r="T107" s="3891"/>
      <c r="U107" s="3891"/>
      <c r="V107" s="3891"/>
      <c r="W107" s="3891"/>
      <c r="X107" s="3891"/>
      <c r="Y107" s="3891"/>
      <c r="Z107" s="3891"/>
      <c r="AA107" s="3891"/>
      <c r="AB107" s="3891"/>
      <c r="AC107" s="389">
        <f t="shared" si="10"/>
        <v>0</v>
      </c>
      <c r="AD107" s="5"/>
      <c r="AE107" s="5"/>
      <c r="AF107" s="5"/>
      <c r="AG107" s="5"/>
      <c r="AH107" s="5"/>
      <c r="AI107" s="5"/>
      <c r="AJ107" s="5"/>
      <c r="AK107" s="5"/>
      <c r="AL107" s="5"/>
      <c r="AM107" s="5"/>
      <c r="AN107" s="5"/>
      <c r="AO107" s="5"/>
      <c r="AP107" s="5"/>
      <c r="AQ107" s="5"/>
      <c r="AR107" s="5"/>
      <c r="AS107" s="5"/>
      <c r="AT107" s="20"/>
      <c r="AU107" s="1182"/>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81"/>
      <c r="E108" s="389">
        <f t="shared" si="7"/>
        <v>0</v>
      </c>
      <c r="F108" s="20"/>
      <c r="G108" s="3890">
        <f t="shared" si="8"/>
        <v>0</v>
      </c>
      <c r="H108" s="1282">
        <f t="shared" si="9"/>
        <v>0</v>
      </c>
      <c r="I108" s="3891"/>
      <c r="J108" s="3891"/>
      <c r="K108" s="3891"/>
      <c r="L108" s="3891"/>
      <c r="M108" s="3891"/>
      <c r="N108" s="3891"/>
      <c r="O108" s="3891"/>
      <c r="P108" s="3891"/>
      <c r="Q108" s="3891"/>
      <c r="R108" s="3891"/>
      <c r="S108" s="3891"/>
      <c r="T108" s="3891"/>
      <c r="U108" s="3891"/>
      <c r="V108" s="3891"/>
      <c r="W108" s="3891"/>
      <c r="X108" s="3891"/>
      <c r="Y108" s="3891"/>
      <c r="Z108" s="3891"/>
      <c r="AA108" s="3891"/>
      <c r="AB108" s="3891"/>
      <c r="AC108" s="389">
        <f t="shared" si="10"/>
        <v>0</v>
      </c>
      <c r="AD108" s="5"/>
      <c r="AE108" s="5"/>
      <c r="AF108" s="5"/>
      <c r="AG108" s="5"/>
      <c r="AH108" s="5"/>
      <c r="AI108" s="5"/>
      <c r="AJ108" s="5"/>
      <c r="AK108" s="5"/>
      <c r="AL108" s="5"/>
      <c r="AM108" s="5"/>
      <c r="AN108" s="5"/>
      <c r="AO108" s="5"/>
      <c r="AP108" s="5"/>
      <c r="AQ108" s="5"/>
      <c r="AR108" s="5"/>
      <c r="AS108" s="5"/>
      <c r="AT108" s="20"/>
      <c r="AU108" s="1182"/>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81"/>
      <c r="E109" s="389">
        <f t="shared" si="7"/>
        <v>0</v>
      </c>
      <c r="F109" s="20"/>
      <c r="G109" s="3890">
        <f t="shared" si="8"/>
        <v>0</v>
      </c>
      <c r="H109" s="1282">
        <f t="shared" si="9"/>
        <v>0</v>
      </c>
      <c r="I109" s="3891"/>
      <c r="J109" s="3891"/>
      <c r="K109" s="3891"/>
      <c r="L109" s="3891"/>
      <c r="M109" s="3891"/>
      <c r="N109" s="3891"/>
      <c r="O109" s="3891"/>
      <c r="P109" s="3891"/>
      <c r="Q109" s="3891"/>
      <c r="R109" s="3891"/>
      <c r="S109" s="3891"/>
      <c r="T109" s="3891"/>
      <c r="U109" s="3891"/>
      <c r="V109" s="3891"/>
      <c r="W109" s="3891"/>
      <c r="X109" s="3891"/>
      <c r="Y109" s="3891"/>
      <c r="Z109" s="3891"/>
      <c r="AA109" s="3891"/>
      <c r="AB109" s="3891"/>
      <c r="AC109" s="389">
        <f t="shared" si="10"/>
        <v>0</v>
      </c>
      <c r="AD109" s="5"/>
      <c r="AE109" s="5"/>
      <c r="AF109" s="5"/>
      <c r="AG109" s="5"/>
      <c r="AH109" s="5"/>
      <c r="AI109" s="5"/>
      <c r="AJ109" s="5"/>
      <c r="AK109" s="5"/>
      <c r="AL109" s="5"/>
      <c r="AM109" s="5"/>
      <c r="AN109" s="5"/>
      <c r="AO109" s="5"/>
      <c r="AP109" s="5"/>
      <c r="AQ109" s="5"/>
      <c r="AR109" s="5"/>
      <c r="AS109" s="5"/>
      <c r="AT109" s="20"/>
      <c r="AU109" s="1182"/>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81"/>
      <c r="E110" s="389">
        <f t="shared" si="7"/>
        <v>0</v>
      </c>
      <c r="F110" s="5"/>
      <c r="G110" s="3890">
        <f t="shared" ref="G110:G141" si="36">H110+AC110+AT110</f>
        <v>0</v>
      </c>
      <c r="H110" s="1282">
        <f t="shared" ref="H110:H141" si="37">SUMIF(I$12:AB$12,"总值",I110:AB110)</f>
        <v>0</v>
      </c>
      <c r="I110" s="3891"/>
      <c r="J110" s="3891"/>
      <c r="K110" s="3891"/>
      <c r="L110" s="3891"/>
      <c r="M110" s="3891"/>
      <c r="N110" s="3891"/>
      <c r="O110" s="3891"/>
      <c r="P110" s="3891"/>
      <c r="Q110" s="3891"/>
      <c r="R110" s="3891"/>
      <c r="S110" s="3891"/>
      <c r="T110" s="3891"/>
      <c r="U110" s="3891"/>
      <c r="V110" s="3891"/>
      <c r="W110" s="3891"/>
      <c r="X110" s="3891"/>
      <c r="Y110" s="3891"/>
      <c r="Z110" s="3891"/>
      <c r="AA110" s="3891"/>
      <c r="AB110" s="3891"/>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83"/>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81"/>
      <c r="E111" s="389">
        <f t="shared" si="7"/>
        <v>0</v>
      </c>
      <c r="F111" s="5"/>
      <c r="G111" s="3890">
        <f t="shared" si="36"/>
        <v>0</v>
      </c>
      <c r="H111" s="1282">
        <f t="shared" si="37"/>
        <v>0</v>
      </c>
      <c r="I111" s="3891"/>
      <c r="J111" s="3891"/>
      <c r="K111" s="3891"/>
      <c r="L111" s="3891"/>
      <c r="M111" s="3891"/>
      <c r="N111" s="3891"/>
      <c r="O111" s="3891"/>
      <c r="P111" s="3891"/>
      <c r="Q111" s="3891"/>
      <c r="R111" s="3891"/>
      <c r="S111" s="3891"/>
      <c r="T111" s="3891"/>
      <c r="U111" s="3891"/>
      <c r="V111" s="3891"/>
      <c r="W111" s="3891"/>
      <c r="X111" s="3891"/>
      <c r="Y111" s="3891"/>
      <c r="Z111" s="3891"/>
      <c r="AA111" s="3891"/>
      <c r="AB111" s="3891"/>
      <c r="AC111" s="389">
        <f t="shared" si="38"/>
        <v>0</v>
      </c>
      <c r="AD111" s="5"/>
      <c r="AE111" s="5"/>
      <c r="AF111" s="5"/>
      <c r="AG111" s="5"/>
      <c r="AH111" s="5"/>
      <c r="AI111" s="5"/>
      <c r="AJ111" s="5"/>
      <c r="AK111" s="5"/>
      <c r="AL111" s="5"/>
      <c r="AM111" s="5"/>
      <c r="AN111" s="5"/>
      <c r="AO111" s="5"/>
      <c r="AP111" s="5"/>
      <c r="AQ111" s="5"/>
      <c r="AR111" s="5"/>
      <c r="AS111" s="5"/>
      <c r="AT111" s="5"/>
      <c r="AU111" s="783"/>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81"/>
      <c r="E112" s="389">
        <f t="shared" si="7"/>
        <v>0</v>
      </c>
      <c r="F112" s="5"/>
      <c r="G112" s="3890">
        <f t="shared" si="36"/>
        <v>0</v>
      </c>
      <c r="H112" s="1282">
        <f t="shared" si="37"/>
        <v>0</v>
      </c>
      <c r="I112" s="3891"/>
      <c r="J112" s="3891"/>
      <c r="K112" s="3891"/>
      <c r="L112" s="3891"/>
      <c r="M112" s="3891"/>
      <c r="N112" s="3891"/>
      <c r="O112" s="3891"/>
      <c r="P112" s="3891"/>
      <c r="Q112" s="3891"/>
      <c r="R112" s="3891"/>
      <c r="S112" s="3891"/>
      <c r="T112" s="3891"/>
      <c r="U112" s="3891"/>
      <c r="V112" s="3891"/>
      <c r="W112" s="3891"/>
      <c r="X112" s="3891"/>
      <c r="Y112" s="3891"/>
      <c r="Z112" s="3891"/>
      <c r="AA112" s="3891"/>
      <c r="AB112" s="3891"/>
      <c r="AC112" s="389">
        <f t="shared" si="38"/>
        <v>0</v>
      </c>
      <c r="AD112" s="5"/>
      <c r="AE112" s="5"/>
      <c r="AF112" s="5"/>
      <c r="AG112" s="5"/>
      <c r="AH112" s="5"/>
      <c r="AI112" s="5"/>
      <c r="AJ112" s="5"/>
      <c r="AK112" s="5"/>
      <c r="AL112" s="5"/>
      <c r="AM112" s="5"/>
      <c r="AN112" s="5"/>
      <c r="AO112" s="5"/>
      <c r="AP112" s="5"/>
      <c r="AQ112" s="5"/>
      <c r="AR112" s="5"/>
      <c r="AS112" s="5"/>
      <c r="AT112" s="5"/>
      <c r="AU112" s="783"/>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81"/>
      <c r="E113" s="389">
        <f t="shared" ref="E113:E144" si="61">IF($C$3="是",ROUND($A$3*G113/$B$3,2),ROUND($A$3*(G113-AT113)/$B$3,2))</f>
        <v>0</v>
      </c>
      <c r="F113" s="20"/>
      <c r="G113" s="3890">
        <f t="shared" si="36"/>
        <v>0</v>
      </c>
      <c r="H113" s="1282">
        <f t="shared" si="37"/>
        <v>0</v>
      </c>
      <c r="I113" s="3891"/>
      <c r="J113" s="3891"/>
      <c r="K113" s="3891"/>
      <c r="L113" s="3891"/>
      <c r="M113" s="3891"/>
      <c r="N113" s="3891"/>
      <c r="O113" s="3891"/>
      <c r="P113" s="3891"/>
      <c r="Q113" s="3891"/>
      <c r="R113" s="3891"/>
      <c r="S113" s="3891"/>
      <c r="T113" s="3891"/>
      <c r="U113" s="3891"/>
      <c r="V113" s="3891"/>
      <c r="W113" s="3891"/>
      <c r="X113" s="3891"/>
      <c r="Y113" s="3891"/>
      <c r="Z113" s="3891"/>
      <c r="AA113" s="3891"/>
      <c r="AB113" s="3891"/>
      <c r="AC113" s="389">
        <f t="shared" si="38"/>
        <v>0</v>
      </c>
      <c r="AD113" s="5"/>
      <c r="AE113" s="5"/>
      <c r="AF113" s="5"/>
      <c r="AG113" s="5"/>
      <c r="AH113" s="5"/>
      <c r="AI113" s="5"/>
      <c r="AJ113" s="5"/>
      <c r="AK113" s="5"/>
      <c r="AL113" s="5"/>
      <c r="AM113" s="5"/>
      <c r="AN113" s="5"/>
      <c r="AO113" s="5"/>
      <c r="AP113" s="5"/>
      <c r="AQ113" s="5"/>
      <c r="AR113" s="5"/>
      <c r="AS113" s="5"/>
      <c r="AT113" s="20"/>
      <c r="AU113" s="1182"/>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81"/>
      <c r="E114" s="389">
        <f t="shared" si="61"/>
        <v>0</v>
      </c>
      <c r="F114" s="20"/>
      <c r="G114" s="3890">
        <f t="shared" si="36"/>
        <v>0</v>
      </c>
      <c r="H114" s="1282">
        <f t="shared" si="37"/>
        <v>0</v>
      </c>
      <c r="I114" s="3891"/>
      <c r="J114" s="3891"/>
      <c r="K114" s="3891"/>
      <c r="L114" s="3891"/>
      <c r="M114" s="3891"/>
      <c r="N114" s="3891"/>
      <c r="O114" s="3891"/>
      <c r="P114" s="3891"/>
      <c r="Q114" s="3891"/>
      <c r="R114" s="3891"/>
      <c r="S114" s="3891"/>
      <c r="T114" s="3891"/>
      <c r="U114" s="3891"/>
      <c r="V114" s="3891"/>
      <c r="W114" s="3891"/>
      <c r="X114" s="3891"/>
      <c r="Y114" s="3891"/>
      <c r="Z114" s="3891"/>
      <c r="AA114" s="3891"/>
      <c r="AB114" s="3891"/>
      <c r="AC114" s="389">
        <f t="shared" si="38"/>
        <v>0</v>
      </c>
      <c r="AD114" s="5"/>
      <c r="AE114" s="5"/>
      <c r="AF114" s="5"/>
      <c r="AG114" s="5"/>
      <c r="AH114" s="5"/>
      <c r="AI114" s="5"/>
      <c r="AJ114" s="5"/>
      <c r="AK114" s="5"/>
      <c r="AL114" s="5"/>
      <c r="AM114" s="5"/>
      <c r="AN114" s="5"/>
      <c r="AO114" s="5"/>
      <c r="AP114" s="5"/>
      <c r="AQ114" s="5"/>
      <c r="AR114" s="5"/>
      <c r="AS114" s="5"/>
      <c r="AT114" s="20"/>
      <c r="AU114" s="1182"/>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81"/>
      <c r="E115" s="389">
        <f t="shared" si="61"/>
        <v>0</v>
      </c>
      <c r="F115" s="20"/>
      <c r="G115" s="3890">
        <f t="shared" si="36"/>
        <v>0</v>
      </c>
      <c r="H115" s="1282">
        <f t="shared" si="37"/>
        <v>0</v>
      </c>
      <c r="I115" s="3891"/>
      <c r="J115" s="3891"/>
      <c r="K115" s="3891"/>
      <c r="L115" s="3891"/>
      <c r="M115" s="3891"/>
      <c r="N115" s="3891"/>
      <c r="O115" s="3891"/>
      <c r="P115" s="3891"/>
      <c r="Q115" s="3891"/>
      <c r="R115" s="3891"/>
      <c r="S115" s="3891"/>
      <c r="T115" s="3891"/>
      <c r="U115" s="3891"/>
      <c r="V115" s="3891"/>
      <c r="W115" s="3891"/>
      <c r="X115" s="3891"/>
      <c r="Y115" s="3891"/>
      <c r="Z115" s="3891"/>
      <c r="AA115" s="3891"/>
      <c r="AB115" s="3891"/>
      <c r="AC115" s="389">
        <f t="shared" si="38"/>
        <v>0</v>
      </c>
      <c r="AD115" s="5"/>
      <c r="AE115" s="5"/>
      <c r="AF115" s="5"/>
      <c r="AG115" s="5"/>
      <c r="AH115" s="5"/>
      <c r="AI115" s="5"/>
      <c r="AJ115" s="5"/>
      <c r="AK115" s="5"/>
      <c r="AL115" s="5"/>
      <c r="AM115" s="5"/>
      <c r="AN115" s="5"/>
      <c r="AO115" s="5"/>
      <c r="AP115" s="5"/>
      <c r="AQ115" s="5"/>
      <c r="AR115" s="5"/>
      <c r="AS115" s="5"/>
      <c r="AT115" s="20"/>
      <c r="AU115" s="1182"/>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81"/>
      <c r="E116" s="389">
        <f t="shared" si="61"/>
        <v>0</v>
      </c>
      <c r="F116" s="20"/>
      <c r="G116" s="3890">
        <f t="shared" si="36"/>
        <v>0</v>
      </c>
      <c r="H116" s="1282">
        <f t="shared" si="37"/>
        <v>0</v>
      </c>
      <c r="I116" s="3891"/>
      <c r="J116" s="3891"/>
      <c r="K116" s="3891"/>
      <c r="L116" s="3891"/>
      <c r="M116" s="3891"/>
      <c r="N116" s="3891"/>
      <c r="O116" s="3891"/>
      <c r="P116" s="3891"/>
      <c r="Q116" s="3891"/>
      <c r="R116" s="3891"/>
      <c r="S116" s="3891"/>
      <c r="T116" s="3891"/>
      <c r="U116" s="3891"/>
      <c r="V116" s="3891"/>
      <c r="W116" s="3891"/>
      <c r="X116" s="3891"/>
      <c r="Y116" s="3891"/>
      <c r="Z116" s="3891"/>
      <c r="AA116" s="3891"/>
      <c r="AB116" s="3891"/>
      <c r="AC116" s="389">
        <f t="shared" si="38"/>
        <v>0</v>
      </c>
      <c r="AD116" s="5"/>
      <c r="AE116" s="5"/>
      <c r="AF116" s="5"/>
      <c r="AG116" s="5"/>
      <c r="AH116" s="5"/>
      <c r="AI116" s="5"/>
      <c r="AJ116" s="5"/>
      <c r="AK116" s="5"/>
      <c r="AL116" s="5"/>
      <c r="AM116" s="5"/>
      <c r="AN116" s="5"/>
      <c r="AO116" s="5"/>
      <c r="AP116" s="5"/>
      <c r="AQ116" s="5"/>
      <c r="AR116" s="5"/>
      <c r="AS116" s="5"/>
      <c r="AT116" s="20"/>
      <c r="AU116" s="1182"/>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81"/>
      <c r="E117" s="389">
        <f t="shared" si="61"/>
        <v>0</v>
      </c>
      <c r="F117" s="20"/>
      <c r="G117" s="3890">
        <f t="shared" si="36"/>
        <v>0</v>
      </c>
      <c r="H117" s="1282">
        <f t="shared" si="37"/>
        <v>0</v>
      </c>
      <c r="I117" s="3891"/>
      <c r="J117" s="3891"/>
      <c r="K117" s="3891"/>
      <c r="L117" s="3891"/>
      <c r="M117" s="3891"/>
      <c r="N117" s="3891"/>
      <c r="O117" s="3891"/>
      <c r="P117" s="3891"/>
      <c r="Q117" s="3891"/>
      <c r="R117" s="3891"/>
      <c r="S117" s="3891"/>
      <c r="T117" s="3891"/>
      <c r="U117" s="3891"/>
      <c r="V117" s="3891"/>
      <c r="W117" s="3891"/>
      <c r="X117" s="3891"/>
      <c r="Y117" s="3891"/>
      <c r="Z117" s="3891"/>
      <c r="AA117" s="3891"/>
      <c r="AB117" s="3891"/>
      <c r="AC117" s="389">
        <f t="shared" si="38"/>
        <v>0</v>
      </c>
      <c r="AD117" s="5"/>
      <c r="AE117" s="5"/>
      <c r="AF117" s="5"/>
      <c r="AG117" s="5"/>
      <c r="AH117" s="5"/>
      <c r="AI117" s="5"/>
      <c r="AJ117" s="5"/>
      <c r="AK117" s="5"/>
      <c r="AL117" s="5"/>
      <c r="AM117" s="5"/>
      <c r="AN117" s="5"/>
      <c r="AO117" s="5"/>
      <c r="AP117" s="5"/>
      <c r="AQ117" s="5"/>
      <c r="AR117" s="5"/>
      <c r="AS117" s="5"/>
      <c r="AT117" s="20"/>
      <c r="AU117" s="1182"/>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81"/>
      <c r="E118" s="389">
        <f t="shared" si="61"/>
        <v>0</v>
      </c>
      <c r="F118" s="20"/>
      <c r="G118" s="3890">
        <f t="shared" si="36"/>
        <v>0</v>
      </c>
      <c r="H118" s="1282">
        <f t="shared" si="37"/>
        <v>0</v>
      </c>
      <c r="I118" s="3891"/>
      <c r="J118" s="3891"/>
      <c r="K118" s="3891"/>
      <c r="L118" s="3891"/>
      <c r="M118" s="3891"/>
      <c r="N118" s="3891"/>
      <c r="O118" s="3891"/>
      <c r="P118" s="3891"/>
      <c r="Q118" s="3891"/>
      <c r="R118" s="3891"/>
      <c r="S118" s="3891"/>
      <c r="T118" s="3891"/>
      <c r="U118" s="3891"/>
      <c r="V118" s="3891"/>
      <c r="W118" s="3891"/>
      <c r="X118" s="3891"/>
      <c r="Y118" s="3891"/>
      <c r="Z118" s="3891"/>
      <c r="AA118" s="3891"/>
      <c r="AB118" s="3891"/>
      <c r="AC118" s="389">
        <f t="shared" si="38"/>
        <v>0</v>
      </c>
      <c r="AD118" s="5"/>
      <c r="AE118" s="5"/>
      <c r="AF118" s="5"/>
      <c r="AG118" s="5"/>
      <c r="AH118" s="5"/>
      <c r="AI118" s="5"/>
      <c r="AJ118" s="5"/>
      <c r="AK118" s="5"/>
      <c r="AL118" s="5"/>
      <c r="AM118" s="5"/>
      <c r="AN118" s="5"/>
      <c r="AO118" s="5"/>
      <c r="AP118" s="5"/>
      <c r="AQ118" s="5"/>
      <c r="AR118" s="5"/>
      <c r="AS118" s="5"/>
      <c r="AT118" s="20"/>
      <c r="AU118" s="1182"/>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81"/>
      <c r="E119" s="389">
        <f t="shared" si="61"/>
        <v>0</v>
      </c>
      <c r="F119" s="20"/>
      <c r="G119" s="3890">
        <f t="shared" si="36"/>
        <v>0</v>
      </c>
      <c r="H119" s="1282">
        <f t="shared" si="37"/>
        <v>0</v>
      </c>
      <c r="I119" s="3891"/>
      <c r="J119" s="3891"/>
      <c r="K119" s="3891"/>
      <c r="L119" s="3891"/>
      <c r="M119" s="3891"/>
      <c r="N119" s="3891"/>
      <c r="O119" s="3891"/>
      <c r="P119" s="3891"/>
      <c r="Q119" s="3891"/>
      <c r="R119" s="3891"/>
      <c r="S119" s="3891"/>
      <c r="T119" s="3891"/>
      <c r="U119" s="3891"/>
      <c r="V119" s="3891"/>
      <c r="W119" s="3891"/>
      <c r="X119" s="3891"/>
      <c r="Y119" s="3891"/>
      <c r="Z119" s="3891"/>
      <c r="AA119" s="3891"/>
      <c r="AB119" s="3891"/>
      <c r="AC119" s="389">
        <f t="shared" si="38"/>
        <v>0</v>
      </c>
      <c r="AD119" s="5"/>
      <c r="AE119" s="5"/>
      <c r="AF119" s="5"/>
      <c r="AG119" s="5"/>
      <c r="AH119" s="5"/>
      <c r="AI119" s="5"/>
      <c r="AJ119" s="5"/>
      <c r="AK119" s="5"/>
      <c r="AL119" s="5"/>
      <c r="AM119" s="5"/>
      <c r="AN119" s="5"/>
      <c r="AO119" s="5"/>
      <c r="AP119" s="5"/>
      <c r="AQ119" s="5"/>
      <c r="AR119" s="5"/>
      <c r="AS119" s="5"/>
      <c r="AT119" s="20"/>
      <c r="AU119" s="1182"/>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81"/>
      <c r="E120" s="389">
        <f t="shared" si="61"/>
        <v>0</v>
      </c>
      <c r="F120" s="20"/>
      <c r="G120" s="3890">
        <f t="shared" si="36"/>
        <v>0</v>
      </c>
      <c r="H120" s="1282">
        <f t="shared" si="37"/>
        <v>0</v>
      </c>
      <c r="I120" s="3891"/>
      <c r="J120" s="3891"/>
      <c r="K120" s="3891"/>
      <c r="L120" s="3891"/>
      <c r="M120" s="3891"/>
      <c r="N120" s="3891"/>
      <c r="O120" s="3891"/>
      <c r="P120" s="3891"/>
      <c r="Q120" s="3891"/>
      <c r="R120" s="3891"/>
      <c r="S120" s="3891"/>
      <c r="T120" s="3891"/>
      <c r="U120" s="3891"/>
      <c r="V120" s="3891"/>
      <c r="W120" s="3891"/>
      <c r="X120" s="3891"/>
      <c r="Y120" s="3891"/>
      <c r="Z120" s="3891"/>
      <c r="AA120" s="3891"/>
      <c r="AB120" s="3891"/>
      <c r="AC120" s="389">
        <f t="shared" si="38"/>
        <v>0</v>
      </c>
      <c r="AD120" s="5"/>
      <c r="AE120" s="5"/>
      <c r="AF120" s="5"/>
      <c r="AG120" s="5"/>
      <c r="AH120" s="5"/>
      <c r="AI120" s="5"/>
      <c r="AJ120" s="5"/>
      <c r="AK120" s="5"/>
      <c r="AL120" s="5"/>
      <c r="AM120" s="5"/>
      <c r="AN120" s="5"/>
      <c r="AO120" s="5"/>
      <c r="AP120" s="5"/>
      <c r="AQ120" s="5"/>
      <c r="AR120" s="5"/>
      <c r="AS120" s="5"/>
      <c r="AT120" s="20"/>
      <c r="AU120" s="1182"/>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81"/>
      <c r="E121" s="389">
        <f t="shared" si="61"/>
        <v>0</v>
      </c>
      <c r="F121" s="20"/>
      <c r="G121" s="3890">
        <f t="shared" si="36"/>
        <v>0</v>
      </c>
      <c r="H121" s="1282">
        <f t="shared" si="37"/>
        <v>0</v>
      </c>
      <c r="I121" s="3891"/>
      <c r="J121" s="3891"/>
      <c r="K121" s="3891"/>
      <c r="L121" s="3891"/>
      <c r="M121" s="3891"/>
      <c r="N121" s="3891"/>
      <c r="O121" s="3891"/>
      <c r="P121" s="3891"/>
      <c r="Q121" s="3891"/>
      <c r="R121" s="3891"/>
      <c r="S121" s="3891"/>
      <c r="T121" s="3891"/>
      <c r="U121" s="3891"/>
      <c r="V121" s="3891"/>
      <c r="W121" s="3891"/>
      <c r="X121" s="3891"/>
      <c r="Y121" s="3891"/>
      <c r="Z121" s="3891"/>
      <c r="AA121" s="3891"/>
      <c r="AB121" s="3891"/>
      <c r="AC121" s="389">
        <f t="shared" si="38"/>
        <v>0</v>
      </c>
      <c r="AD121" s="5"/>
      <c r="AE121" s="5"/>
      <c r="AF121" s="5"/>
      <c r="AG121" s="5"/>
      <c r="AH121" s="5"/>
      <c r="AI121" s="5"/>
      <c r="AJ121" s="5"/>
      <c r="AK121" s="5"/>
      <c r="AL121" s="5"/>
      <c r="AM121" s="5"/>
      <c r="AN121" s="5"/>
      <c r="AO121" s="5"/>
      <c r="AP121" s="5"/>
      <c r="AQ121" s="5"/>
      <c r="AR121" s="5"/>
      <c r="AS121" s="5"/>
      <c r="AT121" s="20"/>
      <c r="AU121" s="1182"/>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81"/>
      <c r="E122" s="389">
        <f t="shared" si="61"/>
        <v>0</v>
      </c>
      <c r="F122" s="20"/>
      <c r="G122" s="3890">
        <f t="shared" si="36"/>
        <v>0</v>
      </c>
      <c r="H122" s="1282">
        <f t="shared" si="37"/>
        <v>0</v>
      </c>
      <c r="I122" s="3891"/>
      <c r="J122" s="3891"/>
      <c r="K122" s="3891"/>
      <c r="L122" s="3891"/>
      <c r="M122" s="3891"/>
      <c r="N122" s="3891"/>
      <c r="O122" s="3891"/>
      <c r="P122" s="3891"/>
      <c r="Q122" s="3891"/>
      <c r="R122" s="3891"/>
      <c r="S122" s="3891"/>
      <c r="T122" s="3891"/>
      <c r="U122" s="3891"/>
      <c r="V122" s="3891"/>
      <c r="W122" s="3891"/>
      <c r="X122" s="3891"/>
      <c r="Y122" s="3891"/>
      <c r="Z122" s="3891"/>
      <c r="AA122" s="3891"/>
      <c r="AB122" s="3891"/>
      <c r="AC122" s="389">
        <f t="shared" si="38"/>
        <v>0</v>
      </c>
      <c r="AD122" s="5"/>
      <c r="AE122" s="5"/>
      <c r="AF122" s="5"/>
      <c r="AG122" s="5"/>
      <c r="AH122" s="5"/>
      <c r="AI122" s="5"/>
      <c r="AJ122" s="5"/>
      <c r="AK122" s="5"/>
      <c r="AL122" s="5"/>
      <c r="AM122" s="5"/>
      <c r="AN122" s="5"/>
      <c r="AO122" s="5"/>
      <c r="AP122" s="5"/>
      <c r="AQ122" s="5"/>
      <c r="AR122" s="5"/>
      <c r="AS122" s="5"/>
      <c r="AT122" s="20"/>
      <c r="AU122" s="1182"/>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81"/>
      <c r="E123" s="389">
        <f t="shared" si="61"/>
        <v>0</v>
      </c>
      <c r="F123" s="20"/>
      <c r="G123" s="3890">
        <f t="shared" si="36"/>
        <v>0</v>
      </c>
      <c r="H123" s="1282">
        <f t="shared" si="37"/>
        <v>0</v>
      </c>
      <c r="I123" s="3891"/>
      <c r="J123" s="3891"/>
      <c r="K123" s="3891"/>
      <c r="L123" s="3891"/>
      <c r="M123" s="3891"/>
      <c r="N123" s="3891"/>
      <c r="O123" s="3891"/>
      <c r="P123" s="3891"/>
      <c r="Q123" s="3891"/>
      <c r="R123" s="3891"/>
      <c r="S123" s="3891"/>
      <c r="T123" s="3891"/>
      <c r="U123" s="3891"/>
      <c r="V123" s="3891"/>
      <c r="W123" s="3891"/>
      <c r="X123" s="3891"/>
      <c r="Y123" s="3891"/>
      <c r="Z123" s="3891"/>
      <c r="AA123" s="3891"/>
      <c r="AB123" s="3891"/>
      <c r="AC123" s="389">
        <f t="shared" si="38"/>
        <v>0</v>
      </c>
      <c r="AD123" s="5"/>
      <c r="AE123" s="5"/>
      <c r="AF123" s="5"/>
      <c r="AG123" s="5"/>
      <c r="AH123" s="5"/>
      <c r="AI123" s="5"/>
      <c r="AJ123" s="5"/>
      <c r="AK123" s="5"/>
      <c r="AL123" s="5"/>
      <c r="AM123" s="5"/>
      <c r="AN123" s="5"/>
      <c r="AO123" s="5"/>
      <c r="AP123" s="5"/>
      <c r="AQ123" s="5"/>
      <c r="AR123" s="5"/>
      <c r="AS123" s="5"/>
      <c r="AT123" s="20"/>
      <c r="AU123" s="1182"/>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81"/>
      <c r="E124" s="389">
        <f t="shared" si="61"/>
        <v>0</v>
      </c>
      <c r="F124" s="20"/>
      <c r="G124" s="3890">
        <f t="shared" si="36"/>
        <v>0</v>
      </c>
      <c r="H124" s="1282">
        <f t="shared" si="37"/>
        <v>0</v>
      </c>
      <c r="I124" s="3891"/>
      <c r="J124" s="3891"/>
      <c r="K124" s="3891"/>
      <c r="L124" s="3891"/>
      <c r="M124" s="3891"/>
      <c r="N124" s="3891"/>
      <c r="O124" s="3891"/>
      <c r="P124" s="3891"/>
      <c r="Q124" s="3891"/>
      <c r="R124" s="3891"/>
      <c r="S124" s="3891"/>
      <c r="T124" s="3891"/>
      <c r="U124" s="3891"/>
      <c r="V124" s="3891"/>
      <c r="W124" s="3891"/>
      <c r="X124" s="3891"/>
      <c r="Y124" s="3891"/>
      <c r="Z124" s="3891"/>
      <c r="AA124" s="3891"/>
      <c r="AB124" s="3891"/>
      <c r="AC124" s="389">
        <f t="shared" si="38"/>
        <v>0</v>
      </c>
      <c r="AD124" s="5"/>
      <c r="AE124" s="5"/>
      <c r="AF124" s="5"/>
      <c r="AG124" s="5"/>
      <c r="AH124" s="5"/>
      <c r="AI124" s="5"/>
      <c r="AJ124" s="5"/>
      <c r="AK124" s="5"/>
      <c r="AL124" s="5"/>
      <c r="AM124" s="5"/>
      <c r="AN124" s="5"/>
      <c r="AO124" s="5"/>
      <c r="AP124" s="5"/>
      <c r="AQ124" s="5"/>
      <c r="AR124" s="5"/>
      <c r="AS124" s="5"/>
      <c r="AT124" s="20"/>
      <c r="AU124" s="1182"/>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81"/>
      <c r="E125" s="389">
        <f t="shared" si="61"/>
        <v>0</v>
      </c>
      <c r="F125" s="20"/>
      <c r="G125" s="3890">
        <f t="shared" si="36"/>
        <v>0</v>
      </c>
      <c r="H125" s="1282">
        <f t="shared" si="37"/>
        <v>0</v>
      </c>
      <c r="I125" s="3891"/>
      <c r="J125" s="3891"/>
      <c r="K125" s="3891"/>
      <c r="L125" s="3891"/>
      <c r="M125" s="3891"/>
      <c r="N125" s="3891"/>
      <c r="O125" s="3891"/>
      <c r="P125" s="3891"/>
      <c r="Q125" s="3891"/>
      <c r="R125" s="3891"/>
      <c r="S125" s="3891"/>
      <c r="T125" s="3891"/>
      <c r="U125" s="3891"/>
      <c r="V125" s="3891"/>
      <c r="W125" s="3891"/>
      <c r="X125" s="3891"/>
      <c r="Y125" s="3891"/>
      <c r="Z125" s="3891"/>
      <c r="AA125" s="3891"/>
      <c r="AB125" s="3891"/>
      <c r="AC125" s="389">
        <f t="shared" si="38"/>
        <v>0</v>
      </c>
      <c r="AD125" s="5"/>
      <c r="AE125" s="5"/>
      <c r="AF125" s="5"/>
      <c r="AG125" s="5"/>
      <c r="AH125" s="5"/>
      <c r="AI125" s="5"/>
      <c r="AJ125" s="5"/>
      <c r="AK125" s="5"/>
      <c r="AL125" s="5"/>
      <c r="AM125" s="5"/>
      <c r="AN125" s="5"/>
      <c r="AO125" s="5"/>
      <c r="AP125" s="5"/>
      <c r="AQ125" s="5"/>
      <c r="AR125" s="5"/>
      <c r="AS125" s="5"/>
      <c r="AT125" s="20"/>
      <c r="AU125" s="1182"/>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81"/>
      <c r="E126" s="389">
        <f t="shared" si="61"/>
        <v>0</v>
      </c>
      <c r="F126" s="20"/>
      <c r="G126" s="3890">
        <f t="shared" si="36"/>
        <v>0</v>
      </c>
      <c r="H126" s="1282">
        <f t="shared" si="37"/>
        <v>0</v>
      </c>
      <c r="I126" s="3891"/>
      <c r="J126" s="3891"/>
      <c r="K126" s="3891"/>
      <c r="L126" s="3891"/>
      <c r="M126" s="3891"/>
      <c r="N126" s="3891"/>
      <c r="O126" s="3891"/>
      <c r="P126" s="3891"/>
      <c r="Q126" s="3891"/>
      <c r="R126" s="3891"/>
      <c r="S126" s="3891"/>
      <c r="T126" s="3891"/>
      <c r="U126" s="3891"/>
      <c r="V126" s="3891"/>
      <c r="W126" s="3891"/>
      <c r="X126" s="3891"/>
      <c r="Y126" s="3891"/>
      <c r="Z126" s="3891"/>
      <c r="AA126" s="3891"/>
      <c r="AB126" s="3891"/>
      <c r="AC126" s="389">
        <f t="shared" si="38"/>
        <v>0</v>
      </c>
      <c r="AD126" s="5"/>
      <c r="AE126" s="5"/>
      <c r="AF126" s="5"/>
      <c r="AG126" s="5"/>
      <c r="AH126" s="5"/>
      <c r="AI126" s="5"/>
      <c r="AJ126" s="5"/>
      <c r="AK126" s="5"/>
      <c r="AL126" s="5"/>
      <c r="AM126" s="5"/>
      <c r="AN126" s="5"/>
      <c r="AO126" s="5"/>
      <c r="AP126" s="5"/>
      <c r="AQ126" s="5"/>
      <c r="AR126" s="5"/>
      <c r="AS126" s="5"/>
      <c r="AT126" s="20"/>
      <c r="AU126" s="1182"/>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81"/>
      <c r="E127" s="389">
        <f t="shared" si="61"/>
        <v>0</v>
      </c>
      <c r="F127" s="20"/>
      <c r="G127" s="3890">
        <f t="shared" si="36"/>
        <v>0</v>
      </c>
      <c r="H127" s="1282">
        <f t="shared" si="37"/>
        <v>0</v>
      </c>
      <c r="I127" s="3891"/>
      <c r="J127" s="3891"/>
      <c r="K127" s="3891"/>
      <c r="L127" s="3891"/>
      <c r="M127" s="3891"/>
      <c r="N127" s="3891"/>
      <c r="O127" s="3891"/>
      <c r="P127" s="3891"/>
      <c r="Q127" s="3891"/>
      <c r="R127" s="3891"/>
      <c r="S127" s="3891"/>
      <c r="T127" s="3891"/>
      <c r="U127" s="3891"/>
      <c r="V127" s="3891"/>
      <c r="W127" s="3891"/>
      <c r="X127" s="3891"/>
      <c r="Y127" s="3891"/>
      <c r="Z127" s="3891"/>
      <c r="AA127" s="3891"/>
      <c r="AB127" s="3891"/>
      <c r="AC127" s="389">
        <f t="shared" si="38"/>
        <v>0</v>
      </c>
      <c r="AD127" s="5"/>
      <c r="AE127" s="5"/>
      <c r="AF127" s="5"/>
      <c r="AG127" s="5"/>
      <c r="AH127" s="5"/>
      <c r="AI127" s="5"/>
      <c r="AJ127" s="5"/>
      <c r="AK127" s="5"/>
      <c r="AL127" s="5"/>
      <c r="AM127" s="5"/>
      <c r="AN127" s="5"/>
      <c r="AO127" s="5"/>
      <c r="AP127" s="5"/>
      <c r="AQ127" s="5"/>
      <c r="AR127" s="5"/>
      <c r="AS127" s="5"/>
      <c r="AT127" s="20"/>
      <c r="AU127" s="1182"/>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81"/>
      <c r="E128" s="389">
        <f t="shared" si="61"/>
        <v>0</v>
      </c>
      <c r="F128" s="20"/>
      <c r="G128" s="3890">
        <f t="shared" si="36"/>
        <v>0</v>
      </c>
      <c r="H128" s="1282">
        <f t="shared" si="37"/>
        <v>0</v>
      </c>
      <c r="I128" s="3891"/>
      <c r="J128" s="3891"/>
      <c r="K128" s="3891"/>
      <c r="L128" s="3891"/>
      <c r="M128" s="3891"/>
      <c r="N128" s="3891"/>
      <c r="O128" s="3891"/>
      <c r="P128" s="3891"/>
      <c r="Q128" s="3891"/>
      <c r="R128" s="3891"/>
      <c r="S128" s="3891"/>
      <c r="T128" s="3891"/>
      <c r="U128" s="3891"/>
      <c r="V128" s="3891"/>
      <c r="W128" s="3891"/>
      <c r="X128" s="3891"/>
      <c r="Y128" s="3891"/>
      <c r="Z128" s="3891"/>
      <c r="AA128" s="3891"/>
      <c r="AB128" s="3891"/>
      <c r="AC128" s="389">
        <f t="shared" si="38"/>
        <v>0</v>
      </c>
      <c r="AD128" s="5"/>
      <c r="AE128" s="5"/>
      <c r="AF128" s="5"/>
      <c r="AG128" s="5"/>
      <c r="AH128" s="5"/>
      <c r="AI128" s="5"/>
      <c r="AJ128" s="5"/>
      <c r="AK128" s="5"/>
      <c r="AL128" s="5"/>
      <c r="AM128" s="5"/>
      <c r="AN128" s="5"/>
      <c r="AO128" s="5"/>
      <c r="AP128" s="5"/>
      <c r="AQ128" s="5"/>
      <c r="AR128" s="5"/>
      <c r="AS128" s="5"/>
      <c r="AT128" s="20"/>
      <c r="AU128" s="1182"/>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81"/>
      <c r="E129" s="389">
        <f t="shared" si="61"/>
        <v>0</v>
      </c>
      <c r="F129" s="20"/>
      <c r="G129" s="3890">
        <f t="shared" si="36"/>
        <v>0</v>
      </c>
      <c r="H129" s="1282">
        <f t="shared" si="37"/>
        <v>0</v>
      </c>
      <c r="I129" s="3891"/>
      <c r="J129" s="3891"/>
      <c r="K129" s="3891"/>
      <c r="L129" s="3891"/>
      <c r="M129" s="3891"/>
      <c r="N129" s="3891"/>
      <c r="O129" s="3891"/>
      <c r="P129" s="3891"/>
      <c r="Q129" s="3891"/>
      <c r="R129" s="3891"/>
      <c r="S129" s="3891"/>
      <c r="T129" s="3891"/>
      <c r="U129" s="3891"/>
      <c r="V129" s="3891"/>
      <c r="W129" s="3891"/>
      <c r="X129" s="3891"/>
      <c r="Y129" s="3891"/>
      <c r="Z129" s="3891"/>
      <c r="AA129" s="3891"/>
      <c r="AB129" s="3891"/>
      <c r="AC129" s="389">
        <f t="shared" si="38"/>
        <v>0</v>
      </c>
      <c r="AD129" s="5"/>
      <c r="AE129" s="5"/>
      <c r="AF129" s="5"/>
      <c r="AG129" s="5"/>
      <c r="AH129" s="5"/>
      <c r="AI129" s="5"/>
      <c r="AJ129" s="5"/>
      <c r="AK129" s="5"/>
      <c r="AL129" s="5"/>
      <c r="AM129" s="5"/>
      <c r="AN129" s="5"/>
      <c r="AO129" s="5"/>
      <c r="AP129" s="5"/>
      <c r="AQ129" s="5"/>
      <c r="AR129" s="5"/>
      <c r="AS129" s="5"/>
      <c r="AT129" s="20"/>
      <c r="AU129" s="1182"/>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81"/>
      <c r="E130" s="389">
        <f t="shared" si="61"/>
        <v>0</v>
      </c>
      <c r="F130" s="20"/>
      <c r="G130" s="3890">
        <f t="shared" si="36"/>
        <v>0</v>
      </c>
      <c r="H130" s="1282">
        <f t="shared" si="37"/>
        <v>0</v>
      </c>
      <c r="I130" s="3891"/>
      <c r="J130" s="3891"/>
      <c r="K130" s="3891"/>
      <c r="L130" s="3891"/>
      <c r="M130" s="3891"/>
      <c r="N130" s="3891"/>
      <c r="O130" s="3891"/>
      <c r="P130" s="3891"/>
      <c r="Q130" s="3891"/>
      <c r="R130" s="3891"/>
      <c r="S130" s="3891"/>
      <c r="T130" s="3891"/>
      <c r="U130" s="3891"/>
      <c r="V130" s="3891"/>
      <c r="W130" s="3891"/>
      <c r="X130" s="3891"/>
      <c r="Y130" s="3891"/>
      <c r="Z130" s="3891"/>
      <c r="AA130" s="3891"/>
      <c r="AB130" s="3891"/>
      <c r="AC130" s="389">
        <f t="shared" si="38"/>
        <v>0</v>
      </c>
      <c r="AD130" s="5"/>
      <c r="AE130" s="5"/>
      <c r="AF130" s="5"/>
      <c r="AG130" s="5"/>
      <c r="AH130" s="5"/>
      <c r="AI130" s="5"/>
      <c r="AJ130" s="5"/>
      <c r="AK130" s="5"/>
      <c r="AL130" s="5"/>
      <c r="AM130" s="5"/>
      <c r="AN130" s="5"/>
      <c r="AO130" s="5"/>
      <c r="AP130" s="5"/>
      <c r="AQ130" s="5"/>
      <c r="AR130" s="5"/>
      <c r="AS130" s="5"/>
      <c r="AT130" s="20"/>
      <c r="AU130" s="1182"/>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81"/>
      <c r="E131" s="389">
        <f t="shared" si="61"/>
        <v>0</v>
      </c>
      <c r="F131" s="20"/>
      <c r="G131" s="3890">
        <f t="shared" si="36"/>
        <v>0</v>
      </c>
      <c r="H131" s="1282">
        <f t="shared" si="37"/>
        <v>0</v>
      </c>
      <c r="I131" s="3891"/>
      <c r="J131" s="3891"/>
      <c r="K131" s="3891"/>
      <c r="L131" s="3891"/>
      <c r="M131" s="3891"/>
      <c r="N131" s="3891"/>
      <c r="O131" s="3891"/>
      <c r="P131" s="3891"/>
      <c r="Q131" s="3891"/>
      <c r="R131" s="3891"/>
      <c r="S131" s="3891"/>
      <c r="T131" s="3891"/>
      <c r="U131" s="3891"/>
      <c r="V131" s="3891"/>
      <c r="W131" s="3891"/>
      <c r="X131" s="3891"/>
      <c r="Y131" s="3891"/>
      <c r="Z131" s="3891"/>
      <c r="AA131" s="3891"/>
      <c r="AB131" s="3891"/>
      <c r="AC131" s="389">
        <f t="shared" si="38"/>
        <v>0</v>
      </c>
      <c r="AD131" s="5"/>
      <c r="AE131" s="5"/>
      <c r="AF131" s="5"/>
      <c r="AG131" s="5"/>
      <c r="AH131" s="5"/>
      <c r="AI131" s="5"/>
      <c r="AJ131" s="5"/>
      <c r="AK131" s="5"/>
      <c r="AL131" s="5"/>
      <c r="AM131" s="5"/>
      <c r="AN131" s="5"/>
      <c r="AO131" s="5"/>
      <c r="AP131" s="5"/>
      <c r="AQ131" s="5"/>
      <c r="AR131" s="5"/>
      <c r="AS131" s="5"/>
      <c r="AT131" s="20"/>
      <c r="AU131" s="1182"/>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81"/>
      <c r="E132" s="389">
        <f t="shared" si="61"/>
        <v>0</v>
      </c>
      <c r="F132" s="20"/>
      <c r="G132" s="3890">
        <f t="shared" si="36"/>
        <v>0</v>
      </c>
      <c r="H132" s="1282">
        <f t="shared" si="37"/>
        <v>0</v>
      </c>
      <c r="I132" s="3891"/>
      <c r="J132" s="3891"/>
      <c r="K132" s="3891"/>
      <c r="L132" s="3891"/>
      <c r="M132" s="3891"/>
      <c r="N132" s="3891"/>
      <c r="O132" s="3891"/>
      <c r="P132" s="3891"/>
      <c r="Q132" s="3891"/>
      <c r="R132" s="3891"/>
      <c r="S132" s="3891"/>
      <c r="T132" s="3891"/>
      <c r="U132" s="3891"/>
      <c r="V132" s="3891"/>
      <c r="W132" s="3891"/>
      <c r="X132" s="3891"/>
      <c r="Y132" s="3891"/>
      <c r="Z132" s="3891"/>
      <c r="AA132" s="3891"/>
      <c r="AB132" s="3891"/>
      <c r="AC132" s="389">
        <f t="shared" si="38"/>
        <v>0</v>
      </c>
      <c r="AD132" s="5"/>
      <c r="AE132" s="5"/>
      <c r="AF132" s="5"/>
      <c r="AG132" s="5"/>
      <c r="AH132" s="5"/>
      <c r="AI132" s="5"/>
      <c r="AJ132" s="5"/>
      <c r="AK132" s="5"/>
      <c r="AL132" s="5"/>
      <c r="AM132" s="5"/>
      <c r="AN132" s="5"/>
      <c r="AO132" s="5"/>
      <c r="AP132" s="5"/>
      <c r="AQ132" s="5"/>
      <c r="AR132" s="5"/>
      <c r="AS132" s="5"/>
      <c r="AT132" s="20"/>
      <c r="AU132" s="1182"/>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81"/>
      <c r="E133" s="389">
        <f t="shared" si="61"/>
        <v>0</v>
      </c>
      <c r="F133" s="20"/>
      <c r="G133" s="3890">
        <f t="shared" si="36"/>
        <v>0</v>
      </c>
      <c r="H133" s="1282">
        <f t="shared" si="37"/>
        <v>0</v>
      </c>
      <c r="I133" s="3891"/>
      <c r="J133" s="3891"/>
      <c r="K133" s="3891"/>
      <c r="L133" s="3891"/>
      <c r="M133" s="3891"/>
      <c r="N133" s="3891"/>
      <c r="O133" s="3891"/>
      <c r="P133" s="3891"/>
      <c r="Q133" s="3891"/>
      <c r="R133" s="3891"/>
      <c r="S133" s="3891"/>
      <c r="T133" s="3891"/>
      <c r="U133" s="3891"/>
      <c r="V133" s="3891"/>
      <c r="W133" s="3891"/>
      <c r="X133" s="3891"/>
      <c r="Y133" s="3891"/>
      <c r="Z133" s="3891"/>
      <c r="AA133" s="3891"/>
      <c r="AB133" s="3891"/>
      <c r="AC133" s="389">
        <f t="shared" si="38"/>
        <v>0</v>
      </c>
      <c r="AD133" s="5"/>
      <c r="AE133" s="5"/>
      <c r="AF133" s="5"/>
      <c r="AG133" s="5"/>
      <c r="AH133" s="5"/>
      <c r="AI133" s="5"/>
      <c r="AJ133" s="5"/>
      <c r="AK133" s="5"/>
      <c r="AL133" s="5"/>
      <c r="AM133" s="5"/>
      <c r="AN133" s="5"/>
      <c r="AO133" s="5"/>
      <c r="AP133" s="5"/>
      <c r="AQ133" s="5"/>
      <c r="AR133" s="5"/>
      <c r="AS133" s="5"/>
      <c r="AT133" s="20"/>
      <c r="AU133" s="1182"/>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81"/>
      <c r="E134" s="389">
        <f t="shared" si="61"/>
        <v>0</v>
      </c>
      <c r="F134" s="20"/>
      <c r="G134" s="3890">
        <f t="shared" si="36"/>
        <v>0</v>
      </c>
      <c r="H134" s="1282">
        <f t="shared" si="37"/>
        <v>0</v>
      </c>
      <c r="I134" s="3891"/>
      <c r="J134" s="3891"/>
      <c r="K134" s="3891"/>
      <c r="L134" s="3891"/>
      <c r="M134" s="3891"/>
      <c r="N134" s="3891"/>
      <c r="O134" s="3891"/>
      <c r="P134" s="3891"/>
      <c r="Q134" s="3891"/>
      <c r="R134" s="3891"/>
      <c r="S134" s="3891"/>
      <c r="T134" s="3891"/>
      <c r="U134" s="3891"/>
      <c r="V134" s="3891"/>
      <c r="W134" s="3891"/>
      <c r="X134" s="3891"/>
      <c r="Y134" s="3891"/>
      <c r="Z134" s="3891"/>
      <c r="AA134" s="3891"/>
      <c r="AB134" s="3891"/>
      <c r="AC134" s="389">
        <f t="shared" si="38"/>
        <v>0</v>
      </c>
      <c r="AD134" s="5"/>
      <c r="AE134" s="5"/>
      <c r="AF134" s="5"/>
      <c r="AG134" s="5"/>
      <c r="AH134" s="5"/>
      <c r="AI134" s="5"/>
      <c r="AJ134" s="5"/>
      <c r="AK134" s="5"/>
      <c r="AL134" s="5"/>
      <c r="AM134" s="5"/>
      <c r="AN134" s="5"/>
      <c r="AO134" s="5"/>
      <c r="AP134" s="5"/>
      <c r="AQ134" s="5"/>
      <c r="AR134" s="5"/>
      <c r="AS134" s="5"/>
      <c r="AT134" s="20"/>
      <c r="AU134" s="1182"/>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81"/>
      <c r="E135" s="389">
        <f t="shared" si="61"/>
        <v>0</v>
      </c>
      <c r="F135" s="20"/>
      <c r="G135" s="3890">
        <f t="shared" si="36"/>
        <v>0</v>
      </c>
      <c r="H135" s="1282">
        <f t="shared" si="37"/>
        <v>0</v>
      </c>
      <c r="I135" s="3891"/>
      <c r="J135" s="3891"/>
      <c r="K135" s="3891"/>
      <c r="L135" s="3891"/>
      <c r="M135" s="3891"/>
      <c r="N135" s="3891"/>
      <c r="O135" s="3891"/>
      <c r="P135" s="3891"/>
      <c r="Q135" s="3891"/>
      <c r="R135" s="3891"/>
      <c r="S135" s="3891"/>
      <c r="T135" s="3891"/>
      <c r="U135" s="3891"/>
      <c r="V135" s="3891"/>
      <c r="W135" s="3891"/>
      <c r="X135" s="3891"/>
      <c r="Y135" s="3891"/>
      <c r="Z135" s="3891"/>
      <c r="AA135" s="3891"/>
      <c r="AB135" s="3891"/>
      <c r="AC135" s="389">
        <f t="shared" si="38"/>
        <v>0</v>
      </c>
      <c r="AD135" s="5"/>
      <c r="AE135" s="5"/>
      <c r="AF135" s="5"/>
      <c r="AG135" s="5"/>
      <c r="AH135" s="5"/>
      <c r="AI135" s="5"/>
      <c r="AJ135" s="5"/>
      <c r="AK135" s="5"/>
      <c r="AL135" s="5"/>
      <c r="AM135" s="5"/>
      <c r="AN135" s="5"/>
      <c r="AO135" s="5"/>
      <c r="AP135" s="5"/>
      <c r="AQ135" s="5"/>
      <c r="AR135" s="5"/>
      <c r="AS135" s="5"/>
      <c r="AT135" s="20"/>
      <c r="AU135" s="1182"/>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81"/>
      <c r="E136" s="389">
        <f t="shared" si="61"/>
        <v>0</v>
      </c>
      <c r="F136" s="20"/>
      <c r="G136" s="3890">
        <f t="shared" si="36"/>
        <v>0</v>
      </c>
      <c r="H136" s="1282">
        <f t="shared" si="37"/>
        <v>0</v>
      </c>
      <c r="I136" s="3891"/>
      <c r="J136" s="3891"/>
      <c r="K136" s="3891"/>
      <c r="L136" s="3891"/>
      <c r="M136" s="3891"/>
      <c r="N136" s="3891"/>
      <c r="O136" s="3891"/>
      <c r="P136" s="3891"/>
      <c r="Q136" s="3891"/>
      <c r="R136" s="3891"/>
      <c r="S136" s="3891"/>
      <c r="T136" s="3891"/>
      <c r="U136" s="3891"/>
      <c r="V136" s="3891"/>
      <c r="W136" s="3891"/>
      <c r="X136" s="3891"/>
      <c r="Y136" s="3891"/>
      <c r="Z136" s="3891"/>
      <c r="AA136" s="3891"/>
      <c r="AB136" s="3891"/>
      <c r="AC136" s="389">
        <f t="shared" si="38"/>
        <v>0</v>
      </c>
      <c r="AD136" s="5"/>
      <c r="AE136" s="5"/>
      <c r="AF136" s="5"/>
      <c r="AG136" s="5"/>
      <c r="AH136" s="5"/>
      <c r="AI136" s="5"/>
      <c r="AJ136" s="5"/>
      <c r="AK136" s="5"/>
      <c r="AL136" s="5"/>
      <c r="AM136" s="5"/>
      <c r="AN136" s="5"/>
      <c r="AO136" s="5"/>
      <c r="AP136" s="5"/>
      <c r="AQ136" s="5"/>
      <c r="AR136" s="5"/>
      <c r="AS136" s="5"/>
      <c r="AT136" s="20"/>
      <c r="AU136" s="1182"/>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81"/>
      <c r="E137" s="389">
        <f t="shared" si="61"/>
        <v>0</v>
      </c>
      <c r="F137" s="20"/>
      <c r="G137" s="3890">
        <f t="shared" si="36"/>
        <v>0</v>
      </c>
      <c r="H137" s="1282">
        <f t="shared" si="37"/>
        <v>0</v>
      </c>
      <c r="I137" s="3891"/>
      <c r="J137" s="3891"/>
      <c r="K137" s="3891"/>
      <c r="L137" s="3891"/>
      <c r="M137" s="3891"/>
      <c r="N137" s="3891"/>
      <c r="O137" s="3891"/>
      <c r="P137" s="3891"/>
      <c r="Q137" s="3891"/>
      <c r="R137" s="3891"/>
      <c r="S137" s="3891"/>
      <c r="T137" s="3891"/>
      <c r="U137" s="3891"/>
      <c r="V137" s="3891"/>
      <c r="W137" s="3891"/>
      <c r="X137" s="3891"/>
      <c r="Y137" s="3891"/>
      <c r="Z137" s="3891"/>
      <c r="AA137" s="3891"/>
      <c r="AB137" s="3891"/>
      <c r="AC137" s="389">
        <f t="shared" si="38"/>
        <v>0</v>
      </c>
      <c r="AD137" s="5"/>
      <c r="AE137" s="5"/>
      <c r="AF137" s="5"/>
      <c r="AG137" s="5"/>
      <c r="AH137" s="5"/>
      <c r="AI137" s="5"/>
      <c r="AJ137" s="5"/>
      <c r="AK137" s="5"/>
      <c r="AL137" s="5"/>
      <c r="AM137" s="5"/>
      <c r="AN137" s="5"/>
      <c r="AO137" s="5"/>
      <c r="AP137" s="5"/>
      <c r="AQ137" s="5"/>
      <c r="AR137" s="5"/>
      <c r="AS137" s="5"/>
      <c r="AT137" s="20"/>
      <c r="AU137" s="1182"/>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81"/>
      <c r="E138" s="389">
        <f t="shared" si="61"/>
        <v>0</v>
      </c>
      <c r="F138" s="20"/>
      <c r="G138" s="3890">
        <f t="shared" si="36"/>
        <v>0</v>
      </c>
      <c r="H138" s="1282">
        <f t="shared" si="37"/>
        <v>0</v>
      </c>
      <c r="I138" s="3891"/>
      <c r="J138" s="3891"/>
      <c r="K138" s="3891"/>
      <c r="L138" s="3891"/>
      <c r="M138" s="3891"/>
      <c r="N138" s="3891"/>
      <c r="O138" s="3891"/>
      <c r="P138" s="3891"/>
      <c r="Q138" s="3891"/>
      <c r="R138" s="3891"/>
      <c r="S138" s="3891"/>
      <c r="T138" s="3891"/>
      <c r="U138" s="3891"/>
      <c r="V138" s="3891"/>
      <c r="W138" s="3891"/>
      <c r="X138" s="3891"/>
      <c r="Y138" s="3891"/>
      <c r="Z138" s="3891"/>
      <c r="AA138" s="3891"/>
      <c r="AB138" s="3891"/>
      <c r="AC138" s="389">
        <f t="shared" si="38"/>
        <v>0</v>
      </c>
      <c r="AD138" s="5"/>
      <c r="AE138" s="5"/>
      <c r="AF138" s="5"/>
      <c r="AG138" s="5"/>
      <c r="AH138" s="5"/>
      <c r="AI138" s="5"/>
      <c r="AJ138" s="5"/>
      <c r="AK138" s="5"/>
      <c r="AL138" s="5"/>
      <c r="AM138" s="5"/>
      <c r="AN138" s="5"/>
      <c r="AO138" s="5"/>
      <c r="AP138" s="5"/>
      <c r="AQ138" s="5"/>
      <c r="AR138" s="5"/>
      <c r="AS138" s="5"/>
      <c r="AT138" s="20"/>
      <c r="AU138" s="1182"/>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81"/>
      <c r="E139" s="389">
        <f t="shared" si="61"/>
        <v>0</v>
      </c>
      <c r="F139" s="20"/>
      <c r="G139" s="3890">
        <f t="shared" si="36"/>
        <v>0</v>
      </c>
      <c r="H139" s="1282">
        <f t="shared" si="37"/>
        <v>0</v>
      </c>
      <c r="I139" s="3891"/>
      <c r="J139" s="3891"/>
      <c r="K139" s="3891"/>
      <c r="L139" s="3891"/>
      <c r="M139" s="3891"/>
      <c r="N139" s="3891"/>
      <c r="O139" s="3891"/>
      <c r="P139" s="3891"/>
      <c r="Q139" s="3891"/>
      <c r="R139" s="3891"/>
      <c r="S139" s="3891"/>
      <c r="T139" s="3891"/>
      <c r="U139" s="3891"/>
      <c r="V139" s="3891"/>
      <c r="W139" s="3891"/>
      <c r="X139" s="3891"/>
      <c r="Y139" s="3891"/>
      <c r="Z139" s="3891"/>
      <c r="AA139" s="3891"/>
      <c r="AB139" s="3891"/>
      <c r="AC139" s="389">
        <f t="shared" si="38"/>
        <v>0</v>
      </c>
      <c r="AD139" s="5"/>
      <c r="AE139" s="5"/>
      <c r="AF139" s="5"/>
      <c r="AG139" s="5"/>
      <c r="AH139" s="5"/>
      <c r="AI139" s="5"/>
      <c r="AJ139" s="5"/>
      <c r="AK139" s="5"/>
      <c r="AL139" s="5"/>
      <c r="AM139" s="5"/>
      <c r="AN139" s="5"/>
      <c r="AO139" s="5"/>
      <c r="AP139" s="5"/>
      <c r="AQ139" s="5"/>
      <c r="AR139" s="5"/>
      <c r="AS139" s="5"/>
      <c r="AT139" s="20"/>
      <c r="AU139" s="1182"/>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81"/>
      <c r="E140" s="389">
        <f t="shared" si="61"/>
        <v>0</v>
      </c>
      <c r="F140" s="20"/>
      <c r="G140" s="3890">
        <f t="shared" si="36"/>
        <v>0</v>
      </c>
      <c r="H140" s="1282">
        <f t="shared" si="37"/>
        <v>0</v>
      </c>
      <c r="I140" s="3891"/>
      <c r="J140" s="3891"/>
      <c r="K140" s="3891"/>
      <c r="L140" s="3891"/>
      <c r="M140" s="3891"/>
      <c r="N140" s="3891"/>
      <c r="O140" s="3891"/>
      <c r="P140" s="3891"/>
      <c r="Q140" s="3891"/>
      <c r="R140" s="3891"/>
      <c r="S140" s="3891"/>
      <c r="T140" s="3891"/>
      <c r="U140" s="3891"/>
      <c r="V140" s="3891"/>
      <c r="W140" s="3891"/>
      <c r="X140" s="3891"/>
      <c r="Y140" s="3891"/>
      <c r="Z140" s="3891"/>
      <c r="AA140" s="3891"/>
      <c r="AB140" s="3891"/>
      <c r="AC140" s="389">
        <f t="shared" si="38"/>
        <v>0</v>
      </c>
      <c r="AD140" s="5"/>
      <c r="AE140" s="5"/>
      <c r="AF140" s="5"/>
      <c r="AG140" s="5"/>
      <c r="AH140" s="5"/>
      <c r="AI140" s="5"/>
      <c r="AJ140" s="5"/>
      <c r="AK140" s="5"/>
      <c r="AL140" s="5"/>
      <c r="AM140" s="5"/>
      <c r="AN140" s="5"/>
      <c r="AO140" s="5"/>
      <c r="AP140" s="5"/>
      <c r="AQ140" s="5"/>
      <c r="AR140" s="5"/>
      <c r="AS140" s="5"/>
      <c r="AT140" s="20"/>
      <c r="AU140" s="1182"/>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81"/>
      <c r="E141" s="389">
        <f t="shared" si="61"/>
        <v>0</v>
      </c>
      <c r="F141" s="20"/>
      <c r="G141" s="3890">
        <f t="shared" si="36"/>
        <v>0</v>
      </c>
      <c r="H141" s="1282">
        <f t="shared" si="37"/>
        <v>0</v>
      </c>
      <c r="I141" s="3891"/>
      <c r="J141" s="3891"/>
      <c r="K141" s="3891"/>
      <c r="L141" s="3891"/>
      <c r="M141" s="3891"/>
      <c r="N141" s="3891"/>
      <c r="O141" s="3891"/>
      <c r="P141" s="3891"/>
      <c r="Q141" s="3891"/>
      <c r="R141" s="3891"/>
      <c r="S141" s="3891"/>
      <c r="T141" s="3891"/>
      <c r="U141" s="3891"/>
      <c r="V141" s="3891"/>
      <c r="W141" s="3891"/>
      <c r="X141" s="3891"/>
      <c r="Y141" s="3891"/>
      <c r="Z141" s="3891"/>
      <c r="AA141" s="3891"/>
      <c r="AB141" s="3891"/>
      <c r="AC141" s="389">
        <f t="shared" si="38"/>
        <v>0</v>
      </c>
      <c r="AD141" s="5"/>
      <c r="AE141" s="5"/>
      <c r="AF141" s="5"/>
      <c r="AG141" s="5"/>
      <c r="AH141" s="5"/>
      <c r="AI141" s="5"/>
      <c r="AJ141" s="5"/>
      <c r="AK141" s="5"/>
      <c r="AL141" s="5"/>
      <c r="AM141" s="5"/>
      <c r="AN141" s="5"/>
      <c r="AO141" s="5"/>
      <c r="AP141" s="5"/>
      <c r="AQ141" s="5"/>
      <c r="AR141" s="5"/>
      <c r="AS141" s="5"/>
      <c r="AT141" s="20"/>
      <c r="AU141" s="1182"/>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81"/>
      <c r="E142" s="389">
        <f t="shared" si="61"/>
        <v>0</v>
      </c>
      <c r="F142" s="20"/>
      <c r="G142" s="3890">
        <f t="shared" ref="G142:G173" si="65">H142+AC142+AT142</f>
        <v>0</v>
      </c>
      <c r="H142" s="1282">
        <f t="shared" ref="H142:H173" si="66">SUMIF(I$12:AB$12,"总值",I142:AB142)</f>
        <v>0</v>
      </c>
      <c r="I142" s="3891"/>
      <c r="J142" s="3891"/>
      <c r="K142" s="3891"/>
      <c r="L142" s="3891"/>
      <c r="M142" s="3891"/>
      <c r="N142" s="3891"/>
      <c r="O142" s="3891"/>
      <c r="P142" s="3891"/>
      <c r="Q142" s="3891"/>
      <c r="R142" s="3891"/>
      <c r="S142" s="3891"/>
      <c r="T142" s="3891"/>
      <c r="U142" s="3891"/>
      <c r="V142" s="3891"/>
      <c r="W142" s="3891"/>
      <c r="X142" s="3891"/>
      <c r="Y142" s="3891"/>
      <c r="Z142" s="3891"/>
      <c r="AA142" s="3891"/>
      <c r="AB142" s="3891"/>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82"/>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81"/>
      <c r="E143" s="389">
        <f t="shared" si="61"/>
        <v>0</v>
      </c>
      <c r="F143" s="20"/>
      <c r="G143" s="3890">
        <f t="shared" si="65"/>
        <v>0</v>
      </c>
      <c r="H143" s="1282">
        <f t="shared" si="66"/>
        <v>0</v>
      </c>
      <c r="I143" s="3891"/>
      <c r="J143" s="3891"/>
      <c r="K143" s="3891"/>
      <c r="L143" s="3891"/>
      <c r="M143" s="3891"/>
      <c r="N143" s="3891"/>
      <c r="O143" s="3891"/>
      <c r="P143" s="3891"/>
      <c r="Q143" s="3891"/>
      <c r="R143" s="3891"/>
      <c r="S143" s="3891"/>
      <c r="T143" s="3891"/>
      <c r="U143" s="3891"/>
      <c r="V143" s="3891"/>
      <c r="W143" s="3891"/>
      <c r="X143" s="3891"/>
      <c r="Y143" s="3891"/>
      <c r="Z143" s="3891"/>
      <c r="AA143" s="3891"/>
      <c r="AB143" s="3891"/>
      <c r="AC143" s="389">
        <f t="shared" si="67"/>
        <v>0</v>
      </c>
      <c r="AD143" s="5"/>
      <c r="AE143" s="5"/>
      <c r="AF143" s="5"/>
      <c r="AG143" s="5"/>
      <c r="AH143" s="5"/>
      <c r="AI143" s="5"/>
      <c r="AJ143" s="5"/>
      <c r="AK143" s="5"/>
      <c r="AL143" s="5"/>
      <c r="AM143" s="5"/>
      <c r="AN143" s="5"/>
      <c r="AO143" s="5"/>
      <c r="AP143" s="5"/>
      <c r="AQ143" s="5"/>
      <c r="AR143" s="5"/>
      <c r="AS143" s="5"/>
      <c r="AT143" s="20"/>
      <c r="AU143" s="1182"/>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81"/>
      <c r="E144" s="389">
        <f t="shared" si="61"/>
        <v>0</v>
      </c>
      <c r="F144" s="20"/>
      <c r="G144" s="3890">
        <f t="shared" si="65"/>
        <v>0</v>
      </c>
      <c r="H144" s="1282">
        <f t="shared" si="66"/>
        <v>0</v>
      </c>
      <c r="I144" s="3891"/>
      <c r="J144" s="3891"/>
      <c r="K144" s="3891"/>
      <c r="L144" s="3891"/>
      <c r="M144" s="3891"/>
      <c r="N144" s="3891"/>
      <c r="O144" s="3891"/>
      <c r="P144" s="3891"/>
      <c r="Q144" s="3891"/>
      <c r="R144" s="3891"/>
      <c r="S144" s="3891"/>
      <c r="T144" s="3891"/>
      <c r="U144" s="3891"/>
      <c r="V144" s="3891"/>
      <c r="W144" s="3891"/>
      <c r="X144" s="3891"/>
      <c r="Y144" s="3891"/>
      <c r="Z144" s="3891"/>
      <c r="AA144" s="3891"/>
      <c r="AB144" s="3891"/>
      <c r="AC144" s="389">
        <f t="shared" si="67"/>
        <v>0</v>
      </c>
      <c r="AD144" s="5"/>
      <c r="AE144" s="5"/>
      <c r="AF144" s="5"/>
      <c r="AG144" s="5"/>
      <c r="AH144" s="5"/>
      <c r="AI144" s="5"/>
      <c r="AJ144" s="5"/>
      <c r="AK144" s="5"/>
      <c r="AL144" s="5"/>
      <c r="AM144" s="5"/>
      <c r="AN144" s="5"/>
      <c r="AO144" s="5"/>
      <c r="AP144" s="5"/>
      <c r="AQ144" s="5"/>
      <c r="AR144" s="5"/>
      <c r="AS144" s="5"/>
      <c r="AT144" s="20"/>
      <c r="AU144" s="1182"/>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81"/>
      <c r="E145" s="389">
        <f t="shared" ref="E145:E176" si="90">IF($C$3="是",ROUND($A$3*G145/$B$3,2),ROUND($A$3*(G145-AT145)/$B$3,2))</f>
        <v>0</v>
      </c>
      <c r="F145" s="20"/>
      <c r="G145" s="3890">
        <f t="shared" si="65"/>
        <v>0</v>
      </c>
      <c r="H145" s="1282">
        <f t="shared" si="66"/>
        <v>0</v>
      </c>
      <c r="I145" s="3891"/>
      <c r="J145" s="3891"/>
      <c r="K145" s="3891"/>
      <c r="L145" s="3891"/>
      <c r="M145" s="3891"/>
      <c r="N145" s="3891"/>
      <c r="O145" s="3891"/>
      <c r="P145" s="3891"/>
      <c r="Q145" s="3891"/>
      <c r="R145" s="3891"/>
      <c r="S145" s="3891"/>
      <c r="T145" s="3891"/>
      <c r="U145" s="3891"/>
      <c r="V145" s="3891"/>
      <c r="W145" s="3891"/>
      <c r="X145" s="3891"/>
      <c r="Y145" s="3891"/>
      <c r="Z145" s="3891"/>
      <c r="AA145" s="3891"/>
      <c r="AB145" s="3891"/>
      <c r="AC145" s="389">
        <f t="shared" si="67"/>
        <v>0</v>
      </c>
      <c r="AD145" s="5"/>
      <c r="AE145" s="5"/>
      <c r="AF145" s="5"/>
      <c r="AG145" s="5"/>
      <c r="AH145" s="5"/>
      <c r="AI145" s="5"/>
      <c r="AJ145" s="5"/>
      <c r="AK145" s="5"/>
      <c r="AL145" s="5"/>
      <c r="AM145" s="5"/>
      <c r="AN145" s="5"/>
      <c r="AO145" s="5"/>
      <c r="AP145" s="5"/>
      <c r="AQ145" s="5"/>
      <c r="AR145" s="5"/>
      <c r="AS145" s="5"/>
      <c r="AT145" s="20"/>
      <c r="AU145" s="1182"/>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81"/>
      <c r="E146" s="389">
        <f t="shared" si="90"/>
        <v>0</v>
      </c>
      <c r="F146" s="20"/>
      <c r="G146" s="3890">
        <f t="shared" si="65"/>
        <v>0</v>
      </c>
      <c r="H146" s="1282">
        <f t="shared" si="66"/>
        <v>0</v>
      </c>
      <c r="I146" s="3891"/>
      <c r="J146" s="3891"/>
      <c r="K146" s="3891"/>
      <c r="L146" s="3891"/>
      <c r="M146" s="3891"/>
      <c r="N146" s="3891"/>
      <c r="O146" s="3891"/>
      <c r="P146" s="3891"/>
      <c r="Q146" s="3891"/>
      <c r="R146" s="3891"/>
      <c r="S146" s="3891"/>
      <c r="T146" s="3891"/>
      <c r="U146" s="3891"/>
      <c r="V146" s="3891"/>
      <c r="W146" s="3891"/>
      <c r="X146" s="3891"/>
      <c r="Y146" s="3891"/>
      <c r="Z146" s="3891"/>
      <c r="AA146" s="3891"/>
      <c r="AB146" s="3891"/>
      <c r="AC146" s="389">
        <f t="shared" si="67"/>
        <v>0</v>
      </c>
      <c r="AD146" s="5"/>
      <c r="AE146" s="5"/>
      <c r="AF146" s="5"/>
      <c r="AG146" s="5"/>
      <c r="AH146" s="5"/>
      <c r="AI146" s="5"/>
      <c r="AJ146" s="5"/>
      <c r="AK146" s="5"/>
      <c r="AL146" s="5"/>
      <c r="AM146" s="5"/>
      <c r="AN146" s="5"/>
      <c r="AO146" s="5"/>
      <c r="AP146" s="5"/>
      <c r="AQ146" s="5"/>
      <c r="AR146" s="5"/>
      <c r="AS146" s="5"/>
      <c r="AT146" s="20"/>
      <c r="AU146" s="1182"/>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81"/>
      <c r="E147" s="389">
        <f t="shared" si="90"/>
        <v>0</v>
      </c>
      <c r="F147" s="20"/>
      <c r="G147" s="3890">
        <f t="shared" si="65"/>
        <v>0</v>
      </c>
      <c r="H147" s="1282">
        <f t="shared" si="66"/>
        <v>0</v>
      </c>
      <c r="I147" s="3891"/>
      <c r="J147" s="3891"/>
      <c r="K147" s="3891"/>
      <c r="L147" s="3891"/>
      <c r="M147" s="3891"/>
      <c r="N147" s="3891"/>
      <c r="O147" s="3891"/>
      <c r="P147" s="3891"/>
      <c r="Q147" s="3891"/>
      <c r="R147" s="3891"/>
      <c r="S147" s="3891"/>
      <c r="T147" s="3891"/>
      <c r="U147" s="3891"/>
      <c r="V147" s="3891"/>
      <c r="W147" s="3891"/>
      <c r="X147" s="3891"/>
      <c r="Y147" s="3891"/>
      <c r="Z147" s="3891"/>
      <c r="AA147" s="3891"/>
      <c r="AB147" s="3891"/>
      <c r="AC147" s="389">
        <f t="shared" si="67"/>
        <v>0</v>
      </c>
      <c r="AD147" s="5"/>
      <c r="AE147" s="5"/>
      <c r="AF147" s="5"/>
      <c r="AG147" s="5"/>
      <c r="AH147" s="5"/>
      <c r="AI147" s="5"/>
      <c r="AJ147" s="5"/>
      <c r="AK147" s="5"/>
      <c r="AL147" s="5"/>
      <c r="AM147" s="5"/>
      <c r="AN147" s="5"/>
      <c r="AO147" s="5"/>
      <c r="AP147" s="5"/>
      <c r="AQ147" s="5"/>
      <c r="AR147" s="5"/>
      <c r="AS147" s="5"/>
      <c r="AT147" s="20"/>
      <c r="AU147" s="1182"/>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81"/>
      <c r="E148" s="389">
        <f t="shared" si="90"/>
        <v>0</v>
      </c>
      <c r="F148" s="20"/>
      <c r="G148" s="3890">
        <f t="shared" si="65"/>
        <v>0</v>
      </c>
      <c r="H148" s="1282">
        <f t="shared" si="66"/>
        <v>0</v>
      </c>
      <c r="I148" s="3891"/>
      <c r="J148" s="3891"/>
      <c r="K148" s="3891"/>
      <c r="L148" s="3891"/>
      <c r="M148" s="3891"/>
      <c r="N148" s="3891"/>
      <c r="O148" s="3891"/>
      <c r="P148" s="3891"/>
      <c r="Q148" s="3891"/>
      <c r="R148" s="3891"/>
      <c r="S148" s="3891"/>
      <c r="T148" s="3891"/>
      <c r="U148" s="3891"/>
      <c r="V148" s="3891"/>
      <c r="W148" s="3891"/>
      <c r="X148" s="3891"/>
      <c r="Y148" s="3891"/>
      <c r="Z148" s="3891"/>
      <c r="AA148" s="3891"/>
      <c r="AB148" s="3891"/>
      <c r="AC148" s="389">
        <f t="shared" si="67"/>
        <v>0</v>
      </c>
      <c r="AD148" s="5"/>
      <c r="AE148" s="5"/>
      <c r="AF148" s="5"/>
      <c r="AG148" s="5"/>
      <c r="AH148" s="5"/>
      <c r="AI148" s="5"/>
      <c r="AJ148" s="5"/>
      <c r="AK148" s="5"/>
      <c r="AL148" s="5"/>
      <c r="AM148" s="5"/>
      <c r="AN148" s="5"/>
      <c r="AO148" s="5"/>
      <c r="AP148" s="5"/>
      <c r="AQ148" s="5"/>
      <c r="AR148" s="5"/>
      <c r="AS148" s="5"/>
      <c r="AT148" s="20"/>
      <c r="AU148" s="1182"/>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81"/>
      <c r="E149" s="389">
        <f t="shared" si="90"/>
        <v>0</v>
      </c>
      <c r="F149" s="20"/>
      <c r="G149" s="3890">
        <f t="shared" si="65"/>
        <v>0</v>
      </c>
      <c r="H149" s="1282">
        <f t="shared" si="66"/>
        <v>0</v>
      </c>
      <c r="I149" s="3891"/>
      <c r="J149" s="3891"/>
      <c r="K149" s="3891"/>
      <c r="L149" s="3891"/>
      <c r="M149" s="3891"/>
      <c r="N149" s="3891"/>
      <c r="O149" s="3891"/>
      <c r="P149" s="3891"/>
      <c r="Q149" s="3891"/>
      <c r="R149" s="3891"/>
      <c r="S149" s="3891"/>
      <c r="T149" s="3891"/>
      <c r="U149" s="3891"/>
      <c r="V149" s="3891"/>
      <c r="W149" s="3891"/>
      <c r="X149" s="3891"/>
      <c r="Y149" s="3891"/>
      <c r="Z149" s="3891"/>
      <c r="AA149" s="3891"/>
      <c r="AB149" s="3891"/>
      <c r="AC149" s="389">
        <f t="shared" si="67"/>
        <v>0</v>
      </c>
      <c r="AD149" s="5"/>
      <c r="AE149" s="5"/>
      <c r="AF149" s="5"/>
      <c r="AG149" s="5"/>
      <c r="AH149" s="5"/>
      <c r="AI149" s="5"/>
      <c r="AJ149" s="5"/>
      <c r="AK149" s="5"/>
      <c r="AL149" s="5"/>
      <c r="AM149" s="5"/>
      <c r="AN149" s="5"/>
      <c r="AO149" s="5"/>
      <c r="AP149" s="5"/>
      <c r="AQ149" s="5"/>
      <c r="AR149" s="5"/>
      <c r="AS149" s="5"/>
      <c r="AT149" s="20"/>
      <c r="AU149" s="1182"/>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81"/>
      <c r="E150" s="389">
        <f t="shared" si="90"/>
        <v>0</v>
      </c>
      <c r="F150" s="20"/>
      <c r="G150" s="3890">
        <f t="shared" si="65"/>
        <v>0</v>
      </c>
      <c r="H150" s="1282">
        <f t="shared" si="66"/>
        <v>0</v>
      </c>
      <c r="I150" s="3891"/>
      <c r="J150" s="3891"/>
      <c r="K150" s="3891"/>
      <c r="L150" s="3891"/>
      <c r="M150" s="3891"/>
      <c r="N150" s="3891"/>
      <c r="O150" s="3891"/>
      <c r="P150" s="3891"/>
      <c r="Q150" s="3891"/>
      <c r="R150" s="3891"/>
      <c r="S150" s="3891"/>
      <c r="T150" s="3891"/>
      <c r="U150" s="3891"/>
      <c r="V150" s="3891"/>
      <c r="W150" s="3891"/>
      <c r="X150" s="3891"/>
      <c r="Y150" s="3891"/>
      <c r="Z150" s="3891"/>
      <c r="AA150" s="3891"/>
      <c r="AB150" s="3891"/>
      <c r="AC150" s="389">
        <f t="shared" si="67"/>
        <v>0</v>
      </c>
      <c r="AD150" s="5"/>
      <c r="AE150" s="5"/>
      <c r="AF150" s="5"/>
      <c r="AG150" s="5"/>
      <c r="AH150" s="5"/>
      <c r="AI150" s="5"/>
      <c r="AJ150" s="5"/>
      <c r="AK150" s="5"/>
      <c r="AL150" s="5"/>
      <c r="AM150" s="5"/>
      <c r="AN150" s="5"/>
      <c r="AO150" s="5"/>
      <c r="AP150" s="5"/>
      <c r="AQ150" s="5"/>
      <c r="AR150" s="5"/>
      <c r="AS150" s="5"/>
      <c r="AT150" s="20"/>
      <c r="AU150" s="1182"/>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81"/>
      <c r="E151" s="389">
        <f t="shared" si="90"/>
        <v>0</v>
      </c>
      <c r="F151" s="20"/>
      <c r="G151" s="3890">
        <f t="shared" si="65"/>
        <v>0</v>
      </c>
      <c r="H151" s="1282">
        <f t="shared" si="66"/>
        <v>0</v>
      </c>
      <c r="I151" s="3891"/>
      <c r="J151" s="3891"/>
      <c r="K151" s="3891"/>
      <c r="L151" s="3891"/>
      <c r="M151" s="3891"/>
      <c r="N151" s="3891"/>
      <c r="O151" s="3891"/>
      <c r="P151" s="3891"/>
      <c r="Q151" s="3891"/>
      <c r="R151" s="3891"/>
      <c r="S151" s="3891"/>
      <c r="T151" s="3891"/>
      <c r="U151" s="3891"/>
      <c r="V151" s="3891"/>
      <c r="W151" s="3891"/>
      <c r="X151" s="3891"/>
      <c r="Y151" s="3891"/>
      <c r="Z151" s="3891"/>
      <c r="AA151" s="3891"/>
      <c r="AB151" s="3891"/>
      <c r="AC151" s="389">
        <f t="shared" si="67"/>
        <v>0</v>
      </c>
      <c r="AD151" s="5"/>
      <c r="AE151" s="5"/>
      <c r="AF151" s="5"/>
      <c r="AG151" s="5"/>
      <c r="AH151" s="5"/>
      <c r="AI151" s="5"/>
      <c r="AJ151" s="5"/>
      <c r="AK151" s="5"/>
      <c r="AL151" s="5"/>
      <c r="AM151" s="5"/>
      <c r="AN151" s="5"/>
      <c r="AO151" s="5"/>
      <c r="AP151" s="5"/>
      <c r="AQ151" s="5"/>
      <c r="AR151" s="5"/>
      <c r="AS151" s="5"/>
      <c r="AT151" s="20"/>
      <c r="AU151" s="1182"/>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81"/>
      <c r="E152" s="389">
        <f t="shared" si="90"/>
        <v>0</v>
      </c>
      <c r="F152" s="20"/>
      <c r="G152" s="3890">
        <f t="shared" si="65"/>
        <v>0</v>
      </c>
      <c r="H152" s="1282">
        <f t="shared" si="66"/>
        <v>0</v>
      </c>
      <c r="I152" s="3891"/>
      <c r="J152" s="3891"/>
      <c r="K152" s="3891"/>
      <c r="L152" s="3891"/>
      <c r="M152" s="3891"/>
      <c r="N152" s="3891"/>
      <c r="O152" s="3891"/>
      <c r="P152" s="3891"/>
      <c r="Q152" s="3891"/>
      <c r="R152" s="3891"/>
      <c r="S152" s="3891"/>
      <c r="T152" s="3891"/>
      <c r="U152" s="3891"/>
      <c r="V152" s="3891"/>
      <c r="W152" s="3891"/>
      <c r="X152" s="3891"/>
      <c r="Y152" s="3891"/>
      <c r="Z152" s="3891"/>
      <c r="AA152" s="3891"/>
      <c r="AB152" s="3891"/>
      <c r="AC152" s="389">
        <f t="shared" si="67"/>
        <v>0</v>
      </c>
      <c r="AD152" s="5"/>
      <c r="AE152" s="5"/>
      <c r="AF152" s="5"/>
      <c r="AG152" s="5"/>
      <c r="AH152" s="5"/>
      <c r="AI152" s="5"/>
      <c r="AJ152" s="5"/>
      <c r="AK152" s="5"/>
      <c r="AL152" s="5"/>
      <c r="AM152" s="5"/>
      <c r="AN152" s="5"/>
      <c r="AO152" s="5"/>
      <c r="AP152" s="5"/>
      <c r="AQ152" s="5"/>
      <c r="AR152" s="5"/>
      <c r="AS152" s="5"/>
      <c r="AT152" s="20"/>
      <c r="AU152" s="1182"/>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81"/>
      <c r="E153" s="389">
        <f t="shared" si="90"/>
        <v>0</v>
      </c>
      <c r="F153" s="20"/>
      <c r="G153" s="3890">
        <f t="shared" si="65"/>
        <v>0</v>
      </c>
      <c r="H153" s="1282">
        <f t="shared" si="66"/>
        <v>0</v>
      </c>
      <c r="I153" s="3891"/>
      <c r="J153" s="3891"/>
      <c r="K153" s="3891"/>
      <c r="L153" s="3891"/>
      <c r="M153" s="3891"/>
      <c r="N153" s="3891"/>
      <c r="O153" s="3891"/>
      <c r="P153" s="3891"/>
      <c r="Q153" s="3891"/>
      <c r="R153" s="3891"/>
      <c r="S153" s="3891"/>
      <c r="T153" s="3891"/>
      <c r="U153" s="3891"/>
      <c r="V153" s="3891"/>
      <c r="W153" s="3891"/>
      <c r="X153" s="3891"/>
      <c r="Y153" s="3891"/>
      <c r="Z153" s="3891"/>
      <c r="AA153" s="3891"/>
      <c r="AB153" s="3891"/>
      <c r="AC153" s="389">
        <f t="shared" si="67"/>
        <v>0</v>
      </c>
      <c r="AD153" s="5"/>
      <c r="AE153" s="5"/>
      <c r="AF153" s="5"/>
      <c r="AG153" s="5"/>
      <c r="AH153" s="5"/>
      <c r="AI153" s="5"/>
      <c r="AJ153" s="5"/>
      <c r="AK153" s="5"/>
      <c r="AL153" s="5"/>
      <c r="AM153" s="5"/>
      <c r="AN153" s="5"/>
      <c r="AO153" s="5"/>
      <c r="AP153" s="5"/>
      <c r="AQ153" s="5"/>
      <c r="AR153" s="5"/>
      <c r="AS153" s="5"/>
      <c r="AT153" s="20"/>
      <c r="AU153" s="1182"/>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81"/>
      <c r="E154" s="389">
        <f t="shared" si="90"/>
        <v>0</v>
      </c>
      <c r="F154" s="20"/>
      <c r="G154" s="3890">
        <f t="shared" si="65"/>
        <v>0</v>
      </c>
      <c r="H154" s="1282">
        <f t="shared" si="66"/>
        <v>0</v>
      </c>
      <c r="I154" s="3891"/>
      <c r="J154" s="3891"/>
      <c r="K154" s="3891"/>
      <c r="L154" s="3891"/>
      <c r="M154" s="3891"/>
      <c r="N154" s="3891"/>
      <c r="O154" s="3891"/>
      <c r="P154" s="3891"/>
      <c r="Q154" s="3891"/>
      <c r="R154" s="3891"/>
      <c r="S154" s="3891"/>
      <c r="T154" s="3891"/>
      <c r="U154" s="3891"/>
      <c r="V154" s="3891"/>
      <c r="W154" s="3891"/>
      <c r="X154" s="3891"/>
      <c r="Y154" s="3891"/>
      <c r="Z154" s="3891"/>
      <c r="AA154" s="3891"/>
      <c r="AB154" s="3891"/>
      <c r="AC154" s="389">
        <f t="shared" si="67"/>
        <v>0</v>
      </c>
      <c r="AD154" s="5"/>
      <c r="AE154" s="5"/>
      <c r="AF154" s="5"/>
      <c r="AG154" s="5"/>
      <c r="AH154" s="5"/>
      <c r="AI154" s="5"/>
      <c r="AJ154" s="5"/>
      <c r="AK154" s="5"/>
      <c r="AL154" s="5"/>
      <c r="AM154" s="5"/>
      <c r="AN154" s="5"/>
      <c r="AO154" s="5"/>
      <c r="AP154" s="5"/>
      <c r="AQ154" s="5"/>
      <c r="AR154" s="5"/>
      <c r="AS154" s="5"/>
      <c r="AT154" s="20"/>
      <c r="AU154" s="1182"/>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81"/>
      <c r="E155" s="389">
        <f t="shared" si="90"/>
        <v>0</v>
      </c>
      <c r="F155" s="20"/>
      <c r="G155" s="3890">
        <f t="shared" si="65"/>
        <v>0</v>
      </c>
      <c r="H155" s="1282">
        <f t="shared" si="66"/>
        <v>0</v>
      </c>
      <c r="I155" s="3891"/>
      <c r="J155" s="3891"/>
      <c r="K155" s="3891"/>
      <c r="L155" s="3891"/>
      <c r="M155" s="3891"/>
      <c r="N155" s="3891"/>
      <c r="O155" s="3891"/>
      <c r="P155" s="3891"/>
      <c r="Q155" s="3891"/>
      <c r="R155" s="3891"/>
      <c r="S155" s="3891"/>
      <c r="T155" s="3891"/>
      <c r="U155" s="3891"/>
      <c r="V155" s="3891"/>
      <c r="W155" s="3891"/>
      <c r="X155" s="3891"/>
      <c r="Y155" s="3891"/>
      <c r="Z155" s="3891"/>
      <c r="AA155" s="3891"/>
      <c r="AB155" s="3891"/>
      <c r="AC155" s="389">
        <f t="shared" si="67"/>
        <v>0</v>
      </c>
      <c r="AD155" s="5"/>
      <c r="AE155" s="5"/>
      <c r="AF155" s="5"/>
      <c r="AG155" s="5"/>
      <c r="AH155" s="5"/>
      <c r="AI155" s="5"/>
      <c r="AJ155" s="5"/>
      <c r="AK155" s="5"/>
      <c r="AL155" s="5"/>
      <c r="AM155" s="5"/>
      <c r="AN155" s="5"/>
      <c r="AO155" s="5"/>
      <c r="AP155" s="5"/>
      <c r="AQ155" s="5"/>
      <c r="AR155" s="5"/>
      <c r="AS155" s="5"/>
      <c r="AT155" s="20"/>
      <c r="AU155" s="1182"/>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81"/>
      <c r="E156" s="389">
        <f t="shared" si="90"/>
        <v>0</v>
      </c>
      <c r="F156" s="20"/>
      <c r="G156" s="3890">
        <f t="shared" si="65"/>
        <v>0</v>
      </c>
      <c r="H156" s="1282">
        <f t="shared" si="66"/>
        <v>0</v>
      </c>
      <c r="I156" s="3891"/>
      <c r="J156" s="3891"/>
      <c r="K156" s="3891"/>
      <c r="L156" s="3891"/>
      <c r="M156" s="3891"/>
      <c r="N156" s="3891"/>
      <c r="O156" s="3891"/>
      <c r="P156" s="3891"/>
      <c r="Q156" s="3891"/>
      <c r="R156" s="3891"/>
      <c r="S156" s="3891"/>
      <c r="T156" s="3891"/>
      <c r="U156" s="3891"/>
      <c r="V156" s="3891"/>
      <c r="W156" s="3891"/>
      <c r="X156" s="3891"/>
      <c r="Y156" s="3891"/>
      <c r="Z156" s="3891"/>
      <c r="AA156" s="3891"/>
      <c r="AB156" s="3891"/>
      <c r="AC156" s="389">
        <f t="shared" si="67"/>
        <v>0</v>
      </c>
      <c r="AD156" s="5"/>
      <c r="AE156" s="5"/>
      <c r="AF156" s="5"/>
      <c r="AG156" s="5"/>
      <c r="AH156" s="5"/>
      <c r="AI156" s="5"/>
      <c r="AJ156" s="5"/>
      <c r="AK156" s="5"/>
      <c r="AL156" s="5"/>
      <c r="AM156" s="5"/>
      <c r="AN156" s="5"/>
      <c r="AO156" s="5"/>
      <c r="AP156" s="5"/>
      <c r="AQ156" s="5"/>
      <c r="AR156" s="5"/>
      <c r="AS156" s="5"/>
      <c r="AT156" s="20"/>
      <c r="AU156" s="1182"/>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81"/>
      <c r="E157" s="389">
        <f t="shared" si="90"/>
        <v>0</v>
      </c>
      <c r="F157" s="20"/>
      <c r="G157" s="3890">
        <f t="shared" si="65"/>
        <v>0</v>
      </c>
      <c r="H157" s="1282">
        <f t="shared" si="66"/>
        <v>0</v>
      </c>
      <c r="I157" s="3891"/>
      <c r="J157" s="3891"/>
      <c r="K157" s="3891"/>
      <c r="L157" s="3891"/>
      <c r="M157" s="3891"/>
      <c r="N157" s="3891"/>
      <c r="O157" s="3891"/>
      <c r="P157" s="3891"/>
      <c r="Q157" s="3891"/>
      <c r="R157" s="3891"/>
      <c r="S157" s="3891"/>
      <c r="T157" s="3891"/>
      <c r="U157" s="3891"/>
      <c r="V157" s="3891"/>
      <c r="W157" s="3891"/>
      <c r="X157" s="3891"/>
      <c r="Y157" s="3891"/>
      <c r="Z157" s="3891"/>
      <c r="AA157" s="3891"/>
      <c r="AB157" s="3891"/>
      <c r="AC157" s="389">
        <f t="shared" si="67"/>
        <v>0</v>
      </c>
      <c r="AD157" s="5"/>
      <c r="AE157" s="5"/>
      <c r="AF157" s="5"/>
      <c r="AG157" s="5"/>
      <c r="AH157" s="5"/>
      <c r="AI157" s="5"/>
      <c r="AJ157" s="5"/>
      <c r="AK157" s="5"/>
      <c r="AL157" s="5"/>
      <c r="AM157" s="5"/>
      <c r="AN157" s="5"/>
      <c r="AO157" s="5"/>
      <c r="AP157" s="5"/>
      <c r="AQ157" s="5"/>
      <c r="AR157" s="5"/>
      <c r="AS157" s="5"/>
      <c r="AT157" s="20"/>
      <c r="AU157" s="1182"/>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81"/>
      <c r="E158" s="389">
        <f t="shared" si="90"/>
        <v>0</v>
      </c>
      <c r="F158" s="20"/>
      <c r="G158" s="3890">
        <f t="shared" si="65"/>
        <v>0</v>
      </c>
      <c r="H158" s="1282">
        <f t="shared" si="66"/>
        <v>0</v>
      </c>
      <c r="I158" s="3891"/>
      <c r="J158" s="3891"/>
      <c r="K158" s="3891"/>
      <c r="L158" s="3891"/>
      <c r="M158" s="3891"/>
      <c r="N158" s="3891"/>
      <c r="O158" s="3891"/>
      <c r="P158" s="3891"/>
      <c r="Q158" s="3891"/>
      <c r="R158" s="3891"/>
      <c r="S158" s="3891"/>
      <c r="T158" s="3891"/>
      <c r="U158" s="3891"/>
      <c r="V158" s="3891"/>
      <c r="W158" s="3891"/>
      <c r="X158" s="3891"/>
      <c r="Y158" s="3891"/>
      <c r="Z158" s="3891"/>
      <c r="AA158" s="3891"/>
      <c r="AB158" s="3891"/>
      <c r="AC158" s="389">
        <f t="shared" si="67"/>
        <v>0</v>
      </c>
      <c r="AD158" s="5"/>
      <c r="AE158" s="5"/>
      <c r="AF158" s="5"/>
      <c r="AG158" s="5"/>
      <c r="AH158" s="5"/>
      <c r="AI158" s="5"/>
      <c r="AJ158" s="5"/>
      <c r="AK158" s="5"/>
      <c r="AL158" s="5"/>
      <c r="AM158" s="5"/>
      <c r="AN158" s="5"/>
      <c r="AO158" s="5"/>
      <c r="AP158" s="5"/>
      <c r="AQ158" s="5"/>
      <c r="AR158" s="5"/>
      <c r="AS158" s="5"/>
      <c r="AT158" s="20"/>
      <c r="AU158" s="1182"/>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81"/>
      <c r="E159" s="389">
        <f t="shared" si="90"/>
        <v>0</v>
      </c>
      <c r="F159" s="20"/>
      <c r="G159" s="3890">
        <f t="shared" si="65"/>
        <v>0</v>
      </c>
      <c r="H159" s="1282">
        <f t="shared" si="66"/>
        <v>0</v>
      </c>
      <c r="I159" s="3891"/>
      <c r="J159" s="3891"/>
      <c r="K159" s="3891"/>
      <c r="L159" s="3891"/>
      <c r="M159" s="3891"/>
      <c r="N159" s="3891"/>
      <c r="O159" s="3891"/>
      <c r="P159" s="3891"/>
      <c r="Q159" s="3891"/>
      <c r="R159" s="3891"/>
      <c r="S159" s="3891"/>
      <c r="T159" s="3891"/>
      <c r="U159" s="3891"/>
      <c r="V159" s="3891"/>
      <c r="W159" s="3891"/>
      <c r="X159" s="3891"/>
      <c r="Y159" s="3891"/>
      <c r="Z159" s="3891"/>
      <c r="AA159" s="3891"/>
      <c r="AB159" s="3891"/>
      <c r="AC159" s="389">
        <f t="shared" si="67"/>
        <v>0</v>
      </c>
      <c r="AD159" s="5"/>
      <c r="AE159" s="5"/>
      <c r="AF159" s="5"/>
      <c r="AG159" s="5"/>
      <c r="AH159" s="5"/>
      <c r="AI159" s="5"/>
      <c r="AJ159" s="5"/>
      <c r="AK159" s="5"/>
      <c r="AL159" s="5"/>
      <c r="AM159" s="5"/>
      <c r="AN159" s="5"/>
      <c r="AO159" s="5"/>
      <c r="AP159" s="5"/>
      <c r="AQ159" s="5"/>
      <c r="AR159" s="5"/>
      <c r="AS159" s="5"/>
      <c r="AT159" s="20"/>
      <c r="AU159" s="1182"/>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81"/>
      <c r="E160" s="389">
        <f t="shared" si="90"/>
        <v>0</v>
      </c>
      <c r="F160" s="20"/>
      <c r="G160" s="3890">
        <f t="shared" si="65"/>
        <v>0</v>
      </c>
      <c r="H160" s="1282">
        <f t="shared" si="66"/>
        <v>0</v>
      </c>
      <c r="I160" s="3891"/>
      <c r="J160" s="3891"/>
      <c r="K160" s="3891"/>
      <c r="L160" s="3891"/>
      <c r="M160" s="3891"/>
      <c r="N160" s="3891"/>
      <c r="O160" s="3891"/>
      <c r="P160" s="3891"/>
      <c r="Q160" s="3891"/>
      <c r="R160" s="3891"/>
      <c r="S160" s="3891"/>
      <c r="T160" s="3891"/>
      <c r="U160" s="3891"/>
      <c r="V160" s="3891"/>
      <c r="W160" s="3891"/>
      <c r="X160" s="3891"/>
      <c r="Y160" s="3891"/>
      <c r="Z160" s="3891"/>
      <c r="AA160" s="3891"/>
      <c r="AB160" s="3891"/>
      <c r="AC160" s="389">
        <f t="shared" si="67"/>
        <v>0</v>
      </c>
      <c r="AD160" s="5"/>
      <c r="AE160" s="5"/>
      <c r="AF160" s="5"/>
      <c r="AG160" s="5"/>
      <c r="AH160" s="5"/>
      <c r="AI160" s="5"/>
      <c r="AJ160" s="5"/>
      <c r="AK160" s="5"/>
      <c r="AL160" s="5"/>
      <c r="AM160" s="5"/>
      <c r="AN160" s="5"/>
      <c r="AO160" s="5"/>
      <c r="AP160" s="5"/>
      <c r="AQ160" s="5"/>
      <c r="AR160" s="5"/>
      <c r="AS160" s="5"/>
      <c r="AT160" s="20"/>
      <c r="AU160" s="1182"/>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81"/>
      <c r="E161" s="389">
        <f t="shared" si="90"/>
        <v>0</v>
      </c>
      <c r="F161" s="20"/>
      <c r="G161" s="3890">
        <f t="shared" si="65"/>
        <v>0</v>
      </c>
      <c r="H161" s="1282">
        <f t="shared" si="66"/>
        <v>0</v>
      </c>
      <c r="I161" s="3891"/>
      <c r="J161" s="3891"/>
      <c r="K161" s="3891"/>
      <c r="L161" s="3891"/>
      <c r="M161" s="3891"/>
      <c r="N161" s="3891"/>
      <c r="O161" s="3891"/>
      <c r="P161" s="3891"/>
      <c r="Q161" s="3891"/>
      <c r="R161" s="3891"/>
      <c r="S161" s="3891"/>
      <c r="T161" s="3891"/>
      <c r="U161" s="3891"/>
      <c r="V161" s="3891"/>
      <c r="W161" s="3891"/>
      <c r="X161" s="3891"/>
      <c r="Y161" s="3891"/>
      <c r="Z161" s="3891"/>
      <c r="AA161" s="3891"/>
      <c r="AB161" s="3891"/>
      <c r="AC161" s="389">
        <f t="shared" si="67"/>
        <v>0</v>
      </c>
      <c r="AD161" s="5"/>
      <c r="AE161" s="5"/>
      <c r="AF161" s="5"/>
      <c r="AG161" s="5"/>
      <c r="AH161" s="5"/>
      <c r="AI161" s="5"/>
      <c r="AJ161" s="5"/>
      <c r="AK161" s="5"/>
      <c r="AL161" s="5"/>
      <c r="AM161" s="5"/>
      <c r="AN161" s="5"/>
      <c r="AO161" s="5"/>
      <c r="AP161" s="5"/>
      <c r="AQ161" s="5"/>
      <c r="AR161" s="5"/>
      <c r="AS161" s="5"/>
      <c r="AT161" s="20"/>
      <c r="AU161" s="1182"/>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81"/>
      <c r="E162" s="389">
        <f t="shared" si="90"/>
        <v>0</v>
      </c>
      <c r="F162" s="20"/>
      <c r="G162" s="3890">
        <f t="shared" si="65"/>
        <v>0</v>
      </c>
      <c r="H162" s="1282">
        <f t="shared" si="66"/>
        <v>0</v>
      </c>
      <c r="I162" s="3891"/>
      <c r="J162" s="3891"/>
      <c r="K162" s="3891"/>
      <c r="L162" s="3891"/>
      <c r="M162" s="3891"/>
      <c r="N162" s="3891"/>
      <c r="O162" s="3891"/>
      <c r="P162" s="3891"/>
      <c r="Q162" s="3891"/>
      <c r="R162" s="3891"/>
      <c r="S162" s="3891"/>
      <c r="T162" s="3891"/>
      <c r="U162" s="3891"/>
      <c r="V162" s="3891"/>
      <c r="W162" s="3891"/>
      <c r="X162" s="3891"/>
      <c r="Y162" s="3891"/>
      <c r="Z162" s="3891"/>
      <c r="AA162" s="3891"/>
      <c r="AB162" s="3891"/>
      <c r="AC162" s="389">
        <f t="shared" si="67"/>
        <v>0</v>
      </c>
      <c r="AD162" s="5"/>
      <c r="AE162" s="5"/>
      <c r="AF162" s="5"/>
      <c r="AG162" s="5"/>
      <c r="AH162" s="5"/>
      <c r="AI162" s="5"/>
      <c r="AJ162" s="5"/>
      <c r="AK162" s="5"/>
      <c r="AL162" s="5"/>
      <c r="AM162" s="5"/>
      <c r="AN162" s="5"/>
      <c r="AO162" s="5"/>
      <c r="AP162" s="5"/>
      <c r="AQ162" s="5"/>
      <c r="AR162" s="5"/>
      <c r="AS162" s="5"/>
      <c r="AT162" s="20"/>
      <c r="AU162" s="1182"/>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81"/>
      <c r="E163" s="389">
        <f t="shared" si="90"/>
        <v>0</v>
      </c>
      <c r="F163" s="20"/>
      <c r="G163" s="3890">
        <f t="shared" si="65"/>
        <v>0</v>
      </c>
      <c r="H163" s="1282">
        <f t="shared" si="66"/>
        <v>0</v>
      </c>
      <c r="I163" s="3891"/>
      <c r="J163" s="3891"/>
      <c r="K163" s="3891"/>
      <c r="L163" s="3891"/>
      <c r="M163" s="3891"/>
      <c r="N163" s="3891"/>
      <c r="O163" s="3891"/>
      <c r="P163" s="3891"/>
      <c r="Q163" s="3891"/>
      <c r="R163" s="3891"/>
      <c r="S163" s="3891"/>
      <c r="T163" s="3891"/>
      <c r="U163" s="3891"/>
      <c r="V163" s="3891"/>
      <c r="W163" s="3891"/>
      <c r="X163" s="3891"/>
      <c r="Y163" s="3891"/>
      <c r="Z163" s="3891"/>
      <c r="AA163" s="3891"/>
      <c r="AB163" s="3891"/>
      <c r="AC163" s="389">
        <f t="shared" si="67"/>
        <v>0</v>
      </c>
      <c r="AD163" s="5"/>
      <c r="AE163" s="5"/>
      <c r="AF163" s="5"/>
      <c r="AG163" s="5"/>
      <c r="AH163" s="5"/>
      <c r="AI163" s="5"/>
      <c r="AJ163" s="5"/>
      <c r="AK163" s="5"/>
      <c r="AL163" s="5"/>
      <c r="AM163" s="5"/>
      <c r="AN163" s="5"/>
      <c r="AO163" s="5"/>
      <c r="AP163" s="5"/>
      <c r="AQ163" s="5"/>
      <c r="AR163" s="5"/>
      <c r="AS163" s="5"/>
      <c r="AT163" s="20"/>
      <c r="AU163" s="1182"/>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81"/>
      <c r="E164" s="389">
        <f t="shared" si="90"/>
        <v>0</v>
      </c>
      <c r="F164" s="20"/>
      <c r="G164" s="3890">
        <f t="shared" si="65"/>
        <v>0</v>
      </c>
      <c r="H164" s="1282">
        <f t="shared" si="66"/>
        <v>0</v>
      </c>
      <c r="I164" s="3891"/>
      <c r="J164" s="3891"/>
      <c r="K164" s="3891"/>
      <c r="L164" s="3891"/>
      <c r="M164" s="3891"/>
      <c r="N164" s="3891"/>
      <c r="O164" s="3891"/>
      <c r="P164" s="3891"/>
      <c r="Q164" s="3891"/>
      <c r="R164" s="3891"/>
      <c r="S164" s="3891"/>
      <c r="T164" s="3891"/>
      <c r="U164" s="3891"/>
      <c r="V164" s="3891"/>
      <c r="W164" s="3891"/>
      <c r="X164" s="3891"/>
      <c r="Y164" s="3891"/>
      <c r="Z164" s="3891"/>
      <c r="AA164" s="3891"/>
      <c r="AB164" s="3891"/>
      <c r="AC164" s="389">
        <f t="shared" si="67"/>
        <v>0</v>
      </c>
      <c r="AD164" s="5"/>
      <c r="AE164" s="5"/>
      <c r="AF164" s="5"/>
      <c r="AG164" s="5"/>
      <c r="AH164" s="5"/>
      <c r="AI164" s="5"/>
      <c r="AJ164" s="5"/>
      <c r="AK164" s="5"/>
      <c r="AL164" s="5"/>
      <c r="AM164" s="5"/>
      <c r="AN164" s="5"/>
      <c r="AO164" s="5"/>
      <c r="AP164" s="5"/>
      <c r="AQ164" s="5"/>
      <c r="AR164" s="5"/>
      <c r="AS164" s="5"/>
      <c r="AT164" s="20"/>
      <c r="AU164" s="1182"/>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81"/>
      <c r="E165" s="389">
        <f t="shared" si="90"/>
        <v>0</v>
      </c>
      <c r="F165" s="20"/>
      <c r="G165" s="3890">
        <f t="shared" si="65"/>
        <v>0</v>
      </c>
      <c r="H165" s="1282">
        <f t="shared" si="66"/>
        <v>0</v>
      </c>
      <c r="I165" s="3891"/>
      <c r="J165" s="3891"/>
      <c r="K165" s="3891"/>
      <c r="L165" s="3891"/>
      <c r="M165" s="3891"/>
      <c r="N165" s="3891"/>
      <c r="O165" s="3891"/>
      <c r="P165" s="3891"/>
      <c r="Q165" s="3891"/>
      <c r="R165" s="3891"/>
      <c r="S165" s="3891"/>
      <c r="T165" s="3891"/>
      <c r="U165" s="3891"/>
      <c r="V165" s="3891"/>
      <c r="W165" s="3891"/>
      <c r="X165" s="3891"/>
      <c r="Y165" s="3891"/>
      <c r="Z165" s="3891"/>
      <c r="AA165" s="3891"/>
      <c r="AB165" s="3891"/>
      <c r="AC165" s="389">
        <f t="shared" si="67"/>
        <v>0</v>
      </c>
      <c r="AD165" s="5"/>
      <c r="AE165" s="5"/>
      <c r="AF165" s="5"/>
      <c r="AG165" s="5"/>
      <c r="AH165" s="5"/>
      <c r="AI165" s="5"/>
      <c r="AJ165" s="5"/>
      <c r="AK165" s="5"/>
      <c r="AL165" s="5"/>
      <c r="AM165" s="5"/>
      <c r="AN165" s="5"/>
      <c r="AO165" s="5"/>
      <c r="AP165" s="5"/>
      <c r="AQ165" s="5"/>
      <c r="AR165" s="5"/>
      <c r="AS165" s="5"/>
      <c r="AT165" s="20"/>
      <c r="AU165" s="1182"/>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81"/>
      <c r="E166" s="389">
        <f t="shared" si="90"/>
        <v>0</v>
      </c>
      <c r="F166" s="20"/>
      <c r="G166" s="3890">
        <f t="shared" si="65"/>
        <v>0</v>
      </c>
      <c r="H166" s="1282">
        <f t="shared" si="66"/>
        <v>0</v>
      </c>
      <c r="I166" s="3891"/>
      <c r="J166" s="3891"/>
      <c r="K166" s="3891"/>
      <c r="L166" s="3891"/>
      <c r="M166" s="3891"/>
      <c r="N166" s="3891"/>
      <c r="O166" s="3891"/>
      <c r="P166" s="3891"/>
      <c r="Q166" s="3891"/>
      <c r="R166" s="3891"/>
      <c r="S166" s="3891"/>
      <c r="T166" s="3891"/>
      <c r="U166" s="3891"/>
      <c r="V166" s="3891"/>
      <c r="W166" s="3891"/>
      <c r="X166" s="3891"/>
      <c r="Y166" s="3891"/>
      <c r="Z166" s="3891"/>
      <c r="AA166" s="3891"/>
      <c r="AB166" s="3891"/>
      <c r="AC166" s="389">
        <f t="shared" si="67"/>
        <v>0</v>
      </c>
      <c r="AD166" s="5"/>
      <c r="AE166" s="5"/>
      <c r="AF166" s="5"/>
      <c r="AG166" s="5"/>
      <c r="AH166" s="5"/>
      <c r="AI166" s="5"/>
      <c r="AJ166" s="5"/>
      <c r="AK166" s="5"/>
      <c r="AL166" s="5"/>
      <c r="AM166" s="5"/>
      <c r="AN166" s="5"/>
      <c r="AO166" s="5"/>
      <c r="AP166" s="5"/>
      <c r="AQ166" s="5"/>
      <c r="AR166" s="5"/>
      <c r="AS166" s="5"/>
      <c r="AT166" s="20"/>
      <c r="AU166" s="1182"/>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81"/>
      <c r="E167" s="389">
        <f t="shared" si="90"/>
        <v>0</v>
      </c>
      <c r="F167" s="20"/>
      <c r="G167" s="3890">
        <f t="shared" si="65"/>
        <v>0</v>
      </c>
      <c r="H167" s="1282">
        <f t="shared" si="66"/>
        <v>0</v>
      </c>
      <c r="I167" s="3891"/>
      <c r="J167" s="3891"/>
      <c r="K167" s="3891"/>
      <c r="L167" s="3891"/>
      <c r="M167" s="3891"/>
      <c r="N167" s="3891"/>
      <c r="O167" s="3891"/>
      <c r="P167" s="3891"/>
      <c r="Q167" s="3891"/>
      <c r="R167" s="3891"/>
      <c r="S167" s="3891"/>
      <c r="T167" s="3891"/>
      <c r="U167" s="3891"/>
      <c r="V167" s="3891"/>
      <c r="W167" s="3891"/>
      <c r="X167" s="3891"/>
      <c r="Y167" s="3891"/>
      <c r="Z167" s="3891"/>
      <c r="AA167" s="3891"/>
      <c r="AB167" s="3891"/>
      <c r="AC167" s="389">
        <f t="shared" si="67"/>
        <v>0</v>
      </c>
      <c r="AD167" s="5"/>
      <c r="AE167" s="5"/>
      <c r="AF167" s="5"/>
      <c r="AG167" s="5"/>
      <c r="AH167" s="5"/>
      <c r="AI167" s="5"/>
      <c r="AJ167" s="5"/>
      <c r="AK167" s="5"/>
      <c r="AL167" s="5"/>
      <c r="AM167" s="5"/>
      <c r="AN167" s="5"/>
      <c r="AO167" s="5"/>
      <c r="AP167" s="5"/>
      <c r="AQ167" s="5"/>
      <c r="AR167" s="5"/>
      <c r="AS167" s="5"/>
      <c r="AT167" s="20"/>
      <c r="AU167" s="1182"/>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81"/>
      <c r="E168" s="389">
        <f t="shared" si="90"/>
        <v>0</v>
      </c>
      <c r="F168" s="20"/>
      <c r="G168" s="3890">
        <f t="shared" si="65"/>
        <v>0</v>
      </c>
      <c r="H168" s="1282">
        <f t="shared" si="66"/>
        <v>0</v>
      </c>
      <c r="I168" s="3891"/>
      <c r="J168" s="3891"/>
      <c r="K168" s="3891"/>
      <c r="L168" s="3891"/>
      <c r="M168" s="3891"/>
      <c r="N168" s="3891"/>
      <c r="O168" s="3891"/>
      <c r="P168" s="3891"/>
      <c r="Q168" s="3891"/>
      <c r="R168" s="3891"/>
      <c r="S168" s="3891"/>
      <c r="T168" s="3891"/>
      <c r="U168" s="3891"/>
      <c r="V168" s="3891"/>
      <c r="W168" s="3891"/>
      <c r="X168" s="3891"/>
      <c r="Y168" s="3891"/>
      <c r="Z168" s="3891"/>
      <c r="AA168" s="3891"/>
      <c r="AB168" s="3891"/>
      <c r="AC168" s="389">
        <f t="shared" si="67"/>
        <v>0</v>
      </c>
      <c r="AD168" s="5"/>
      <c r="AE168" s="5"/>
      <c r="AF168" s="5"/>
      <c r="AG168" s="5"/>
      <c r="AH168" s="5"/>
      <c r="AI168" s="5"/>
      <c r="AJ168" s="5"/>
      <c r="AK168" s="5"/>
      <c r="AL168" s="5"/>
      <c r="AM168" s="5"/>
      <c r="AN168" s="5"/>
      <c r="AO168" s="5"/>
      <c r="AP168" s="5"/>
      <c r="AQ168" s="5"/>
      <c r="AR168" s="5"/>
      <c r="AS168" s="5"/>
      <c r="AT168" s="20"/>
      <c r="AU168" s="1182"/>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81"/>
      <c r="E169" s="389">
        <f t="shared" si="90"/>
        <v>0</v>
      </c>
      <c r="F169" s="20"/>
      <c r="G169" s="3890">
        <f t="shared" si="65"/>
        <v>0</v>
      </c>
      <c r="H169" s="1282">
        <f t="shared" si="66"/>
        <v>0</v>
      </c>
      <c r="I169" s="3891"/>
      <c r="J169" s="3891"/>
      <c r="K169" s="3891"/>
      <c r="L169" s="3891"/>
      <c r="M169" s="3891"/>
      <c r="N169" s="3891"/>
      <c r="O169" s="3891"/>
      <c r="P169" s="3891"/>
      <c r="Q169" s="3891"/>
      <c r="R169" s="3891"/>
      <c r="S169" s="3891"/>
      <c r="T169" s="3891"/>
      <c r="U169" s="3891"/>
      <c r="V169" s="3891"/>
      <c r="W169" s="3891"/>
      <c r="X169" s="3891"/>
      <c r="Y169" s="3891"/>
      <c r="Z169" s="3891"/>
      <c r="AA169" s="3891"/>
      <c r="AB169" s="3891"/>
      <c r="AC169" s="389">
        <f t="shared" si="67"/>
        <v>0</v>
      </c>
      <c r="AD169" s="5"/>
      <c r="AE169" s="5"/>
      <c r="AF169" s="5"/>
      <c r="AG169" s="5"/>
      <c r="AH169" s="5"/>
      <c r="AI169" s="5"/>
      <c r="AJ169" s="5"/>
      <c r="AK169" s="5"/>
      <c r="AL169" s="5"/>
      <c r="AM169" s="5"/>
      <c r="AN169" s="5"/>
      <c r="AO169" s="5"/>
      <c r="AP169" s="5"/>
      <c r="AQ169" s="5"/>
      <c r="AR169" s="5"/>
      <c r="AS169" s="5"/>
      <c r="AT169" s="20"/>
      <c r="AU169" s="1182"/>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81"/>
      <c r="E170" s="389">
        <f t="shared" si="90"/>
        <v>0</v>
      </c>
      <c r="F170" s="20"/>
      <c r="G170" s="3890">
        <f t="shared" si="65"/>
        <v>0</v>
      </c>
      <c r="H170" s="1282">
        <f t="shared" si="66"/>
        <v>0</v>
      </c>
      <c r="I170" s="3891"/>
      <c r="J170" s="3891"/>
      <c r="K170" s="3891"/>
      <c r="L170" s="3891"/>
      <c r="M170" s="3891"/>
      <c r="N170" s="3891"/>
      <c r="O170" s="3891"/>
      <c r="P170" s="3891"/>
      <c r="Q170" s="3891"/>
      <c r="R170" s="3891"/>
      <c r="S170" s="3891"/>
      <c r="T170" s="3891"/>
      <c r="U170" s="3891"/>
      <c r="V170" s="3891"/>
      <c r="W170" s="3891"/>
      <c r="X170" s="3891"/>
      <c r="Y170" s="3891"/>
      <c r="Z170" s="3891"/>
      <c r="AA170" s="3891"/>
      <c r="AB170" s="3891"/>
      <c r="AC170" s="389">
        <f t="shared" si="67"/>
        <v>0</v>
      </c>
      <c r="AD170" s="5"/>
      <c r="AE170" s="5"/>
      <c r="AF170" s="5"/>
      <c r="AG170" s="5"/>
      <c r="AH170" s="5"/>
      <c r="AI170" s="5"/>
      <c r="AJ170" s="5"/>
      <c r="AK170" s="5"/>
      <c r="AL170" s="5"/>
      <c r="AM170" s="5"/>
      <c r="AN170" s="5"/>
      <c r="AO170" s="5"/>
      <c r="AP170" s="5"/>
      <c r="AQ170" s="5"/>
      <c r="AR170" s="5"/>
      <c r="AS170" s="5"/>
      <c r="AT170" s="20"/>
      <c r="AU170" s="1182"/>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81"/>
      <c r="E171" s="389">
        <f t="shared" si="90"/>
        <v>0</v>
      </c>
      <c r="F171" s="20"/>
      <c r="G171" s="3890">
        <f t="shared" si="65"/>
        <v>0</v>
      </c>
      <c r="H171" s="1282">
        <f t="shared" si="66"/>
        <v>0</v>
      </c>
      <c r="I171" s="3891"/>
      <c r="J171" s="3891"/>
      <c r="K171" s="3891"/>
      <c r="L171" s="3891"/>
      <c r="M171" s="3891"/>
      <c r="N171" s="3891"/>
      <c r="O171" s="3891"/>
      <c r="P171" s="3891"/>
      <c r="Q171" s="3891"/>
      <c r="R171" s="3891"/>
      <c r="S171" s="3891"/>
      <c r="T171" s="3891"/>
      <c r="U171" s="3891"/>
      <c r="V171" s="3891"/>
      <c r="W171" s="3891"/>
      <c r="X171" s="3891"/>
      <c r="Y171" s="3891"/>
      <c r="Z171" s="3891"/>
      <c r="AA171" s="3891"/>
      <c r="AB171" s="3891"/>
      <c r="AC171" s="389">
        <f t="shared" si="67"/>
        <v>0</v>
      </c>
      <c r="AD171" s="5"/>
      <c r="AE171" s="5"/>
      <c r="AF171" s="5"/>
      <c r="AG171" s="5"/>
      <c r="AH171" s="5"/>
      <c r="AI171" s="5"/>
      <c r="AJ171" s="5"/>
      <c r="AK171" s="5"/>
      <c r="AL171" s="5"/>
      <c r="AM171" s="5"/>
      <c r="AN171" s="5"/>
      <c r="AO171" s="5"/>
      <c r="AP171" s="5"/>
      <c r="AQ171" s="5"/>
      <c r="AR171" s="5"/>
      <c r="AS171" s="5"/>
      <c r="AT171" s="20"/>
      <c r="AU171" s="1182"/>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81"/>
      <c r="E172" s="389">
        <f t="shared" si="90"/>
        <v>0</v>
      </c>
      <c r="F172" s="20"/>
      <c r="G172" s="3890">
        <f t="shared" si="65"/>
        <v>0</v>
      </c>
      <c r="H172" s="1282">
        <f t="shared" si="66"/>
        <v>0</v>
      </c>
      <c r="I172" s="3891"/>
      <c r="J172" s="3891"/>
      <c r="K172" s="3891"/>
      <c r="L172" s="3891"/>
      <c r="M172" s="3891"/>
      <c r="N172" s="3891"/>
      <c r="O172" s="3891"/>
      <c r="P172" s="3891"/>
      <c r="Q172" s="3891"/>
      <c r="R172" s="3891"/>
      <c r="S172" s="3891"/>
      <c r="T172" s="3891"/>
      <c r="U172" s="3891"/>
      <c r="V172" s="3891"/>
      <c r="W172" s="3891"/>
      <c r="X172" s="3891"/>
      <c r="Y172" s="3891"/>
      <c r="Z172" s="3891"/>
      <c r="AA172" s="3891"/>
      <c r="AB172" s="3891"/>
      <c r="AC172" s="389">
        <f t="shared" si="67"/>
        <v>0</v>
      </c>
      <c r="AD172" s="5"/>
      <c r="AE172" s="5"/>
      <c r="AF172" s="5"/>
      <c r="AG172" s="5"/>
      <c r="AH172" s="5"/>
      <c r="AI172" s="5"/>
      <c r="AJ172" s="5"/>
      <c r="AK172" s="5"/>
      <c r="AL172" s="5"/>
      <c r="AM172" s="5"/>
      <c r="AN172" s="5"/>
      <c r="AO172" s="5"/>
      <c r="AP172" s="5"/>
      <c r="AQ172" s="5"/>
      <c r="AR172" s="5"/>
      <c r="AS172" s="5"/>
      <c r="AT172" s="20"/>
      <c r="AU172" s="1182"/>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81"/>
      <c r="E173" s="389">
        <f t="shared" si="90"/>
        <v>0</v>
      </c>
      <c r="F173" s="20"/>
      <c r="G173" s="3890">
        <f t="shared" si="65"/>
        <v>0</v>
      </c>
      <c r="H173" s="1282">
        <f t="shared" si="66"/>
        <v>0</v>
      </c>
      <c r="I173" s="3891"/>
      <c r="J173" s="3891"/>
      <c r="K173" s="3891"/>
      <c r="L173" s="3891"/>
      <c r="M173" s="3891"/>
      <c r="N173" s="3891"/>
      <c r="O173" s="3891"/>
      <c r="P173" s="3891"/>
      <c r="Q173" s="3891"/>
      <c r="R173" s="3891"/>
      <c r="S173" s="3891"/>
      <c r="T173" s="3891"/>
      <c r="U173" s="3891"/>
      <c r="V173" s="3891"/>
      <c r="W173" s="3891"/>
      <c r="X173" s="3891"/>
      <c r="Y173" s="3891"/>
      <c r="Z173" s="3891"/>
      <c r="AA173" s="3891"/>
      <c r="AB173" s="3891"/>
      <c r="AC173" s="389">
        <f t="shared" si="67"/>
        <v>0</v>
      </c>
      <c r="AD173" s="5"/>
      <c r="AE173" s="5"/>
      <c r="AF173" s="5"/>
      <c r="AG173" s="5"/>
      <c r="AH173" s="5"/>
      <c r="AI173" s="5"/>
      <c r="AJ173" s="5"/>
      <c r="AK173" s="5"/>
      <c r="AL173" s="5"/>
      <c r="AM173" s="5"/>
      <c r="AN173" s="5"/>
      <c r="AO173" s="5"/>
      <c r="AP173" s="5"/>
      <c r="AQ173" s="5"/>
      <c r="AR173" s="5"/>
      <c r="AS173" s="5"/>
      <c r="AT173" s="20"/>
      <c r="AU173" s="1182"/>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81"/>
      <c r="E174" s="389">
        <f t="shared" si="90"/>
        <v>0</v>
      </c>
      <c r="F174" s="20"/>
      <c r="G174" s="3890">
        <f t="shared" ref="G174:G205" si="94">H174+AC174+AT174</f>
        <v>0</v>
      </c>
      <c r="H174" s="1282">
        <f t="shared" ref="H174:H205" si="95">SUMIF(I$12:AB$12,"总值",I174:AB174)</f>
        <v>0</v>
      </c>
      <c r="I174" s="3891"/>
      <c r="J174" s="3891"/>
      <c r="K174" s="3891"/>
      <c r="L174" s="3891"/>
      <c r="M174" s="3891"/>
      <c r="N174" s="3891"/>
      <c r="O174" s="3891"/>
      <c r="P174" s="3891"/>
      <c r="Q174" s="3891"/>
      <c r="R174" s="3891"/>
      <c r="S174" s="3891"/>
      <c r="T174" s="3891"/>
      <c r="U174" s="3891"/>
      <c r="V174" s="3891"/>
      <c r="W174" s="3891"/>
      <c r="X174" s="3891"/>
      <c r="Y174" s="3891"/>
      <c r="Z174" s="3891"/>
      <c r="AA174" s="3891"/>
      <c r="AB174" s="3891"/>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82"/>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81"/>
      <c r="E175" s="389">
        <f t="shared" si="90"/>
        <v>0</v>
      </c>
      <c r="F175" s="20"/>
      <c r="G175" s="3890">
        <f t="shared" si="94"/>
        <v>0</v>
      </c>
      <c r="H175" s="1282">
        <f t="shared" si="95"/>
        <v>0</v>
      </c>
      <c r="I175" s="3891"/>
      <c r="J175" s="3891"/>
      <c r="K175" s="3891"/>
      <c r="L175" s="3891"/>
      <c r="M175" s="3891"/>
      <c r="N175" s="3891"/>
      <c r="O175" s="3891"/>
      <c r="P175" s="3891"/>
      <c r="Q175" s="3891"/>
      <c r="R175" s="3891"/>
      <c r="S175" s="3891"/>
      <c r="T175" s="3891"/>
      <c r="U175" s="3891"/>
      <c r="V175" s="3891"/>
      <c r="W175" s="3891"/>
      <c r="X175" s="3891"/>
      <c r="Y175" s="3891"/>
      <c r="Z175" s="3891"/>
      <c r="AA175" s="3891"/>
      <c r="AB175" s="3891"/>
      <c r="AC175" s="389">
        <f t="shared" si="96"/>
        <v>0</v>
      </c>
      <c r="AD175" s="5"/>
      <c r="AE175" s="5"/>
      <c r="AF175" s="5"/>
      <c r="AG175" s="5"/>
      <c r="AH175" s="5"/>
      <c r="AI175" s="5"/>
      <c r="AJ175" s="5"/>
      <c r="AK175" s="5"/>
      <c r="AL175" s="5"/>
      <c r="AM175" s="5"/>
      <c r="AN175" s="5"/>
      <c r="AO175" s="5"/>
      <c r="AP175" s="5"/>
      <c r="AQ175" s="5"/>
      <c r="AR175" s="5"/>
      <c r="AS175" s="5"/>
      <c r="AT175" s="20"/>
      <c r="AU175" s="1182"/>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81"/>
      <c r="E176" s="389">
        <f t="shared" si="90"/>
        <v>0</v>
      </c>
      <c r="F176" s="20"/>
      <c r="G176" s="3890">
        <f t="shared" si="94"/>
        <v>0</v>
      </c>
      <c r="H176" s="1282">
        <f t="shared" si="95"/>
        <v>0</v>
      </c>
      <c r="I176" s="3891"/>
      <c r="J176" s="3891"/>
      <c r="K176" s="3891"/>
      <c r="L176" s="3891"/>
      <c r="M176" s="3891"/>
      <c r="N176" s="3891"/>
      <c r="O176" s="3891"/>
      <c r="P176" s="3891"/>
      <c r="Q176" s="3891"/>
      <c r="R176" s="3891"/>
      <c r="S176" s="3891"/>
      <c r="T176" s="3891"/>
      <c r="U176" s="3891"/>
      <c r="V176" s="3891"/>
      <c r="W176" s="3891"/>
      <c r="X176" s="3891"/>
      <c r="Y176" s="3891"/>
      <c r="Z176" s="3891"/>
      <c r="AA176" s="3891"/>
      <c r="AB176" s="3891"/>
      <c r="AC176" s="389">
        <f t="shared" si="96"/>
        <v>0</v>
      </c>
      <c r="AD176" s="5"/>
      <c r="AE176" s="5"/>
      <c r="AF176" s="5"/>
      <c r="AG176" s="5"/>
      <c r="AH176" s="5"/>
      <c r="AI176" s="5"/>
      <c r="AJ176" s="5"/>
      <c r="AK176" s="5"/>
      <c r="AL176" s="5"/>
      <c r="AM176" s="5"/>
      <c r="AN176" s="5"/>
      <c r="AO176" s="5"/>
      <c r="AP176" s="5"/>
      <c r="AQ176" s="5"/>
      <c r="AR176" s="5"/>
      <c r="AS176" s="5"/>
      <c r="AT176" s="20"/>
      <c r="AU176" s="1182"/>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81"/>
      <c r="E177" s="389">
        <f t="shared" ref="E177:E207" si="119">IF($C$3="是",ROUND($A$3*G177/$B$3,2),ROUND($A$3*(G177-AT177)/$B$3,2))</f>
        <v>0</v>
      </c>
      <c r="F177" s="20"/>
      <c r="G177" s="3890">
        <f t="shared" si="94"/>
        <v>0</v>
      </c>
      <c r="H177" s="1282">
        <f t="shared" si="95"/>
        <v>0</v>
      </c>
      <c r="I177" s="3891"/>
      <c r="J177" s="3891"/>
      <c r="K177" s="3891"/>
      <c r="L177" s="3891"/>
      <c r="M177" s="3891"/>
      <c r="N177" s="3891"/>
      <c r="O177" s="3891"/>
      <c r="P177" s="3891"/>
      <c r="Q177" s="3891"/>
      <c r="R177" s="3891"/>
      <c r="S177" s="3891"/>
      <c r="T177" s="3891"/>
      <c r="U177" s="3891"/>
      <c r="V177" s="3891"/>
      <c r="W177" s="3891"/>
      <c r="X177" s="3891"/>
      <c r="Y177" s="3891"/>
      <c r="Z177" s="3891"/>
      <c r="AA177" s="3891"/>
      <c r="AB177" s="3891"/>
      <c r="AC177" s="389">
        <f t="shared" si="96"/>
        <v>0</v>
      </c>
      <c r="AD177" s="5"/>
      <c r="AE177" s="5"/>
      <c r="AF177" s="5"/>
      <c r="AG177" s="5"/>
      <c r="AH177" s="5"/>
      <c r="AI177" s="5"/>
      <c r="AJ177" s="5"/>
      <c r="AK177" s="5"/>
      <c r="AL177" s="5"/>
      <c r="AM177" s="5"/>
      <c r="AN177" s="5"/>
      <c r="AO177" s="5"/>
      <c r="AP177" s="5"/>
      <c r="AQ177" s="5"/>
      <c r="AR177" s="5"/>
      <c r="AS177" s="5"/>
      <c r="AT177" s="20"/>
      <c r="AU177" s="1182"/>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81"/>
      <c r="E178" s="389">
        <f t="shared" si="119"/>
        <v>0</v>
      </c>
      <c r="F178" s="20"/>
      <c r="G178" s="3890">
        <f t="shared" si="94"/>
        <v>0</v>
      </c>
      <c r="H178" s="1282">
        <f t="shared" si="95"/>
        <v>0</v>
      </c>
      <c r="I178" s="3891"/>
      <c r="J178" s="3891"/>
      <c r="K178" s="3891"/>
      <c r="L178" s="3891"/>
      <c r="M178" s="3891"/>
      <c r="N178" s="3891"/>
      <c r="O178" s="3891"/>
      <c r="P178" s="3891"/>
      <c r="Q178" s="3891"/>
      <c r="R178" s="3891"/>
      <c r="S178" s="3891"/>
      <c r="T178" s="3891"/>
      <c r="U178" s="3891"/>
      <c r="V178" s="3891"/>
      <c r="W178" s="3891"/>
      <c r="X178" s="3891"/>
      <c r="Y178" s="3891"/>
      <c r="Z178" s="3891"/>
      <c r="AA178" s="3891"/>
      <c r="AB178" s="3891"/>
      <c r="AC178" s="389">
        <f t="shared" si="96"/>
        <v>0</v>
      </c>
      <c r="AD178" s="5"/>
      <c r="AE178" s="5"/>
      <c r="AF178" s="5"/>
      <c r="AG178" s="5"/>
      <c r="AH178" s="5"/>
      <c r="AI178" s="5"/>
      <c r="AJ178" s="5"/>
      <c r="AK178" s="5"/>
      <c r="AL178" s="5"/>
      <c r="AM178" s="5"/>
      <c r="AN178" s="5"/>
      <c r="AO178" s="5"/>
      <c r="AP178" s="5"/>
      <c r="AQ178" s="5"/>
      <c r="AR178" s="5"/>
      <c r="AS178" s="5"/>
      <c r="AT178" s="20"/>
      <c r="AU178" s="1182"/>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81"/>
      <c r="E179" s="389">
        <f t="shared" si="119"/>
        <v>0</v>
      </c>
      <c r="F179" s="20"/>
      <c r="G179" s="3890">
        <f t="shared" si="94"/>
        <v>0</v>
      </c>
      <c r="H179" s="1282">
        <f t="shared" si="95"/>
        <v>0</v>
      </c>
      <c r="I179" s="3891"/>
      <c r="J179" s="3891"/>
      <c r="K179" s="3891"/>
      <c r="L179" s="3891"/>
      <c r="M179" s="3891"/>
      <c r="N179" s="3891"/>
      <c r="O179" s="3891"/>
      <c r="P179" s="3891"/>
      <c r="Q179" s="3891"/>
      <c r="R179" s="3891"/>
      <c r="S179" s="3891"/>
      <c r="T179" s="3891"/>
      <c r="U179" s="3891"/>
      <c r="V179" s="3891"/>
      <c r="W179" s="3891"/>
      <c r="X179" s="3891"/>
      <c r="Y179" s="3891"/>
      <c r="Z179" s="3891"/>
      <c r="AA179" s="3891"/>
      <c r="AB179" s="3891"/>
      <c r="AC179" s="389">
        <f t="shared" si="96"/>
        <v>0</v>
      </c>
      <c r="AD179" s="5"/>
      <c r="AE179" s="5"/>
      <c r="AF179" s="5"/>
      <c r="AG179" s="5"/>
      <c r="AH179" s="5"/>
      <c r="AI179" s="5"/>
      <c r="AJ179" s="5"/>
      <c r="AK179" s="5"/>
      <c r="AL179" s="5"/>
      <c r="AM179" s="5"/>
      <c r="AN179" s="5"/>
      <c r="AO179" s="5"/>
      <c r="AP179" s="5"/>
      <c r="AQ179" s="5"/>
      <c r="AR179" s="5"/>
      <c r="AS179" s="5"/>
      <c r="AT179" s="20"/>
      <c r="AU179" s="1182"/>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81"/>
      <c r="E180" s="389">
        <f t="shared" si="119"/>
        <v>0</v>
      </c>
      <c r="F180" s="20"/>
      <c r="G180" s="3890">
        <f t="shared" si="94"/>
        <v>0</v>
      </c>
      <c r="H180" s="1282">
        <f t="shared" si="95"/>
        <v>0</v>
      </c>
      <c r="I180" s="3891"/>
      <c r="J180" s="3891"/>
      <c r="K180" s="3891"/>
      <c r="L180" s="3891"/>
      <c r="M180" s="3891"/>
      <c r="N180" s="3891"/>
      <c r="O180" s="3891"/>
      <c r="P180" s="3891"/>
      <c r="Q180" s="3891"/>
      <c r="R180" s="3891"/>
      <c r="S180" s="3891"/>
      <c r="T180" s="3891"/>
      <c r="U180" s="3891"/>
      <c r="V180" s="3891"/>
      <c r="W180" s="3891"/>
      <c r="X180" s="3891"/>
      <c r="Y180" s="3891"/>
      <c r="Z180" s="3891"/>
      <c r="AA180" s="3891"/>
      <c r="AB180" s="3891"/>
      <c r="AC180" s="389">
        <f t="shared" si="96"/>
        <v>0</v>
      </c>
      <c r="AD180" s="5"/>
      <c r="AE180" s="5"/>
      <c r="AF180" s="5"/>
      <c r="AG180" s="5"/>
      <c r="AH180" s="5"/>
      <c r="AI180" s="5"/>
      <c r="AJ180" s="5"/>
      <c r="AK180" s="5"/>
      <c r="AL180" s="5"/>
      <c r="AM180" s="5"/>
      <c r="AN180" s="5"/>
      <c r="AO180" s="5"/>
      <c r="AP180" s="5"/>
      <c r="AQ180" s="5"/>
      <c r="AR180" s="5"/>
      <c r="AS180" s="5"/>
      <c r="AT180" s="20"/>
      <c r="AU180" s="1182"/>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81"/>
      <c r="E181" s="389">
        <f t="shared" si="119"/>
        <v>0</v>
      </c>
      <c r="F181" s="20"/>
      <c r="G181" s="3890">
        <f t="shared" si="94"/>
        <v>0</v>
      </c>
      <c r="H181" s="1282">
        <f t="shared" si="95"/>
        <v>0</v>
      </c>
      <c r="I181" s="3891"/>
      <c r="J181" s="3891"/>
      <c r="K181" s="3891"/>
      <c r="L181" s="3891"/>
      <c r="M181" s="3891"/>
      <c r="N181" s="3891"/>
      <c r="O181" s="3891"/>
      <c r="P181" s="3891"/>
      <c r="Q181" s="3891"/>
      <c r="R181" s="3891"/>
      <c r="S181" s="3891"/>
      <c r="T181" s="3891"/>
      <c r="U181" s="3891"/>
      <c r="V181" s="3891"/>
      <c r="W181" s="3891"/>
      <c r="X181" s="3891"/>
      <c r="Y181" s="3891"/>
      <c r="Z181" s="3891"/>
      <c r="AA181" s="3891"/>
      <c r="AB181" s="3891"/>
      <c r="AC181" s="389">
        <f t="shared" si="96"/>
        <v>0</v>
      </c>
      <c r="AD181" s="5"/>
      <c r="AE181" s="5"/>
      <c r="AF181" s="5"/>
      <c r="AG181" s="5"/>
      <c r="AH181" s="5"/>
      <c r="AI181" s="5"/>
      <c r="AJ181" s="5"/>
      <c r="AK181" s="5"/>
      <c r="AL181" s="5"/>
      <c r="AM181" s="5"/>
      <c r="AN181" s="5"/>
      <c r="AO181" s="5"/>
      <c r="AP181" s="5"/>
      <c r="AQ181" s="5"/>
      <c r="AR181" s="5"/>
      <c r="AS181" s="5"/>
      <c r="AT181" s="20"/>
      <c r="AU181" s="1182"/>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81"/>
      <c r="E182" s="389">
        <f t="shared" si="119"/>
        <v>0</v>
      </c>
      <c r="F182" s="20"/>
      <c r="G182" s="3890">
        <f t="shared" si="94"/>
        <v>0</v>
      </c>
      <c r="H182" s="1282">
        <f t="shared" si="95"/>
        <v>0</v>
      </c>
      <c r="I182" s="3891"/>
      <c r="J182" s="3891"/>
      <c r="K182" s="3891"/>
      <c r="L182" s="3891"/>
      <c r="M182" s="3891"/>
      <c r="N182" s="3891"/>
      <c r="O182" s="3891"/>
      <c r="P182" s="3891"/>
      <c r="Q182" s="3891"/>
      <c r="R182" s="3891"/>
      <c r="S182" s="3891"/>
      <c r="T182" s="3891"/>
      <c r="U182" s="3891"/>
      <c r="V182" s="3891"/>
      <c r="W182" s="3891"/>
      <c r="X182" s="3891"/>
      <c r="Y182" s="3891"/>
      <c r="Z182" s="3891"/>
      <c r="AA182" s="3891"/>
      <c r="AB182" s="3891"/>
      <c r="AC182" s="389">
        <f t="shared" si="96"/>
        <v>0</v>
      </c>
      <c r="AD182" s="5"/>
      <c r="AE182" s="5"/>
      <c r="AF182" s="5"/>
      <c r="AG182" s="5"/>
      <c r="AH182" s="5"/>
      <c r="AI182" s="5"/>
      <c r="AJ182" s="5"/>
      <c r="AK182" s="5"/>
      <c r="AL182" s="5"/>
      <c r="AM182" s="5"/>
      <c r="AN182" s="5"/>
      <c r="AO182" s="5"/>
      <c r="AP182" s="5"/>
      <c r="AQ182" s="5"/>
      <c r="AR182" s="5"/>
      <c r="AS182" s="5"/>
      <c r="AT182" s="20"/>
      <c r="AU182" s="1182"/>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81"/>
      <c r="E183" s="389">
        <f t="shared" si="119"/>
        <v>0</v>
      </c>
      <c r="F183" s="20"/>
      <c r="G183" s="3890">
        <f t="shared" si="94"/>
        <v>0</v>
      </c>
      <c r="H183" s="1282">
        <f t="shared" si="95"/>
        <v>0</v>
      </c>
      <c r="I183" s="3891"/>
      <c r="J183" s="3891"/>
      <c r="K183" s="3891"/>
      <c r="L183" s="3891"/>
      <c r="M183" s="3891"/>
      <c r="N183" s="3891"/>
      <c r="O183" s="3891"/>
      <c r="P183" s="3891"/>
      <c r="Q183" s="3891"/>
      <c r="R183" s="3891"/>
      <c r="S183" s="3891"/>
      <c r="T183" s="3891"/>
      <c r="U183" s="3891"/>
      <c r="V183" s="3891"/>
      <c r="W183" s="3891"/>
      <c r="X183" s="3891"/>
      <c r="Y183" s="3891"/>
      <c r="Z183" s="3891"/>
      <c r="AA183" s="3891"/>
      <c r="AB183" s="3891"/>
      <c r="AC183" s="389">
        <f t="shared" si="96"/>
        <v>0</v>
      </c>
      <c r="AD183" s="5"/>
      <c r="AE183" s="5"/>
      <c r="AF183" s="5"/>
      <c r="AG183" s="5"/>
      <c r="AH183" s="5"/>
      <c r="AI183" s="5"/>
      <c r="AJ183" s="5"/>
      <c r="AK183" s="5"/>
      <c r="AL183" s="5"/>
      <c r="AM183" s="5"/>
      <c r="AN183" s="5"/>
      <c r="AO183" s="5"/>
      <c r="AP183" s="5"/>
      <c r="AQ183" s="5"/>
      <c r="AR183" s="5"/>
      <c r="AS183" s="5"/>
      <c r="AT183" s="20"/>
      <c r="AU183" s="1182"/>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81"/>
      <c r="E184" s="389">
        <f t="shared" si="119"/>
        <v>0</v>
      </c>
      <c r="F184" s="20"/>
      <c r="G184" s="3890">
        <f t="shared" si="94"/>
        <v>0</v>
      </c>
      <c r="H184" s="1282">
        <f t="shared" si="95"/>
        <v>0</v>
      </c>
      <c r="I184" s="3891"/>
      <c r="J184" s="3891"/>
      <c r="K184" s="3891"/>
      <c r="L184" s="3891"/>
      <c r="M184" s="3891"/>
      <c r="N184" s="3891"/>
      <c r="O184" s="3891"/>
      <c r="P184" s="3891"/>
      <c r="Q184" s="3891"/>
      <c r="R184" s="3891"/>
      <c r="S184" s="3891"/>
      <c r="T184" s="3891"/>
      <c r="U184" s="3891"/>
      <c r="V184" s="3891"/>
      <c r="W184" s="3891"/>
      <c r="X184" s="3891"/>
      <c r="Y184" s="3891"/>
      <c r="Z184" s="3891"/>
      <c r="AA184" s="3891"/>
      <c r="AB184" s="3891"/>
      <c r="AC184" s="389">
        <f t="shared" si="96"/>
        <v>0</v>
      </c>
      <c r="AD184" s="5"/>
      <c r="AE184" s="5"/>
      <c r="AF184" s="5"/>
      <c r="AG184" s="5"/>
      <c r="AH184" s="5"/>
      <c r="AI184" s="5"/>
      <c r="AJ184" s="5"/>
      <c r="AK184" s="5"/>
      <c r="AL184" s="5"/>
      <c r="AM184" s="5"/>
      <c r="AN184" s="5"/>
      <c r="AO184" s="5"/>
      <c r="AP184" s="5"/>
      <c r="AQ184" s="5"/>
      <c r="AR184" s="5"/>
      <c r="AS184" s="5"/>
      <c r="AT184" s="20"/>
      <c r="AU184" s="1182"/>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81"/>
      <c r="E185" s="389">
        <f t="shared" si="119"/>
        <v>0</v>
      </c>
      <c r="F185" s="20"/>
      <c r="G185" s="3890">
        <f t="shared" si="94"/>
        <v>0</v>
      </c>
      <c r="H185" s="1282">
        <f t="shared" si="95"/>
        <v>0</v>
      </c>
      <c r="I185" s="3891"/>
      <c r="J185" s="3891"/>
      <c r="K185" s="3891"/>
      <c r="L185" s="3891"/>
      <c r="M185" s="3891"/>
      <c r="N185" s="3891"/>
      <c r="O185" s="3891"/>
      <c r="P185" s="3891"/>
      <c r="Q185" s="3891"/>
      <c r="R185" s="3891"/>
      <c r="S185" s="3891"/>
      <c r="T185" s="3891"/>
      <c r="U185" s="3891"/>
      <c r="V185" s="3891"/>
      <c r="W185" s="3891"/>
      <c r="X185" s="3891"/>
      <c r="Y185" s="3891"/>
      <c r="Z185" s="3891"/>
      <c r="AA185" s="3891"/>
      <c r="AB185" s="3891"/>
      <c r="AC185" s="389">
        <f t="shared" si="96"/>
        <v>0</v>
      </c>
      <c r="AD185" s="5"/>
      <c r="AE185" s="5"/>
      <c r="AF185" s="5"/>
      <c r="AG185" s="5"/>
      <c r="AH185" s="5"/>
      <c r="AI185" s="5"/>
      <c r="AJ185" s="5"/>
      <c r="AK185" s="5"/>
      <c r="AL185" s="5"/>
      <c r="AM185" s="5"/>
      <c r="AN185" s="5"/>
      <c r="AO185" s="5"/>
      <c r="AP185" s="5"/>
      <c r="AQ185" s="5"/>
      <c r="AR185" s="5"/>
      <c r="AS185" s="5"/>
      <c r="AT185" s="20"/>
      <c r="AU185" s="1182"/>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81"/>
      <c r="E186" s="389">
        <f t="shared" si="119"/>
        <v>0</v>
      </c>
      <c r="F186" s="20"/>
      <c r="G186" s="3890">
        <f t="shared" si="94"/>
        <v>0</v>
      </c>
      <c r="H186" s="1282">
        <f t="shared" si="95"/>
        <v>0</v>
      </c>
      <c r="I186" s="3891"/>
      <c r="J186" s="3891"/>
      <c r="K186" s="3891"/>
      <c r="L186" s="3891"/>
      <c r="M186" s="3891"/>
      <c r="N186" s="3891"/>
      <c r="O186" s="3891"/>
      <c r="P186" s="3891"/>
      <c r="Q186" s="3891"/>
      <c r="R186" s="3891"/>
      <c r="S186" s="3891"/>
      <c r="T186" s="3891"/>
      <c r="U186" s="3891"/>
      <c r="V186" s="3891"/>
      <c r="W186" s="3891"/>
      <c r="X186" s="3891"/>
      <c r="Y186" s="3891"/>
      <c r="Z186" s="3891"/>
      <c r="AA186" s="3891"/>
      <c r="AB186" s="3891"/>
      <c r="AC186" s="389">
        <f t="shared" si="96"/>
        <v>0</v>
      </c>
      <c r="AD186" s="5"/>
      <c r="AE186" s="5"/>
      <c r="AF186" s="5"/>
      <c r="AG186" s="5"/>
      <c r="AH186" s="5"/>
      <c r="AI186" s="5"/>
      <c r="AJ186" s="5"/>
      <c r="AK186" s="5"/>
      <c r="AL186" s="5"/>
      <c r="AM186" s="5"/>
      <c r="AN186" s="5"/>
      <c r="AO186" s="5"/>
      <c r="AP186" s="5"/>
      <c r="AQ186" s="5"/>
      <c r="AR186" s="5"/>
      <c r="AS186" s="5"/>
      <c r="AT186" s="20"/>
      <c r="AU186" s="1182"/>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81"/>
      <c r="E187" s="389">
        <f t="shared" si="119"/>
        <v>0</v>
      </c>
      <c r="F187" s="20"/>
      <c r="G187" s="3890">
        <f t="shared" si="94"/>
        <v>0</v>
      </c>
      <c r="H187" s="1282">
        <f t="shared" si="95"/>
        <v>0</v>
      </c>
      <c r="I187" s="3891"/>
      <c r="J187" s="3891"/>
      <c r="K187" s="3891"/>
      <c r="L187" s="3891"/>
      <c r="M187" s="3891"/>
      <c r="N187" s="3891"/>
      <c r="O187" s="3891"/>
      <c r="P187" s="3891"/>
      <c r="Q187" s="3891"/>
      <c r="R187" s="3891"/>
      <c r="S187" s="3891"/>
      <c r="T187" s="3891"/>
      <c r="U187" s="3891"/>
      <c r="V187" s="3891"/>
      <c r="W187" s="3891"/>
      <c r="X187" s="3891"/>
      <c r="Y187" s="3891"/>
      <c r="Z187" s="3891"/>
      <c r="AA187" s="3891"/>
      <c r="AB187" s="3891"/>
      <c r="AC187" s="389">
        <f t="shared" si="96"/>
        <v>0</v>
      </c>
      <c r="AD187" s="5"/>
      <c r="AE187" s="5"/>
      <c r="AF187" s="5"/>
      <c r="AG187" s="5"/>
      <c r="AH187" s="5"/>
      <c r="AI187" s="5"/>
      <c r="AJ187" s="5"/>
      <c r="AK187" s="5"/>
      <c r="AL187" s="5"/>
      <c r="AM187" s="5"/>
      <c r="AN187" s="5"/>
      <c r="AO187" s="5"/>
      <c r="AP187" s="5"/>
      <c r="AQ187" s="5"/>
      <c r="AR187" s="5"/>
      <c r="AS187" s="5"/>
      <c r="AT187" s="20"/>
      <c r="AU187" s="1182"/>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81"/>
      <c r="E188" s="389">
        <f t="shared" si="119"/>
        <v>0</v>
      </c>
      <c r="F188" s="20"/>
      <c r="G188" s="3890">
        <f t="shared" si="94"/>
        <v>0</v>
      </c>
      <c r="H188" s="1282">
        <f t="shared" si="95"/>
        <v>0</v>
      </c>
      <c r="I188" s="3891"/>
      <c r="J188" s="3891"/>
      <c r="K188" s="3891"/>
      <c r="L188" s="3891"/>
      <c r="M188" s="3891"/>
      <c r="N188" s="3891"/>
      <c r="O188" s="3891"/>
      <c r="P188" s="3891"/>
      <c r="Q188" s="3891"/>
      <c r="R188" s="3891"/>
      <c r="S188" s="3891"/>
      <c r="T188" s="3891"/>
      <c r="U188" s="3891"/>
      <c r="V188" s="3891"/>
      <c r="W188" s="3891"/>
      <c r="X188" s="3891"/>
      <c r="Y188" s="3891"/>
      <c r="Z188" s="3891"/>
      <c r="AA188" s="3891"/>
      <c r="AB188" s="3891"/>
      <c r="AC188" s="389">
        <f t="shared" si="96"/>
        <v>0</v>
      </c>
      <c r="AD188" s="5"/>
      <c r="AE188" s="5"/>
      <c r="AF188" s="5"/>
      <c r="AG188" s="5"/>
      <c r="AH188" s="5"/>
      <c r="AI188" s="5"/>
      <c r="AJ188" s="5"/>
      <c r="AK188" s="5"/>
      <c r="AL188" s="5"/>
      <c r="AM188" s="5"/>
      <c r="AN188" s="5"/>
      <c r="AO188" s="5"/>
      <c r="AP188" s="5"/>
      <c r="AQ188" s="5"/>
      <c r="AR188" s="5"/>
      <c r="AS188" s="5"/>
      <c r="AT188" s="20"/>
      <c r="AU188" s="1182"/>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81"/>
      <c r="E189" s="389">
        <f t="shared" si="119"/>
        <v>0</v>
      </c>
      <c r="F189" s="20"/>
      <c r="G189" s="3890">
        <f t="shared" si="94"/>
        <v>0</v>
      </c>
      <c r="H189" s="1282">
        <f t="shared" si="95"/>
        <v>0</v>
      </c>
      <c r="I189" s="3891"/>
      <c r="J189" s="3891"/>
      <c r="K189" s="3891"/>
      <c r="L189" s="3891"/>
      <c r="M189" s="3891"/>
      <c r="N189" s="3891"/>
      <c r="O189" s="3891"/>
      <c r="P189" s="3891"/>
      <c r="Q189" s="3891"/>
      <c r="R189" s="3891"/>
      <c r="S189" s="3891"/>
      <c r="T189" s="3891"/>
      <c r="U189" s="3891"/>
      <c r="V189" s="3891"/>
      <c r="W189" s="3891"/>
      <c r="X189" s="3891"/>
      <c r="Y189" s="3891"/>
      <c r="Z189" s="3891"/>
      <c r="AA189" s="3891"/>
      <c r="AB189" s="3891"/>
      <c r="AC189" s="389">
        <f t="shared" si="96"/>
        <v>0</v>
      </c>
      <c r="AD189" s="5"/>
      <c r="AE189" s="5"/>
      <c r="AF189" s="5"/>
      <c r="AG189" s="5"/>
      <c r="AH189" s="5"/>
      <c r="AI189" s="5"/>
      <c r="AJ189" s="5"/>
      <c r="AK189" s="5"/>
      <c r="AL189" s="5"/>
      <c r="AM189" s="5"/>
      <c r="AN189" s="5"/>
      <c r="AO189" s="5"/>
      <c r="AP189" s="5"/>
      <c r="AQ189" s="5"/>
      <c r="AR189" s="5"/>
      <c r="AS189" s="5"/>
      <c r="AT189" s="20"/>
      <c r="AU189" s="1182"/>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81"/>
      <c r="E190" s="389">
        <f t="shared" si="119"/>
        <v>0</v>
      </c>
      <c r="F190" s="20"/>
      <c r="G190" s="3890">
        <f t="shared" si="94"/>
        <v>0</v>
      </c>
      <c r="H190" s="1282">
        <f t="shared" si="95"/>
        <v>0</v>
      </c>
      <c r="I190" s="3891"/>
      <c r="J190" s="3891"/>
      <c r="K190" s="3891"/>
      <c r="L190" s="3891"/>
      <c r="M190" s="3891"/>
      <c r="N190" s="3891"/>
      <c r="O190" s="3891"/>
      <c r="P190" s="3891"/>
      <c r="Q190" s="3891"/>
      <c r="R190" s="3891"/>
      <c r="S190" s="3891"/>
      <c r="T190" s="3891"/>
      <c r="U190" s="3891"/>
      <c r="V190" s="3891"/>
      <c r="W190" s="3891"/>
      <c r="X190" s="3891"/>
      <c r="Y190" s="3891"/>
      <c r="Z190" s="3891"/>
      <c r="AA190" s="3891"/>
      <c r="AB190" s="3891"/>
      <c r="AC190" s="389">
        <f t="shared" si="96"/>
        <v>0</v>
      </c>
      <c r="AD190" s="5"/>
      <c r="AE190" s="5"/>
      <c r="AF190" s="5"/>
      <c r="AG190" s="5"/>
      <c r="AH190" s="5"/>
      <c r="AI190" s="5"/>
      <c r="AJ190" s="5"/>
      <c r="AK190" s="5"/>
      <c r="AL190" s="5"/>
      <c r="AM190" s="5"/>
      <c r="AN190" s="5"/>
      <c r="AO190" s="5"/>
      <c r="AP190" s="5"/>
      <c r="AQ190" s="5"/>
      <c r="AR190" s="5"/>
      <c r="AS190" s="5"/>
      <c r="AT190" s="20"/>
      <c r="AU190" s="1182"/>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81"/>
      <c r="E191" s="389">
        <f t="shared" si="119"/>
        <v>0</v>
      </c>
      <c r="F191" s="20"/>
      <c r="G191" s="3890">
        <f t="shared" si="94"/>
        <v>0</v>
      </c>
      <c r="H191" s="1282">
        <f t="shared" si="95"/>
        <v>0</v>
      </c>
      <c r="I191" s="3891"/>
      <c r="J191" s="3891"/>
      <c r="K191" s="3891"/>
      <c r="L191" s="3891"/>
      <c r="M191" s="3891"/>
      <c r="N191" s="3891"/>
      <c r="O191" s="3891"/>
      <c r="P191" s="3891"/>
      <c r="Q191" s="3891"/>
      <c r="R191" s="3891"/>
      <c r="S191" s="3891"/>
      <c r="T191" s="3891"/>
      <c r="U191" s="3891"/>
      <c r="V191" s="3891"/>
      <c r="W191" s="3891"/>
      <c r="X191" s="3891"/>
      <c r="Y191" s="3891"/>
      <c r="Z191" s="3891"/>
      <c r="AA191" s="3891"/>
      <c r="AB191" s="3891"/>
      <c r="AC191" s="389">
        <f t="shared" si="96"/>
        <v>0</v>
      </c>
      <c r="AD191" s="5"/>
      <c r="AE191" s="5"/>
      <c r="AF191" s="5"/>
      <c r="AG191" s="5"/>
      <c r="AH191" s="5"/>
      <c r="AI191" s="5"/>
      <c r="AJ191" s="5"/>
      <c r="AK191" s="5"/>
      <c r="AL191" s="5"/>
      <c r="AM191" s="5"/>
      <c r="AN191" s="5"/>
      <c r="AO191" s="5"/>
      <c r="AP191" s="5"/>
      <c r="AQ191" s="5"/>
      <c r="AR191" s="5"/>
      <c r="AS191" s="5"/>
      <c r="AT191" s="20"/>
      <c r="AU191" s="1182"/>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81"/>
      <c r="E192" s="389">
        <f t="shared" si="119"/>
        <v>0</v>
      </c>
      <c r="F192" s="20"/>
      <c r="G192" s="3890">
        <f t="shared" si="94"/>
        <v>0</v>
      </c>
      <c r="H192" s="1282">
        <f t="shared" si="95"/>
        <v>0</v>
      </c>
      <c r="I192" s="3891"/>
      <c r="J192" s="3891"/>
      <c r="K192" s="3891"/>
      <c r="L192" s="3891"/>
      <c r="M192" s="3891"/>
      <c r="N192" s="3891"/>
      <c r="O192" s="3891"/>
      <c r="P192" s="3891"/>
      <c r="Q192" s="3891"/>
      <c r="R192" s="3891"/>
      <c r="S192" s="3891"/>
      <c r="T192" s="3891"/>
      <c r="U192" s="3891"/>
      <c r="V192" s="3891"/>
      <c r="W192" s="3891"/>
      <c r="X192" s="3891"/>
      <c r="Y192" s="3891"/>
      <c r="Z192" s="3891"/>
      <c r="AA192" s="3891"/>
      <c r="AB192" s="3891"/>
      <c r="AC192" s="389">
        <f t="shared" si="96"/>
        <v>0</v>
      </c>
      <c r="AD192" s="5"/>
      <c r="AE192" s="5"/>
      <c r="AF192" s="5"/>
      <c r="AG192" s="5"/>
      <c r="AH192" s="5"/>
      <c r="AI192" s="5"/>
      <c r="AJ192" s="5"/>
      <c r="AK192" s="5"/>
      <c r="AL192" s="5"/>
      <c r="AM192" s="5"/>
      <c r="AN192" s="5"/>
      <c r="AO192" s="5"/>
      <c r="AP192" s="5"/>
      <c r="AQ192" s="5"/>
      <c r="AR192" s="5"/>
      <c r="AS192" s="5"/>
      <c r="AT192" s="20"/>
      <c r="AU192" s="1182"/>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81"/>
      <c r="E193" s="389">
        <f t="shared" si="119"/>
        <v>0</v>
      </c>
      <c r="F193" s="20"/>
      <c r="G193" s="3890">
        <f t="shared" si="94"/>
        <v>0</v>
      </c>
      <c r="H193" s="1282">
        <f t="shared" si="95"/>
        <v>0</v>
      </c>
      <c r="I193" s="3891"/>
      <c r="J193" s="3891"/>
      <c r="K193" s="3891"/>
      <c r="L193" s="3891"/>
      <c r="M193" s="3891"/>
      <c r="N193" s="3891"/>
      <c r="O193" s="3891"/>
      <c r="P193" s="3891"/>
      <c r="Q193" s="3891"/>
      <c r="R193" s="3891"/>
      <c r="S193" s="3891"/>
      <c r="T193" s="3891"/>
      <c r="U193" s="3891"/>
      <c r="V193" s="3891"/>
      <c r="W193" s="3891"/>
      <c r="X193" s="3891"/>
      <c r="Y193" s="3891"/>
      <c r="Z193" s="3891"/>
      <c r="AA193" s="3891"/>
      <c r="AB193" s="3891"/>
      <c r="AC193" s="389">
        <f t="shared" si="96"/>
        <v>0</v>
      </c>
      <c r="AD193" s="5"/>
      <c r="AE193" s="5"/>
      <c r="AF193" s="5"/>
      <c r="AG193" s="5"/>
      <c r="AH193" s="5"/>
      <c r="AI193" s="5"/>
      <c r="AJ193" s="5"/>
      <c r="AK193" s="5"/>
      <c r="AL193" s="5"/>
      <c r="AM193" s="5"/>
      <c r="AN193" s="5"/>
      <c r="AO193" s="5"/>
      <c r="AP193" s="5"/>
      <c r="AQ193" s="5"/>
      <c r="AR193" s="5"/>
      <c r="AS193" s="5"/>
      <c r="AT193" s="20"/>
      <c r="AU193" s="1182"/>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81"/>
      <c r="E194" s="389">
        <f t="shared" si="119"/>
        <v>0</v>
      </c>
      <c r="F194" s="20"/>
      <c r="G194" s="3890">
        <f t="shared" si="94"/>
        <v>0</v>
      </c>
      <c r="H194" s="1282">
        <f t="shared" si="95"/>
        <v>0</v>
      </c>
      <c r="I194" s="3891"/>
      <c r="J194" s="3891"/>
      <c r="K194" s="3891"/>
      <c r="L194" s="3891"/>
      <c r="M194" s="3891"/>
      <c r="N194" s="3891"/>
      <c r="O194" s="3891"/>
      <c r="P194" s="3891"/>
      <c r="Q194" s="3891"/>
      <c r="R194" s="3891"/>
      <c r="S194" s="3891"/>
      <c r="T194" s="3891"/>
      <c r="U194" s="3891"/>
      <c r="V194" s="3891"/>
      <c r="W194" s="3891"/>
      <c r="X194" s="3891"/>
      <c r="Y194" s="3891"/>
      <c r="Z194" s="3891"/>
      <c r="AA194" s="3891"/>
      <c r="AB194" s="3891"/>
      <c r="AC194" s="389">
        <f t="shared" si="96"/>
        <v>0</v>
      </c>
      <c r="AD194" s="5"/>
      <c r="AE194" s="5"/>
      <c r="AF194" s="5"/>
      <c r="AG194" s="5"/>
      <c r="AH194" s="5"/>
      <c r="AI194" s="5"/>
      <c r="AJ194" s="5"/>
      <c r="AK194" s="5"/>
      <c r="AL194" s="5"/>
      <c r="AM194" s="5"/>
      <c r="AN194" s="5"/>
      <c r="AO194" s="5"/>
      <c r="AP194" s="5"/>
      <c r="AQ194" s="5"/>
      <c r="AR194" s="5"/>
      <c r="AS194" s="5"/>
      <c r="AT194" s="20"/>
      <c r="AU194" s="1182"/>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81"/>
      <c r="E195" s="389">
        <f t="shared" si="119"/>
        <v>0</v>
      </c>
      <c r="F195" s="20"/>
      <c r="G195" s="3890">
        <f t="shared" si="94"/>
        <v>0</v>
      </c>
      <c r="H195" s="1282">
        <f t="shared" si="95"/>
        <v>0</v>
      </c>
      <c r="I195" s="3891"/>
      <c r="J195" s="3891"/>
      <c r="K195" s="3891"/>
      <c r="L195" s="3891"/>
      <c r="M195" s="3891"/>
      <c r="N195" s="3891"/>
      <c r="O195" s="3891"/>
      <c r="P195" s="3891"/>
      <c r="Q195" s="3891"/>
      <c r="R195" s="3891"/>
      <c r="S195" s="3891"/>
      <c r="T195" s="3891"/>
      <c r="U195" s="3891"/>
      <c r="V195" s="3891"/>
      <c r="W195" s="3891"/>
      <c r="X195" s="3891"/>
      <c r="Y195" s="3891"/>
      <c r="Z195" s="3891"/>
      <c r="AA195" s="3891"/>
      <c r="AB195" s="3891"/>
      <c r="AC195" s="389">
        <f t="shared" si="96"/>
        <v>0</v>
      </c>
      <c r="AD195" s="5"/>
      <c r="AE195" s="5"/>
      <c r="AF195" s="5"/>
      <c r="AG195" s="5"/>
      <c r="AH195" s="5"/>
      <c r="AI195" s="5"/>
      <c r="AJ195" s="5"/>
      <c r="AK195" s="5"/>
      <c r="AL195" s="5"/>
      <c r="AM195" s="5"/>
      <c r="AN195" s="5"/>
      <c r="AO195" s="5"/>
      <c r="AP195" s="5"/>
      <c r="AQ195" s="5"/>
      <c r="AR195" s="5"/>
      <c r="AS195" s="5"/>
      <c r="AT195" s="20"/>
      <c r="AU195" s="1182"/>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81"/>
      <c r="E196" s="389">
        <f t="shared" si="119"/>
        <v>0</v>
      </c>
      <c r="F196" s="20"/>
      <c r="G196" s="3890">
        <f t="shared" si="94"/>
        <v>0</v>
      </c>
      <c r="H196" s="1282">
        <f t="shared" si="95"/>
        <v>0</v>
      </c>
      <c r="I196" s="3891"/>
      <c r="J196" s="3891"/>
      <c r="K196" s="3891"/>
      <c r="L196" s="3891"/>
      <c r="M196" s="3891"/>
      <c r="N196" s="3891"/>
      <c r="O196" s="3891"/>
      <c r="P196" s="3891"/>
      <c r="Q196" s="3891"/>
      <c r="R196" s="3891"/>
      <c r="S196" s="3891"/>
      <c r="T196" s="3891"/>
      <c r="U196" s="3891"/>
      <c r="V196" s="3891"/>
      <c r="W196" s="3891"/>
      <c r="X196" s="3891"/>
      <c r="Y196" s="3891"/>
      <c r="Z196" s="3891"/>
      <c r="AA196" s="3891"/>
      <c r="AB196" s="3891"/>
      <c r="AC196" s="389">
        <f t="shared" si="96"/>
        <v>0</v>
      </c>
      <c r="AD196" s="5"/>
      <c r="AE196" s="5"/>
      <c r="AF196" s="5"/>
      <c r="AG196" s="5"/>
      <c r="AH196" s="5"/>
      <c r="AI196" s="5"/>
      <c r="AJ196" s="5"/>
      <c r="AK196" s="5"/>
      <c r="AL196" s="5"/>
      <c r="AM196" s="5"/>
      <c r="AN196" s="5"/>
      <c r="AO196" s="5"/>
      <c r="AP196" s="5"/>
      <c r="AQ196" s="5"/>
      <c r="AR196" s="5"/>
      <c r="AS196" s="5"/>
      <c r="AT196" s="20"/>
      <c r="AU196" s="1182"/>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81"/>
      <c r="E197" s="389">
        <f t="shared" si="119"/>
        <v>0</v>
      </c>
      <c r="F197" s="20"/>
      <c r="G197" s="3890">
        <f t="shared" si="94"/>
        <v>0</v>
      </c>
      <c r="H197" s="1282">
        <f t="shared" si="95"/>
        <v>0</v>
      </c>
      <c r="I197" s="3891"/>
      <c r="J197" s="3891"/>
      <c r="K197" s="3891"/>
      <c r="L197" s="3891"/>
      <c r="M197" s="3891"/>
      <c r="N197" s="3891"/>
      <c r="O197" s="3891"/>
      <c r="P197" s="3891"/>
      <c r="Q197" s="3891"/>
      <c r="R197" s="3891"/>
      <c r="S197" s="3891"/>
      <c r="T197" s="3891"/>
      <c r="U197" s="3891"/>
      <c r="V197" s="3891"/>
      <c r="W197" s="3891"/>
      <c r="X197" s="3891"/>
      <c r="Y197" s="3891"/>
      <c r="Z197" s="3891"/>
      <c r="AA197" s="3891"/>
      <c r="AB197" s="3891"/>
      <c r="AC197" s="389">
        <f t="shared" si="96"/>
        <v>0</v>
      </c>
      <c r="AD197" s="5"/>
      <c r="AE197" s="5"/>
      <c r="AF197" s="5"/>
      <c r="AG197" s="5"/>
      <c r="AH197" s="5"/>
      <c r="AI197" s="5"/>
      <c r="AJ197" s="5"/>
      <c r="AK197" s="5"/>
      <c r="AL197" s="5"/>
      <c r="AM197" s="5"/>
      <c r="AN197" s="5"/>
      <c r="AO197" s="5"/>
      <c r="AP197" s="5"/>
      <c r="AQ197" s="5"/>
      <c r="AR197" s="5"/>
      <c r="AS197" s="5"/>
      <c r="AT197" s="20"/>
      <c r="AU197" s="1182"/>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81"/>
      <c r="E198" s="389">
        <f t="shared" si="119"/>
        <v>0</v>
      </c>
      <c r="F198" s="20"/>
      <c r="G198" s="3890">
        <f t="shared" si="94"/>
        <v>0</v>
      </c>
      <c r="H198" s="1282">
        <f t="shared" si="95"/>
        <v>0</v>
      </c>
      <c r="I198" s="3891"/>
      <c r="J198" s="3891"/>
      <c r="K198" s="3891"/>
      <c r="L198" s="3891"/>
      <c r="M198" s="3891"/>
      <c r="N198" s="3891"/>
      <c r="O198" s="3891"/>
      <c r="P198" s="3891"/>
      <c r="Q198" s="3891"/>
      <c r="R198" s="3891"/>
      <c r="S198" s="3891"/>
      <c r="T198" s="3891"/>
      <c r="U198" s="3891"/>
      <c r="V198" s="3891"/>
      <c r="W198" s="3891"/>
      <c r="X198" s="3891"/>
      <c r="Y198" s="3891"/>
      <c r="Z198" s="3891"/>
      <c r="AA198" s="3891"/>
      <c r="AB198" s="3891"/>
      <c r="AC198" s="389">
        <f t="shared" si="96"/>
        <v>0</v>
      </c>
      <c r="AD198" s="5"/>
      <c r="AE198" s="5"/>
      <c r="AF198" s="5"/>
      <c r="AG198" s="5"/>
      <c r="AH198" s="5"/>
      <c r="AI198" s="5"/>
      <c r="AJ198" s="5"/>
      <c r="AK198" s="5"/>
      <c r="AL198" s="5"/>
      <c r="AM198" s="5"/>
      <c r="AN198" s="5"/>
      <c r="AO198" s="5"/>
      <c r="AP198" s="5"/>
      <c r="AQ198" s="5"/>
      <c r="AR198" s="5"/>
      <c r="AS198" s="5"/>
      <c r="AT198" s="20"/>
      <c r="AU198" s="1182"/>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81"/>
      <c r="E199" s="389">
        <f t="shared" si="119"/>
        <v>0</v>
      </c>
      <c r="F199" s="20"/>
      <c r="G199" s="3890">
        <f t="shared" si="94"/>
        <v>0</v>
      </c>
      <c r="H199" s="1282">
        <f t="shared" si="95"/>
        <v>0</v>
      </c>
      <c r="I199" s="3891"/>
      <c r="J199" s="3891"/>
      <c r="K199" s="3891"/>
      <c r="L199" s="3891"/>
      <c r="M199" s="3891"/>
      <c r="N199" s="3891"/>
      <c r="O199" s="3891"/>
      <c r="P199" s="3891"/>
      <c r="Q199" s="3891"/>
      <c r="R199" s="3891"/>
      <c r="S199" s="3891"/>
      <c r="T199" s="3891"/>
      <c r="U199" s="3891"/>
      <c r="V199" s="3891"/>
      <c r="W199" s="3891"/>
      <c r="X199" s="3891"/>
      <c r="Y199" s="3891"/>
      <c r="Z199" s="3891"/>
      <c r="AA199" s="3891"/>
      <c r="AB199" s="3891"/>
      <c r="AC199" s="389">
        <f t="shared" si="96"/>
        <v>0</v>
      </c>
      <c r="AD199" s="5"/>
      <c r="AE199" s="5"/>
      <c r="AF199" s="5"/>
      <c r="AG199" s="5"/>
      <c r="AH199" s="5"/>
      <c r="AI199" s="5"/>
      <c r="AJ199" s="5"/>
      <c r="AK199" s="5"/>
      <c r="AL199" s="5"/>
      <c r="AM199" s="5"/>
      <c r="AN199" s="5"/>
      <c r="AO199" s="5"/>
      <c r="AP199" s="5"/>
      <c r="AQ199" s="5"/>
      <c r="AR199" s="5"/>
      <c r="AS199" s="5"/>
      <c r="AT199" s="20"/>
      <c r="AU199" s="1182"/>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81"/>
      <c r="E200" s="389">
        <f t="shared" si="119"/>
        <v>0</v>
      </c>
      <c r="F200" s="20"/>
      <c r="G200" s="3890">
        <f t="shared" si="94"/>
        <v>0</v>
      </c>
      <c r="H200" s="1282">
        <f t="shared" si="95"/>
        <v>0</v>
      </c>
      <c r="I200" s="3891"/>
      <c r="J200" s="3891"/>
      <c r="K200" s="3891"/>
      <c r="L200" s="3891"/>
      <c r="M200" s="3891"/>
      <c r="N200" s="3891"/>
      <c r="O200" s="3891"/>
      <c r="P200" s="3891"/>
      <c r="Q200" s="3891"/>
      <c r="R200" s="3891"/>
      <c r="S200" s="3891"/>
      <c r="T200" s="3891"/>
      <c r="U200" s="3891"/>
      <c r="V200" s="3891"/>
      <c r="W200" s="3891"/>
      <c r="X200" s="3891"/>
      <c r="Y200" s="3891"/>
      <c r="Z200" s="3891"/>
      <c r="AA200" s="3891"/>
      <c r="AB200" s="3891"/>
      <c r="AC200" s="389">
        <f t="shared" si="96"/>
        <v>0</v>
      </c>
      <c r="AD200" s="5"/>
      <c r="AE200" s="5"/>
      <c r="AF200" s="5"/>
      <c r="AG200" s="5"/>
      <c r="AH200" s="5"/>
      <c r="AI200" s="5"/>
      <c r="AJ200" s="5"/>
      <c r="AK200" s="5"/>
      <c r="AL200" s="5"/>
      <c r="AM200" s="5"/>
      <c r="AN200" s="5"/>
      <c r="AO200" s="5"/>
      <c r="AP200" s="5"/>
      <c r="AQ200" s="5"/>
      <c r="AR200" s="5"/>
      <c r="AS200" s="5"/>
      <c r="AT200" s="20"/>
      <c r="AU200" s="1182"/>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81"/>
      <c r="E201" s="389">
        <f t="shared" si="119"/>
        <v>0</v>
      </c>
      <c r="F201" s="20"/>
      <c r="G201" s="3890">
        <f t="shared" si="94"/>
        <v>0</v>
      </c>
      <c r="H201" s="1282">
        <f t="shared" si="95"/>
        <v>0</v>
      </c>
      <c r="I201" s="3891"/>
      <c r="J201" s="3891"/>
      <c r="K201" s="3891"/>
      <c r="L201" s="3891"/>
      <c r="M201" s="3891"/>
      <c r="N201" s="3891"/>
      <c r="O201" s="3891"/>
      <c r="P201" s="3891"/>
      <c r="Q201" s="3891"/>
      <c r="R201" s="3891"/>
      <c r="S201" s="3891"/>
      <c r="T201" s="3891"/>
      <c r="U201" s="3891"/>
      <c r="V201" s="3891"/>
      <c r="W201" s="3891"/>
      <c r="X201" s="3891"/>
      <c r="Y201" s="3891"/>
      <c r="Z201" s="3891"/>
      <c r="AA201" s="3891"/>
      <c r="AB201" s="3891"/>
      <c r="AC201" s="389">
        <f t="shared" si="96"/>
        <v>0</v>
      </c>
      <c r="AD201" s="5"/>
      <c r="AE201" s="5"/>
      <c r="AF201" s="5"/>
      <c r="AG201" s="5"/>
      <c r="AH201" s="5"/>
      <c r="AI201" s="5"/>
      <c r="AJ201" s="5"/>
      <c r="AK201" s="5"/>
      <c r="AL201" s="5"/>
      <c r="AM201" s="5"/>
      <c r="AN201" s="5"/>
      <c r="AO201" s="5"/>
      <c r="AP201" s="5"/>
      <c r="AQ201" s="5"/>
      <c r="AR201" s="5"/>
      <c r="AS201" s="5"/>
      <c r="AT201" s="20"/>
      <c r="AU201" s="1182"/>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81"/>
      <c r="E202" s="389">
        <f t="shared" si="119"/>
        <v>0</v>
      </c>
      <c r="F202" s="20"/>
      <c r="G202" s="3890">
        <f t="shared" si="94"/>
        <v>0</v>
      </c>
      <c r="H202" s="1282">
        <f t="shared" si="95"/>
        <v>0</v>
      </c>
      <c r="I202" s="3891"/>
      <c r="J202" s="3891"/>
      <c r="K202" s="3891"/>
      <c r="L202" s="3891"/>
      <c r="M202" s="3891"/>
      <c r="N202" s="3891"/>
      <c r="O202" s="3891"/>
      <c r="P202" s="3891"/>
      <c r="Q202" s="3891"/>
      <c r="R202" s="3891"/>
      <c r="S202" s="3891"/>
      <c r="T202" s="3891"/>
      <c r="U202" s="3891"/>
      <c r="V202" s="3891"/>
      <c r="W202" s="3891"/>
      <c r="X202" s="3891"/>
      <c r="Y202" s="3891"/>
      <c r="Z202" s="3891"/>
      <c r="AA202" s="3891"/>
      <c r="AB202" s="3891"/>
      <c r="AC202" s="389">
        <f t="shared" si="96"/>
        <v>0</v>
      </c>
      <c r="AD202" s="5"/>
      <c r="AE202" s="5"/>
      <c r="AF202" s="5"/>
      <c r="AG202" s="5"/>
      <c r="AH202" s="5"/>
      <c r="AI202" s="5"/>
      <c r="AJ202" s="5"/>
      <c r="AK202" s="5"/>
      <c r="AL202" s="5"/>
      <c r="AM202" s="5"/>
      <c r="AN202" s="5"/>
      <c r="AO202" s="5"/>
      <c r="AP202" s="5"/>
      <c r="AQ202" s="5"/>
      <c r="AR202" s="5"/>
      <c r="AS202" s="5"/>
      <c r="AT202" s="20"/>
      <c r="AU202" s="1182"/>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81"/>
      <c r="E203" s="389">
        <f t="shared" si="119"/>
        <v>0</v>
      </c>
      <c r="F203" s="20"/>
      <c r="G203" s="3890">
        <f t="shared" si="94"/>
        <v>0</v>
      </c>
      <c r="H203" s="1282">
        <f t="shared" si="95"/>
        <v>0</v>
      </c>
      <c r="I203" s="3891"/>
      <c r="J203" s="3891"/>
      <c r="K203" s="3891"/>
      <c r="L203" s="3891"/>
      <c r="M203" s="3891"/>
      <c r="N203" s="3891"/>
      <c r="O203" s="3891"/>
      <c r="P203" s="3891"/>
      <c r="Q203" s="3891"/>
      <c r="R203" s="3891"/>
      <c r="S203" s="3891"/>
      <c r="T203" s="3891"/>
      <c r="U203" s="3891"/>
      <c r="V203" s="3891"/>
      <c r="W203" s="3891"/>
      <c r="X203" s="3891"/>
      <c r="Y203" s="3891"/>
      <c r="Z203" s="3891"/>
      <c r="AA203" s="3891"/>
      <c r="AB203" s="3891"/>
      <c r="AC203" s="389">
        <f t="shared" si="96"/>
        <v>0</v>
      </c>
      <c r="AD203" s="5"/>
      <c r="AE203" s="5"/>
      <c r="AF203" s="5"/>
      <c r="AG203" s="5"/>
      <c r="AH203" s="5"/>
      <c r="AI203" s="5"/>
      <c r="AJ203" s="5"/>
      <c r="AK203" s="5"/>
      <c r="AL203" s="5"/>
      <c r="AM203" s="5"/>
      <c r="AN203" s="5"/>
      <c r="AO203" s="5"/>
      <c r="AP203" s="5"/>
      <c r="AQ203" s="5"/>
      <c r="AR203" s="5"/>
      <c r="AS203" s="5"/>
      <c r="AT203" s="20"/>
      <c r="AU203" s="1182"/>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81"/>
      <c r="E204" s="389">
        <f t="shared" si="119"/>
        <v>0</v>
      </c>
      <c r="F204" s="20"/>
      <c r="G204" s="3890">
        <f t="shared" si="94"/>
        <v>0</v>
      </c>
      <c r="H204" s="1282">
        <f t="shared" si="95"/>
        <v>0</v>
      </c>
      <c r="I204" s="3891"/>
      <c r="J204" s="3891"/>
      <c r="K204" s="3891"/>
      <c r="L204" s="3891"/>
      <c r="M204" s="3891"/>
      <c r="N204" s="3891"/>
      <c r="O204" s="3891"/>
      <c r="P204" s="3891"/>
      <c r="Q204" s="3891"/>
      <c r="R204" s="3891"/>
      <c r="S204" s="3891"/>
      <c r="T204" s="3891"/>
      <c r="U204" s="3891"/>
      <c r="V204" s="3891"/>
      <c r="W204" s="3891"/>
      <c r="X204" s="3891"/>
      <c r="Y204" s="3891"/>
      <c r="Z204" s="3891"/>
      <c r="AA204" s="3891"/>
      <c r="AB204" s="3891"/>
      <c r="AC204" s="389">
        <f t="shared" si="96"/>
        <v>0</v>
      </c>
      <c r="AD204" s="5"/>
      <c r="AE204" s="5"/>
      <c r="AF204" s="5"/>
      <c r="AG204" s="5"/>
      <c r="AH204" s="5"/>
      <c r="AI204" s="5"/>
      <c r="AJ204" s="5"/>
      <c r="AK204" s="5"/>
      <c r="AL204" s="5"/>
      <c r="AM204" s="5"/>
      <c r="AN204" s="5"/>
      <c r="AO204" s="5"/>
      <c r="AP204" s="5"/>
      <c r="AQ204" s="5"/>
      <c r="AR204" s="5"/>
      <c r="AS204" s="5"/>
      <c r="AT204" s="20"/>
      <c r="AU204" s="1182"/>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81"/>
      <c r="E205" s="389">
        <f t="shared" si="119"/>
        <v>0</v>
      </c>
      <c r="F205" s="5"/>
      <c r="G205" s="3890">
        <f t="shared" si="94"/>
        <v>0</v>
      </c>
      <c r="H205" s="1282">
        <f t="shared" si="95"/>
        <v>0</v>
      </c>
      <c r="I205" s="3891"/>
      <c r="J205" s="3891"/>
      <c r="K205" s="3891"/>
      <c r="L205" s="3891"/>
      <c r="M205" s="3891"/>
      <c r="N205" s="3891"/>
      <c r="O205" s="3891"/>
      <c r="P205" s="3891"/>
      <c r="Q205" s="3891"/>
      <c r="R205" s="3891"/>
      <c r="S205" s="3891"/>
      <c r="T205" s="3891"/>
      <c r="U205" s="3891"/>
      <c r="V205" s="3891"/>
      <c r="W205" s="3891"/>
      <c r="X205" s="3891"/>
      <c r="Y205" s="3891"/>
      <c r="Z205" s="3891"/>
      <c r="AA205" s="3891"/>
      <c r="AB205" s="3891"/>
      <c r="AC205" s="389">
        <f t="shared" si="96"/>
        <v>0</v>
      </c>
      <c r="AD205" s="5"/>
      <c r="AE205" s="5"/>
      <c r="AF205" s="5"/>
      <c r="AG205" s="5"/>
      <c r="AH205" s="5"/>
      <c r="AI205" s="5"/>
      <c r="AJ205" s="5"/>
      <c r="AK205" s="5"/>
      <c r="AL205" s="5"/>
      <c r="AM205" s="5"/>
      <c r="AN205" s="5"/>
      <c r="AO205" s="5"/>
      <c r="AP205" s="5"/>
      <c r="AQ205" s="5"/>
      <c r="AR205" s="5"/>
      <c r="AS205" s="5"/>
      <c r="AT205" s="5"/>
      <c r="AU205" s="783"/>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81"/>
      <c r="E206" s="389">
        <f t="shared" si="119"/>
        <v>0</v>
      </c>
      <c r="F206" s="5"/>
      <c r="G206" s="3890">
        <f>H206+AC206+AT206</f>
        <v>0</v>
      </c>
      <c r="H206" s="1282">
        <f>SUMIF(I$12:AB$12,"总值",I206:AB206)</f>
        <v>0</v>
      </c>
      <c r="I206" s="3891"/>
      <c r="J206" s="3891"/>
      <c r="K206" s="3891"/>
      <c r="L206" s="3891"/>
      <c r="M206" s="3891"/>
      <c r="N206" s="3891"/>
      <c r="O206" s="3891"/>
      <c r="P206" s="3891"/>
      <c r="Q206" s="3891"/>
      <c r="R206" s="3891"/>
      <c r="S206" s="3891"/>
      <c r="T206" s="3891"/>
      <c r="U206" s="3891"/>
      <c r="V206" s="3891"/>
      <c r="W206" s="3891"/>
      <c r="X206" s="3891"/>
      <c r="Y206" s="3891"/>
      <c r="Z206" s="3891"/>
      <c r="AA206" s="3891"/>
      <c r="AB206" s="3891"/>
      <c r="AC206" s="389">
        <f>SUMIF(AD$12:AS$12,"总值",AD206:AS206)</f>
        <v>0</v>
      </c>
      <c r="AD206" s="5"/>
      <c r="AE206" s="5"/>
      <c r="AF206" s="5"/>
      <c r="AG206" s="5"/>
      <c r="AH206" s="5"/>
      <c r="AI206" s="5"/>
      <c r="AJ206" s="5"/>
      <c r="AK206" s="5"/>
      <c r="AL206" s="5"/>
      <c r="AM206" s="5"/>
      <c r="AN206" s="5"/>
      <c r="AO206" s="5"/>
      <c r="AP206" s="5"/>
      <c r="AQ206" s="5"/>
      <c r="AR206" s="5"/>
      <c r="AS206" s="5"/>
      <c r="AT206" s="5"/>
      <c r="AU206" s="783"/>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81"/>
      <c r="E207" s="389">
        <f t="shared" si="119"/>
        <v>0</v>
      </c>
      <c r="F207" s="5"/>
      <c r="G207" s="3890">
        <f>H207+AC207+AT207</f>
        <v>0</v>
      </c>
      <c r="H207" s="1282">
        <f>SUMIF(I$12:AB$12,"总值",I207:AB207)</f>
        <v>0</v>
      </c>
      <c r="I207" s="3891"/>
      <c r="J207" s="3891"/>
      <c r="K207" s="3891"/>
      <c r="L207" s="3891"/>
      <c r="M207" s="3891"/>
      <c r="N207" s="3891"/>
      <c r="O207" s="3891"/>
      <c r="P207" s="3891"/>
      <c r="Q207" s="3891"/>
      <c r="R207" s="3891"/>
      <c r="S207" s="3891"/>
      <c r="T207" s="3891"/>
      <c r="U207" s="3891"/>
      <c r="V207" s="3891"/>
      <c r="W207" s="3891"/>
      <c r="X207" s="3891"/>
      <c r="Y207" s="3891"/>
      <c r="Z207" s="3891"/>
      <c r="AA207" s="3891"/>
      <c r="AB207" s="3891"/>
      <c r="AC207" s="389">
        <f>SUMIF(AD$12:AS$12,"总值",AD207:AS207)</f>
        <v>0</v>
      </c>
      <c r="AD207" s="5"/>
      <c r="AE207" s="5"/>
      <c r="AF207" s="5"/>
      <c r="AG207" s="5"/>
      <c r="AH207" s="5"/>
      <c r="AI207" s="5"/>
      <c r="AJ207" s="5"/>
      <c r="AK207" s="5"/>
      <c r="AL207" s="5"/>
      <c r="AM207" s="5"/>
      <c r="AN207" s="5"/>
      <c r="AO207" s="5"/>
      <c r="AP207" s="5"/>
      <c r="AQ207" s="5"/>
      <c r="AR207" s="5"/>
      <c r="AS207" s="5"/>
      <c r="AT207" s="5"/>
      <c r="AU207" s="783"/>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81"/>
      <c r="E208" s="389">
        <f t="shared" ref="E208:E302" si="123">IF($C$3="是",ROUND($A$3*G208/$B$3,2),ROUND($A$3*(G208-AT208)/$B$3,2))</f>
        <v>0</v>
      </c>
      <c r="F208" s="20"/>
      <c r="G208" s="3890">
        <f t="shared" ref="G208:G299" si="124">H208+AC208+AT208</f>
        <v>0</v>
      </c>
      <c r="H208" s="1282">
        <f t="shared" ref="H208:H299" si="125">SUMIF(I$12:AB$12,"总值",I208:AB208)</f>
        <v>0</v>
      </c>
      <c r="I208" s="3891"/>
      <c r="J208" s="3891"/>
      <c r="K208" s="3891"/>
      <c r="L208" s="3891"/>
      <c r="M208" s="3891"/>
      <c r="N208" s="3891"/>
      <c r="O208" s="3891"/>
      <c r="P208" s="3891"/>
      <c r="Q208" s="3891"/>
      <c r="R208" s="3891"/>
      <c r="S208" s="3891"/>
      <c r="T208" s="3891"/>
      <c r="U208" s="3891"/>
      <c r="V208" s="3891"/>
      <c r="W208" s="3891"/>
      <c r="X208" s="3891"/>
      <c r="Y208" s="3891"/>
      <c r="Z208" s="3891"/>
      <c r="AA208" s="3891"/>
      <c r="AB208" s="3891"/>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82"/>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81"/>
      <c r="E209" s="389">
        <f t="shared" si="123"/>
        <v>0</v>
      </c>
      <c r="F209" s="20"/>
      <c r="G209" s="3890">
        <f t="shared" si="124"/>
        <v>0</v>
      </c>
      <c r="H209" s="1282">
        <f t="shared" si="125"/>
        <v>0</v>
      </c>
      <c r="I209" s="3891"/>
      <c r="J209" s="3891"/>
      <c r="K209" s="3891"/>
      <c r="L209" s="3891"/>
      <c r="M209" s="3891"/>
      <c r="N209" s="3891"/>
      <c r="O209" s="3891"/>
      <c r="P209" s="3891"/>
      <c r="Q209" s="3891"/>
      <c r="R209" s="3891"/>
      <c r="S209" s="3891"/>
      <c r="T209" s="3891"/>
      <c r="U209" s="3891"/>
      <c r="V209" s="3891"/>
      <c r="W209" s="3891"/>
      <c r="X209" s="3891"/>
      <c r="Y209" s="3891"/>
      <c r="Z209" s="3891"/>
      <c r="AA209" s="3891"/>
      <c r="AB209" s="3891"/>
      <c r="AC209" s="389">
        <f t="shared" si="126"/>
        <v>0</v>
      </c>
      <c r="AD209" s="5"/>
      <c r="AE209" s="5"/>
      <c r="AF209" s="5"/>
      <c r="AG209" s="5"/>
      <c r="AH209" s="5"/>
      <c r="AI209" s="5"/>
      <c r="AJ209" s="5"/>
      <c r="AK209" s="5"/>
      <c r="AL209" s="5"/>
      <c r="AM209" s="5"/>
      <c r="AN209" s="5"/>
      <c r="AO209" s="5"/>
      <c r="AP209" s="5"/>
      <c r="AQ209" s="5"/>
      <c r="AR209" s="5"/>
      <c r="AS209" s="5"/>
      <c r="AT209" s="20"/>
      <c r="AU209" s="1182"/>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81"/>
      <c r="E210" s="389">
        <f t="shared" si="123"/>
        <v>0</v>
      </c>
      <c r="F210" s="20"/>
      <c r="G210" s="3890">
        <f t="shared" si="124"/>
        <v>0</v>
      </c>
      <c r="H210" s="1282">
        <f t="shared" si="125"/>
        <v>0</v>
      </c>
      <c r="I210" s="3891"/>
      <c r="J210" s="3891"/>
      <c r="K210" s="3891"/>
      <c r="L210" s="3891"/>
      <c r="M210" s="3891"/>
      <c r="N210" s="3891"/>
      <c r="O210" s="3891"/>
      <c r="P210" s="3891"/>
      <c r="Q210" s="3891"/>
      <c r="R210" s="3891"/>
      <c r="S210" s="3891"/>
      <c r="T210" s="3891"/>
      <c r="U210" s="3891"/>
      <c r="V210" s="3891"/>
      <c r="W210" s="3891"/>
      <c r="X210" s="3891"/>
      <c r="Y210" s="3891"/>
      <c r="Z210" s="3891"/>
      <c r="AA210" s="3891"/>
      <c r="AB210" s="3891"/>
      <c r="AC210" s="389">
        <f t="shared" si="126"/>
        <v>0</v>
      </c>
      <c r="AD210" s="5"/>
      <c r="AE210" s="5"/>
      <c r="AF210" s="5"/>
      <c r="AG210" s="5"/>
      <c r="AH210" s="5"/>
      <c r="AI210" s="5"/>
      <c r="AJ210" s="5"/>
      <c r="AK210" s="5"/>
      <c r="AL210" s="5"/>
      <c r="AM210" s="5"/>
      <c r="AN210" s="5"/>
      <c r="AO210" s="5"/>
      <c r="AP210" s="5"/>
      <c r="AQ210" s="5"/>
      <c r="AR210" s="5"/>
      <c r="AS210" s="5"/>
      <c r="AT210" s="20"/>
      <c r="AU210" s="1182"/>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81"/>
      <c r="E211" s="389">
        <f t="shared" si="123"/>
        <v>0</v>
      </c>
      <c r="F211" s="20"/>
      <c r="G211" s="3890">
        <f t="shared" si="124"/>
        <v>0</v>
      </c>
      <c r="H211" s="1282">
        <f t="shared" si="125"/>
        <v>0</v>
      </c>
      <c r="I211" s="3891"/>
      <c r="J211" s="3891"/>
      <c r="K211" s="3891"/>
      <c r="L211" s="3891"/>
      <c r="M211" s="3891"/>
      <c r="N211" s="3891"/>
      <c r="O211" s="3891"/>
      <c r="P211" s="3891"/>
      <c r="Q211" s="3891"/>
      <c r="R211" s="3891"/>
      <c r="S211" s="3891"/>
      <c r="T211" s="3891"/>
      <c r="U211" s="3891"/>
      <c r="V211" s="3891"/>
      <c r="W211" s="3891"/>
      <c r="X211" s="3891"/>
      <c r="Y211" s="3891"/>
      <c r="Z211" s="3891"/>
      <c r="AA211" s="3891"/>
      <c r="AB211" s="3891"/>
      <c r="AC211" s="389">
        <f t="shared" si="126"/>
        <v>0</v>
      </c>
      <c r="AD211" s="5"/>
      <c r="AE211" s="5"/>
      <c r="AF211" s="5"/>
      <c r="AG211" s="5"/>
      <c r="AH211" s="5"/>
      <c r="AI211" s="5"/>
      <c r="AJ211" s="5"/>
      <c r="AK211" s="5"/>
      <c r="AL211" s="5"/>
      <c r="AM211" s="5"/>
      <c r="AN211" s="5"/>
      <c r="AO211" s="5"/>
      <c r="AP211" s="5"/>
      <c r="AQ211" s="5"/>
      <c r="AR211" s="5"/>
      <c r="AS211" s="5"/>
      <c r="AT211" s="20"/>
      <c r="AU211" s="1182"/>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81"/>
      <c r="E212" s="389">
        <f t="shared" si="123"/>
        <v>0</v>
      </c>
      <c r="F212" s="20"/>
      <c r="G212" s="3890">
        <f t="shared" si="124"/>
        <v>0</v>
      </c>
      <c r="H212" s="1282">
        <f t="shared" si="125"/>
        <v>0</v>
      </c>
      <c r="I212" s="3891"/>
      <c r="J212" s="3891"/>
      <c r="K212" s="3891"/>
      <c r="L212" s="3891"/>
      <c r="M212" s="3891"/>
      <c r="N212" s="3891"/>
      <c r="O212" s="3891"/>
      <c r="P212" s="3891"/>
      <c r="Q212" s="3891"/>
      <c r="R212" s="3891"/>
      <c r="S212" s="3891"/>
      <c r="T212" s="3891"/>
      <c r="U212" s="3891"/>
      <c r="V212" s="3891"/>
      <c r="W212" s="3891"/>
      <c r="X212" s="3891"/>
      <c r="Y212" s="3891"/>
      <c r="Z212" s="3891"/>
      <c r="AA212" s="3891"/>
      <c r="AB212" s="3891"/>
      <c r="AC212" s="389">
        <f t="shared" si="126"/>
        <v>0</v>
      </c>
      <c r="AD212" s="5"/>
      <c r="AE212" s="5"/>
      <c r="AF212" s="5"/>
      <c r="AG212" s="5"/>
      <c r="AH212" s="5"/>
      <c r="AI212" s="5"/>
      <c r="AJ212" s="5"/>
      <c r="AK212" s="5"/>
      <c r="AL212" s="5"/>
      <c r="AM212" s="5"/>
      <c r="AN212" s="5"/>
      <c r="AO212" s="5"/>
      <c r="AP212" s="5"/>
      <c r="AQ212" s="5"/>
      <c r="AR212" s="5"/>
      <c r="AS212" s="5"/>
      <c r="AT212" s="20"/>
      <c r="AU212" s="1182"/>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81"/>
      <c r="E213" s="389">
        <f t="shared" si="123"/>
        <v>0</v>
      </c>
      <c r="F213" s="20"/>
      <c r="G213" s="3890">
        <f t="shared" si="124"/>
        <v>0</v>
      </c>
      <c r="H213" s="1282">
        <f t="shared" si="125"/>
        <v>0</v>
      </c>
      <c r="I213" s="3891"/>
      <c r="J213" s="3891"/>
      <c r="K213" s="3891"/>
      <c r="L213" s="3891"/>
      <c r="M213" s="3891"/>
      <c r="N213" s="3891"/>
      <c r="O213" s="3891"/>
      <c r="P213" s="3891"/>
      <c r="Q213" s="3891"/>
      <c r="R213" s="3891"/>
      <c r="S213" s="3891"/>
      <c r="T213" s="3891"/>
      <c r="U213" s="3891"/>
      <c r="V213" s="3891"/>
      <c r="W213" s="3891"/>
      <c r="X213" s="3891"/>
      <c r="Y213" s="3891"/>
      <c r="Z213" s="3891"/>
      <c r="AA213" s="3891"/>
      <c r="AB213" s="3891"/>
      <c r="AC213" s="389">
        <f t="shared" si="126"/>
        <v>0</v>
      </c>
      <c r="AD213" s="5"/>
      <c r="AE213" s="5"/>
      <c r="AF213" s="5"/>
      <c r="AG213" s="5"/>
      <c r="AH213" s="5"/>
      <c r="AI213" s="5"/>
      <c r="AJ213" s="5"/>
      <c r="AK213" s="5"/>
      <c r="AL213" s="5"/>
      <c r="AM213" s="5"/>
      <c r="AN213" s="5"/>
      <c r="AO213" s="5"/>
      <c r="AP213" s="5"/>
      <c r="AQ213" s="5"/>
      <c r="AR213" s="5"/>
      <c r="AS213" s="5"/>
      <c r="AT213" s="20"/>
      <c r="AU213" s="1182"/>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81"/>
      <c r="E214" s="389">
        <f t="shared" si="123"/>
        <v>0</v>
      </c>
      <c r="F214" s="20"/>
      <c r="G214" s="3890">
        <f t="shared" si="124"/>
        <v>0</v>
      </c>
      <c r="H214" s="1282">
        <f t="shared" si="125"/>
        <v>0</v>
      </c>
      <c r="I214" s="3891"/>
      <c r="J214" s="3891"/>
      <c r="K214" s="3891"/>
      <c r="L214" s="3891"/>
      <c r="M214" s="3891"/>
      <c r="N214" s="3891"/>
      <c r="O214" s="3891"/>
      <c r="P214" s="3891"/>
      <c r="Q214" s="3891"/>
      <c r="R214" s="3891"/>
      <c r="S214" s="3891"/>
      <c r="T214" s="3891"/>
      <c r="U214" s="3891"/>
      <c r="V214" s="3891"/>
      <c r="W214" s="3891"/>
      <c r="X214" s="3891"/>
      <c r="Y214" s="3891"/>
      <c r="Z214" s="3891"/>
      <c r="AA214" s="3891"/>
      <c r="AB214" s="3891"/>
      <c r="AC214" s="389">
        <f t="shared" si="126"/>
        <v>0</v>
      </c>
      <c r="AD214" s="5"/>
      <c r="AE214" s="5"/>
      <c r="AF214" s="5"/>
      <c r="AG214" s="5"/>
      <c r="AH214" s="5"/>
      <c r="AI214" s="5"/>
      <c r="AJ214" s="5"/>
      <c r="AK214" s="5"/>
      <c r="AL214" s="5"/>
      <c r="AM214" s="5"/>
      <c r="AN214" s="5"/>
      <c r="AO214" s="5"/>
      <c r="AP214" s="5"/>
      <c r="AQ214" s="5"/>
      <c r="AR214" s="5"/>
      <c r="AS214" s="5"/>
      <c r="AT214" s="20"/>
      <c r="AU214" s="1182"/>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81"/>
      <c r="E215" s="389">
        <f t="shared" si="123"/>
        <v>0</v>
      </c>
      <c r="F215" s="20"/>
      <c r="G215" s="3890">
        <f t="shared" si="124"/>
        <v>0</v>
      </c>
      <c r="H215" s="1282">
        <f t="shared" si="125"/>
        <v>0</v>
      </c>
      <c r="I215" s="3891"/>
      <c r="J215" s="3891"/>
      <c r="K215" s="3891"/>
      <c r="L215" s="3891"/>
      <c r="M215" s="3891"/>
      <c r="N215" s="3891"/>
      <c r="O215" s="3891"/>
      <c r="P215" s="3891"/>
      <c r="Q215" s="3891"/>
      <c r="R215" s="3891"/>
      <c r="S215" s="3891"/>
      <c r="T215" s="3891"/>
      <c r="U215" s="3891"/>
      <c r="V215" s="3891"/>
      <c r="W215" s="3891"/>
      <c r="X215" s="3891"/>
      <c r="Y215" s="3891"/>
      <c r="Z215" s="3891"/>
      <c r="AA215" s="3891"/>
      <c r="AB215" s="3891"/>
      <c r="AC215" s="389">
        <f t="shared" si="126"/>
        <v>0</v>
      </c>
      <c r="AD215" s="5"/>
      <c r="AE215" s="5"/>
      <c r="AF215" s="5"/>
      <c r="AG215" s="5"/>
      <c r="AH215" s="5"/>
      <c r="AI215" s="5"/>
      <c r="AJ215" s="5"/>
      <c r="AK215" s="5"/>
      <c r="AL215" s="5"/>
      <c r="AM215" s="5"/>
      <c r="AN215" s="5"/>
      <c r="AO215" s="5"/>
      <c r="AP215" s="5"/>
      <c r="AQ215" s="5"/>
      <c r="AR215" s="5"/>
      <c r="AS215" s="5"/>
      <c r="AT215" s="20"/>
      <c r="AU215" s="1182"/>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81"/>
      <c r="E216" s="389">
        <f t="shared" si="123"/>
        <v>0</v>
      </c>
      <c r="F216" s="20"/>
      <c r="G216" s="3890">
        <f t="shared" si="124"/>
        <v>0</v>
      </c>
      <c r="H216" s="1282">
        <f t="shared" si="125"/>
        <v>0</v>
      </c>
      <c r="I216" s="3891"/>
      <c r="J216" s="3891"/>
      <c r="K216" s="3891"/>
      <c r="L216" s="3891"/>
      <c r="M216" s="3891"/>
      <c r="N216" s="3891"/>
      <c r="O216" s="3891"/>
      <c r="P216" s="3891"/>
      <c r="Q216" s="3891"/>
      <c r="R216" s="3891"/>
      <c r="S216" s="3891"/>
      <c r="T216" s="3891"/>
      <c r="U216" s="3891"/>
      <c r="V216" s="3891"/>
      <c r="W216" s="3891"/>
      <c r="X216" s="3891"/>
      <c r="Y216" s="3891"/>
      <c r="Z216" s="3891"/>
      <c r="AA216" s="3891"/>
      <c r="AB216" s="3891"/>
      <c r="AC216" s="389">
        <f t="shared" si="126"/>
        <v>0</v>
      </c>
      <c r="AD216" s="5"/>
      <c r="AE216" s="5"/>
      <c r="AF216" s="5"/>
      <c r="AG216" s="5"/>
      <c r="AH216" s="5"/>
      <c r="AI216" s="5"/>
      <c r="AJ216" s="5"/>
      <c r="AK216" s="5"/>
      <c r="AL216" s="5"/>
      <c r="AM216" s="5"/>
      <c r="AN216" s="5"/>
      <c r="AO216" s="5"/>
      <c r="AP216" s="5"/>
      <c r="AQ216" s="5"/>
      <c r="AR216" s="5"/>
      <c r="AS216" s="5"/>
      <c r="AT216" s="20"/>
      <c r="AU216" s="1182"/>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81"/>
      <c r="E217" s="389">
        <f t="shared" si="123"/>
        <v>0</v>
      </c>
      <c r="F217" s="20"/>
      <c r="G217" s="3890">
        <f t="shared" si="124"/>
        <v>0</v>
      </c>
      <c r="H217" s="1282">
        <f t="shared" si="125"/>
        <v>0</v>
      </c>
      <c r="I217" s="3891"/>
      <c r="J217" s="3891"/>
      <c r="K217" s="3891"/>
      <c r="L217" s="3891"/>
      <c r="M217" s="3891"/>
      <c r="N217" s="3891"/>
      <c r="O217" s="3891"/>
      <c r="P217" s="3891"/>
      <c r="Q217" s="3891"/>
      <c r="R217" s="3891"/>
      <c r="S217" s="3891"/>
      <c r="T217" s="3891"/>
      <c r="U217" s="3891"/>
      <c r="V217" s="3891"/>
      <c r="W217" s="3891"/>
      <c r="X217" s="3891"/>
      <c r="Y217" s="3891"/>
      <c r="Z217" s="3891"/>
      <c r="AA217" s="3891"/>
      <c r="AB217" s="3891"/>
      <c r="AC217" s="389">
        <f t="shared" si="126"/>
        <v>0</v>
      </c>
      <c r="AD217" s="5"/>
      <c r="AE217" s="5"/>
      <c r="AF217" s="5"/>
      <c r="AG217" s="5"/>
      <c r="AH217" s="5"/>
      <c r="AI217" s="5"/>
      <c r="AJ217" s="5"/>
      <c r="AK217" s="5"/>
      <c r="AL217" s="5"/>
      <c r="AM217" s="5"/>
      <c r="AN217" s="5"/>
      <c r="AO217" s="5"/>
      <c r="AP217" s="5"/>
      <c r="AQ217" s="5"/>
      <c r="AR217" s="5"/>
      <c r="AS217" s="5"/>
      <c r="AT217" s="20"/>
      <c r="AU217" s="1182"/>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81"/>
      <c r="E218" s="389">
        <f t="shared" si="123"/>
        <v>0</v>
      </c>
      <c r="F218" s="20"/>
      <c r="G218" s="3890">
        <f t="shared" si="124"/>
        <v>0</v>
      </c>
      <c r="H218" s="1282">
        <f t="shared" si="125"/>
        <v>0</v>
      </c>
      <c r="I218" s="3891"/>
      <c r="J218" s="3891"/>
      <c r="K218" s="3891"/>
      <c r="L218" s="3891"/>
      <c r="M218" s="3891"/>
      <c r="N218" s="3891"/>
      <c r="O218" s="3891"/>
      <c r="P218" s="3891"/>
      <c r="Q218" s="3891"/>
      <c r="R218" s="3891"/>
      <c r="S218" s="3891"/>
      <c r="T218" s="3891"/>
      <c r="U218" s="3891"/>
      <c r="V218" s="3891"/>
      <c r="W218" s="3891"/>
      <c r="X218" s="3891"/>
      <c r="Y218" s="3891"/>
      <c r="Z218" s="3891"/>
      <c r="AA218" s="3891"/>
      <c r="AB218" s="3891"/>
      <c r="AC218" s="389">
        <f t="shared" si="126"/>
        <v>0</v>
      </c>
      <c r="AD218" s="5"/>
      <c r="AE218" s="5"/>
      <c r="AF218" s="5"/>
      <c r="AG218" s="5"/>
      <c r="AH218" s="5"/>
      <c r="AI218" s="5"/>
      <c r="AJ218" s="5"/>
      <c r="AK218" s="5"/>
      <c r="AL218" s="5"/>
      <c r="AM218" s="5"/>
      <c r="AN218" s="5"/>
      <c r="AO218" s="5"/>
      <c r="AP218" s="5"/>
      <c r="AQ218" s="5"/>
      <c r="AR218" s="5"/>
      <c r="AS218" s="5"/>
      <c r="AT218" s="20"/>
      <c r="AU218" s="1182"/>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81"/>
      <c r="E219" s="389">
        <f t="shared" si="123"/>
        <v>0</v>
      </c>
      <c r="F219" s="20"/>
      <c r="G219" s="3890">
        <f t="shared" si="124"/>
        <v>0</v>
      </c>
      <c r="H219" s="1282">
        <f t="shared" si="125"/>
        <v>0</v>
      </c>
      <c r="I219" s="3891"/>
      <c r="J219" s="3891"/>
      <c r="K219" s="3891"/>
      <c r="L219" s="3891"/>
      <c r="M219" s="3891"/>
      <c r="N219" s="3891"/>
      <c r="O219" s="3891"/>
      <c r="P219" s="3891"/>
      <c r="Q219" s="3891"/>
      <c r="R219" s="3891"/>
      <c r="S219" s="3891"/>
      <c r="T219" s="3891"/>
      <c r="U219" s="3891"/>
      <c r="V219" s="3891"/>
      <c r="W219" s="3891"/>
      <c r="X219" s="3891"/>
      <c r="Y219" s="3891"/>
      <c r="Z219" s="3891"/>
      <c r="AA219" s="3891"/>
      <c r="AB219" s="3891"/>
      <c r="AC219" s="389">
        <f t="shared" si="126"/>
        <v>0</v>
      </c>
      <c r="AD219" s="5"/>
      <c r="AE219" s="5"/>
      <c r="AF219" s="5"/>
      <c r="AG219" s="5"/>
      <c r="AH219" s="5"/>
      <c r="AI219" s="5"/>
      <c r="AJ219" s="5"/>
      <c r="AK219" s="5"/>
      <c r="AL219" s="5"/>
      <c r="AM219" s="5"/>
      <c r="AN219" s="5"/>
      <c r="AO219" s="5"/>
      <c r="AP219" s="5"/>
      <c r="AQ219" s="5"/>
      <c r="AR219" s="5"/>
      <c r="AS219" s="5"/>
      <c r="AT219" s="20"/>
      <c r="AU219" s="1182"/>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81"/>
      <c r="E220" s="389">
        <f t="shared" si="123"/>
        <v>0</v>
      </c>
      <c r="F220" s="20"/>
      <c r="G220" s="3890">
        <f t="shared" si="124"/>
        <v>0</v>
      </c>
      <c r="H220" s="1282">
        <f t="shared" si="125"/>
        <v>0</v>
      </c>
      <c r="I220" s="3891"/>
      <c r="J220" s="3891"/>
      <c r="K220" s="3891"/>
      <c r="L220" s="3891"/>
      <c r="M220" s="3891"/>
      <c r="N220" s="3891"/>
      <c r="O220" s="3891"/>
      <c r="P220" s="3891"/>
      <c r="Q220" s="3891"/>
      <c r="R220" s="3891"/>
      <c r="S220" s="3891"/>
      <c r="T220" s="3891"/>
      <c r="U220" s="3891"/>
      <c r="V220" s="3891"/>
      <c r="W220" s="3891"/>
      <c r="X220" s="3891"/>
      <c r="Y220" s="3891"/>
      <c r="Z220" s="3891"/>
      <c r="AA220" s="3891"/>
      <c r="AB220" s="3891"/>
      <c r="AC220" s="389">
        <f t="shared" si="126"/>
        <v>0</v>
      </c>
      <c r="AD220" s="5"/>
      <c r="AE220" s="5"/>
      <c r="AF220" s="5"/>
      <c r="AG220" s="5"/>
      <c r="AH220" s="5"/>
      <c r="AI220" s="5"/>
      <c r="AJ220" s="5"/>
      <c r="AK220" s="5"/>
      <c r="AL220" s="5"/>
      <c r="AM220" s="5"/>
      <c r="AN220" s="5"/>
      <c r="AO220" s="5"/>
      <c r="AP220" s="5"/>
      <c r="AQ220" s="5"/>
      <c r="AR220" s="5"/>
      <c r="AS220" s="5"/>
      <c r="AT220" s="20"/>
      <c r="AU220" s="1182"/>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81"/>
      <c r="E221" s="389">
        <f t="shared" si="123"/>
        <v>0</v>
      </c>
      <c r="F221" s="20"/>
      <c r="G221" s="3890">
        <f t="shared" si="124"/>
        <v>0</v>
      </c>
      <c r="H221" s="1282">
        <f t="shared" si="125"/>
        <v>0</v>
      </c>
      <c r="I221" s="3891"/>
      <c r="J221" s="3891"/>
      <c r="K221" s="3891"/>
      <c r="L221" s="3891"/>
      <c r="M221" s="3891"/>
      <c r="N221" s="3891"/>
      <c r="O221" s="3891"/>
      <c r="P221" s="3891"/>
      <c r="Q221" s="3891"/>
      <c r="R221" s="3891"/>
      <c r="S221" s="3891"/>
      <c r="T221" s="3891"/>
      <c r="U221" s="3891"/>
      <c r="V221" s="3891"/>
      <c r="W221" s="3891"/>
      <c r="X221" s="3891"/>
      <c r="Y221" s="3891"/>
      <c r="Z221" s="3891"/>
      <c r="AA221" s="3891"/>
      <c r="AB221" s="3891"/>
      <c r="AC221" s="389">
        <f t="shared" si="126"/>
        <v>0</v>
      </c>
      <c r="AD221" s="5"/>
      <c r="AE221" s="5"/>
      <c r="AF221" s="5"/>
      <c r="AG221" s="5"/>
      <c r="AH221" s="5"/>
      <c r="AI221" s="5"/>
      <c r="AJ221" s="5"/>
      <c r="AK221" s="5"/>
      <c r="AL221" s="5"/>
      <c r="AM221" s="5"/>
      <c r="AN221" s="5"/>
      <c r="AO221" s="5"/>
      <c r="AP221" s="5"/>
      <c r="AQ221" s="5"/>
      <c r="AR221" s="5"/>
      <c r="AS221" s="5"/>
      <c r="AT221" s="20"/>
      <c r="AU221" s="1182"/>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81"/>
      <c r="E222" s="389">
        <f t="shared" si="123"/>
        <v>0</v>
      </c>
      <c r="F222" s="20"/>
      <c r="G222" s="3890">
        <f t="shared" si="124"/>
        <v>0</v>
      </c>
      <c r="H222" s="1282">
        <f t="shared" si="125"/>
        <v>0</v>
      </c>
      <c r="I222" s="3891"/>
      <c r="J222" s="3891"/>
      <c r="K222" s="3891"/>
      <c r="L222" s="3891"/>
      <c r="M222" s="3891"/>
      <c r="N222" s="3891"/>
      <c r="O222" s="3891"/>
      <c r="P222" s="3891"/>
      <c r="Q222" s="3891"/>
      <c r="R222" s="3891"/>
      <c r="S222" s="3891"/>
      <c r="T222" s="3891"/>
      <c r="U222" s="3891"/>
      <c r="V222" s="3891"/>
      <c r="W222" s="3891"/>
      <c r="X222" s="3891"/>
      <c r="Y222" s="3891"/>
      <c r="Z222" s="3891"/>
      <c r="AA222" s="3891"/>
      <c r="AB222" s="3891"/>
      <c r="AC222" s="389">
        <f t="shared" si="126"/>
        <v>0</v>
      </c>
      <c r="AD222" s="5"/>
      <c r="AE222" s="5"/>
      <c r="AF222" s="5"/>
      <c r="AG222" s="5"/>
      <c r="AH222" s="5"/>
      <c r="AI222" s="5"/>
      <c r="AJ222" s="5"/>
      <c r="AK222" s="5"/>
      <c r="AL222" s="5"/>
      <c r="AM222" s="5"/>
      <c r="AN222" s="5"/>
      <c r="AO222" s="5"/>
      <c r="AP222" s="5"/>
      <c r="AQ222" s="5"/>
      <c r="AR222" s="5"/>
      <c r="AS222" s="5"/>
      <c r="AT222" s="20"/>
      <c r="AU222" s="1182"/>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81"/>
      <c r="E223" s="389">
        <f t="shared" si="123"/>
        <v>0</v>
      </c>
      <c r="F223" s="20"/>
      <c r="G223" s="3890">
        <f t="shared" si="124"/>
        <v>0</v>
      </c>
      <c r="H223" s="1282">
        <f t="shared" si="125"/>
        <v>0</v>
      </c>
      <c r="I223" s="3891"/>
      <c r="J223" s="3891"/>
      <c r="K223" s="3891"/>
      <c r="L223" s="3891"/>
      <c r="M223" s="3891"/>
      <c r="N223" s="3891"/>
      <c r="O223" s="3891"/>
      <c r="P223" s="3891"/>
      <c r="Q223" s="3891"/>
      <c r="R223" s="3891"/>
      <c r="S223" s="3891"/>
      <c r="T223" s="3891"/>
      <c r="U223" s="3891"/>
      <c r="V223" s="3891"/>
      <c r="W223" s="3891"/>
      <c r="X223" s="3891"/>
      <c r="Y223" s="3891"/>
      <c r="Z223" s="3891"/>
      <c r="AA223" s="3891"/>
      <c r="AB223" s="3891"/>
      <c r="AC223" s="389">
        <f t="shared" si="126"/>
        <v>0</v>
      </c>
      <c r="AD223" s="5"/>
      <c r="AE223" s="5"/>
      <c r="AF223" s="5"/>
      <c r="AG223" s="5"/>
      <c r="AH223" s="5"/>
      <c r="AI223" s="5"/>
      <c r="AJ223" s="5"/>
      <c r="AK223" s="5"/>
      <c r="AL223" s="5"/>
      <c r="AM223" s="5"/>
      <c r="AN223" s="5"/>
      <c r="AO223" s="5"/>
      <c r="AP223" s="5"/>
      <c r="AQ223" s="5"/>
      <c r="AR223" s="5"/>
      <c r="AS223" s="5"/>
      <c r="AT223" s="20"/>
      <c r="AU223" s="1182"/>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81"/>
      <c r="E224" s="389">
        <f t="shared" si="123"/>
        <v>0</v>
      </c>
      <c r="F224" s="20"/>
      <c r="G224" s="3890">
        <f t="shared" si="124"/>
        <v>0</v>
      </c>
      <c r="H224" s="1282">
        <f t="shared" si="125"/>
        <v>0</v>
      </c>
      <c r="I224" s="3891"/>
      <c r="J224" s="3891"/>
      <c r="K224" s="3891"/>
      <c r="L224" s="3891"/>
      <c r="M224" s="3891"/>
      <c r="N224" s="3891"/>
      <c r="O224" s="3891"/>
      <c r="P224" s="3891"/>
      <c r="Q224" s="3891"/>
      <c r="R224" s="3891"/>
      <c r="S224" s="3891"/>
      <c r="T224" s="3891"/>
      <c r="U224" s="3891"/>
      <c r="V224" s="3891"/>
      <c r="W224" s="3891"/>
      <c r="X224" s="3891"/>
      <c r="Y224" s="3891"/>
      <c r="Z224" s="3891"/>
      <c r="AA224" s="3891"/>
      <c r="AB224" s="3891"/>
      <c r="AC224" s="389">
        <f t="shared" si="126"/>
        <v>0</v>
      </c>
      <c r="AD224" s="5"/>
      <c r="AE224" s="5"/>
      <c r="AF224" s="5"/>
      <c r="AG224" s="5"/>
      <c r="AH224" s="5"/>
      <c r="AI224" s="5"/>
      <c r="AJ224" s="5"/>
      <c r="AK224" s="5"/>
      <c r="AL224" s="5"/>
      <c r="AM224" s="5"/>
      <c r="AN224" s="5"/>
      <c r="AO224" s="5"/>
      <c r="AP224" s="5"/>
      <c r="AQ224" s="5"/>
      <c r="AR224" s="5"/>
      <c r="AS224" s="5"/>
      <c r="AT224" s="20"/>
      <c r="AU224" s="1182"/>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81"/>
      <c r="E225" s="389">
        <f t="shared" si="123"/>
        <v>0</v>
      </c>
      <c r="F225" s="20"/>
      <c r="G225" s="3890">
        <f t="shared" si="124"/>
        <v>0</v>
      </c>
      <c r="H225" s="1282">
        <f t="shared" si="125"/>
        <v>0</v>
      </c>
      <c r="I225" s="3891"/>
      <c r="J225" s="3891"/>
      <c r="K225" s="3891"/>
      <c r="L225" s="3891"/>
      <c r="M225" s="3891"/>
      <c r="N225" s="3891"/>
      <c r="O225" s="3891"/>
      <c r="P225" s="3891"/>
      <c r="Q225" s="3891"/>
      <c r="R225" s="3891"/>
      <c r="S225" s="3891"/>
      <c r="T225" s="3891"/>
      <c r="U225" s="3891"/>
      <c r="V225" s="3891"/>
      <c r="W225" s="3891"/>
      <c r="X225" s="3891"/>
      <c r="Y225" s="3891"/>
      <c r="Z225" s="3891"/>
      <c r="AA225" s="3891"/>
      <c r="AB225" s="3891"/>
      <c r="AC225" s="389">
        <f t="shared" si="126"/>
        <v>0</v>
      </c>
      <c r="AD225" s="5"/>
      <c r="AE225" s="5"/>
      <c r="AF225" s="5"/>
      <c r="AG225" s="5"/>
      <c r="AH225" s="5"/>
      <c r="AI225" s="5"/>
      <c r="AJ225" s="5"/>
      <c r="AK225" s="5"/>
      <c r="AL225" s="5"/>
      <c r="AM225" s="5"/>
      <c r="AN225" s="5"/>
      <c r="AO225" s="5"/>
      <c r="AP225" s="5"/>
      <c r="AQ225" s="5"/>
      <c r="AR225" s="5"/>
      <c r="AS225" s="5"/>
      <c r="AT225" s="20"/>
      <c r="AU225" s="1182"/>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81"/>
      <c r="E226" s="389">
        <f t="shared" si="123"/>
        <v>0</v>
      </c>
      <c r="F226" s="20"/>
      <c r="G226" s="3890">
        <f t="shared" si="124"/>
        <v>0</v>
      </c>
      <c r="H226" s="1282">
        <f t="shared" si="125"/>
        <v>0</v>
      </c>
      <c r="I226" s="3891"/>
      <c r="J226" s="3891"/>
      <c r="K226" s="3891"/>
      <c r="L226" s="3891"/>
      <c r="M226" s="3891"/>
      <c r="N226" s="3891"/>
      <c r="O226" s="3891"/>
      <c r="P226" s="3891"/>
      <c r="Q226" s="3891"/>
      <c r="R226" s="3891"/>
      <c r="S226" s="3891"/>
      <c r="T226" s="3891"/>
      <c r="U226" s="3891"/>
      <c r="V226" s="3891"/>
      <c r="W226" s="3891"/>
      <c r="X226" s="3891"/>
      <c r="Y226" s="3891"/>
      <c r="Z226" s="3891"/>
      <c r="AA226" s="3891"/>
      <c r="AB226" s="3891"/>
      <c r="AC226" s="389">
        <f t="shared" si="126"/>
        <v>0</v>
      </c>
      <c r="AD226" s="5"/>
      <c r="AE226" s="5"/>
      <c r="AF226" s="5"/>
      <c r="AG226" s="5"/>
      <c r="AH226" s="5"/>
      <c r="AI226" s="5"/>
      <c r="AJ226" s="5"/>
      <c r="AK226" s="5"/>
      <c r="AL226" s="5"/>
      <c r="AM226" s="5"/>
      <c r="AN226" s="5"/>
      <c r="AO226" s="5"/>
      <c r="AP226" s="5"/>
      <c r="AQ226" s="5"/>
      <c r="AR226" s="5"/>
      <c r="AS226" s="5"/>
      <c r="AT226" s="20"/>
      <c r="AU226" s="1182"/>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81"/>
      <c r="E227" s="389">
        <f t="shared" si="123"/>
        <v>0</v>
      </c>
      <c r="F227" s="20"/>
      <c r="G227" s="3890">
        <f t="shared" si="124"/>
        <v>0</v>
      </c>
      <c r="H227" s="1282">
        <f t="shared" si="125"/>
        <v>0</v>
      </c>
      <c r="I227" s="3891"/>
      <c r="J227" s="3891"/>
      <c r="K227" s="3891"/>
      <c r="L227" s="3891"/>
      <c r="M227" s="3891"/>
      <c r="N227" s="3891"/>
      <c r="O227" s="3891"/>
      <c r="P227" s="3891"/>
      <c r="Q227" s="3891"/>
      <c r="R227" s="3891"/>
      <c r="S227" s="3891"/>
      <c r="T227" s="3891"/>
      <c r="U227" s="3891"/>
      <c r="V227" s="3891"/>
      <c r="W227" s="3891"/>
      <c r="X227" s="3891"/>
      <c r="Y227" s="3891"/>
      <c r="Z227" s="3891"/>
      <c r="AA227" s="3891"/>
      <c r="AB227" s="3891"/>
      <c r="AC227" s="389">
        <f t="shared" si="126"/>
        <v>0</v>
      </c>
      <c r="AD227" s="5"/>
      <c r="AE227" s="5"/>
      <c r="AF227" s="5"/>
      <c r="AG227" s="5"/>
      <c r="AH227" s="5"/>
      <c r="AI227" s="5"/>
      <c r="AJ227" s="5"/>
      <c r="AK227" s="5"/>
      <c r="AL227" s="5"/>
      <c r="AM227" s="5"/>
      <c r="AN227" s="5"/>
      <c r="AO227" s="5"/>
      <c r="AP227" s="5"/>
      <c r="AQ227" s="5"/>
      <c r="AR227" s="5"/>
      <c r="AS227" s="5"/>
      <c r="AT227" s="20"/>
      <c r="AU227" s="1182"/>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81"/>
      <c r="E228" s="389">
        <f t="shared" si="123"/>
        <v>0</v>
      </c>
      <c r="F228" s="20"/>
      <c r="G228" s="3890">
        <f t="shared" si="124"/>
        <v>0</v>
      </c>
      <c r="H228" s="1282">
        <f t="shared" si="125"/>
        <v>0</v>
      </c>
      <c r="I228" s="3891"/>
      <c r="J228" s="3891"/>
      <c r="K228" s="3891"/>
      <c r="L228" s="3891"/>
      <c r="M228" s="3891"/>
      <c r="N228" s="3891"/>
      <c r="O228" s="3891"/>
      <c r="P228" s="3891"/>
      <c r="Q228" s="3891"/>
      <c r="R228" s="3891"/>
      <c r="S228" s="3891"/>
      <c r="T228" s="3891"/>
      <c r="U228" s="3891"/>
      <c r="V228" s="3891"/>
      <c r="W228" s="3891"/>
      <c r="X228" s="3891"/>
      <c r="Y228" s="3891"/>
      <c r="Z228" s="3891"/>
      <c r="AA228" s="3891"/>
      <c r="AB228" s="3891"/>
      <c r="AC228" s="389">
        <f t="shared" si="126"/>
        <v>0</v>
      </c>
      <c r="AD228" s="5"/>
      <c r="AE228" s="5"/>
      <c r="AF228" s="5"/>
      <c r="AG228" s="5"/>
      <c r="AH228" s="5"/>
      <c r="AI228" s="5"/>
      <c r="AJ228" s="5"/>
      <c r="AK228" s="5"/>
      <c r="AL228" s="5"/>
      <c r="AM228" s="5"/>
      <c r="AN228" s="5"/>
      <c r="AO228" s="5"/>
      <c r="AP228" s="5"/>
      <c r="AQ228" s="5"/>
      <c r="AR228" s="5"/>
      <c r="AS228" s="5"/>
      <c r="AT228" s="20"/>
      <c r="AU228" s="1182"/>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81"/>
      <c r="E229" s="389">
        <f t="shared" si="123"/>
        <v>0</v>
      </c>
      <c r="F229" s="20"/>
      <c r="G229" s="3890">
        <f t="shared" si="124"/>
        <v>0</v>
      </c>
      <c r="H229" s="1282">
        <f t="shared" si="125"/>
        <v>0</v>
      </c>
      <c r="I229" s="3891"/>
      <c r="J229" s="3891"/>
      <c r="K229" s="3891"/>
      <c r="L229" s="3891"/>
      <c r="M229" s="3891"/>
      <c r="N229" s="3891"/>
      <c r="O229" s="3891"/>
      <c r="P229" s="3891"/>
      <c r="Q229" s="3891"/>
      <c r="R229" s="3891"/>
      <c r="S229" s="3891"/>
      <c r="T229" s="3891"/>
      <c r="U229" s="3891"/>
      <c r="V229" s="3891"/>
      <c r="W229" s="3891"/>
      <c r="X229" s="3891"/>
      <c r="Y229" s="3891"/>
      <c r="Z229" s="3891"/>
      <c r="AA229" s="3891"/>
      <c r="AB229" s="3891"/>
      <c r="AC229" s="389">
        <f t="shared" si="126"/>
        <v>0</v>
      </c>
      <c r="AD229" s="5"/>
      <c r="AE229" s="5"/>
      <c r="AF229" s="5"/>
      <c r="AG229" s="5"/>
      <c r="AH229" s="5"/>
      <c r="AI229" s="5"/>
      <c r="AJ229" s="5"/>
      <c r="AK229" s="5"/>
      <c r="AL229" s="5"/>
      <c r="AM229" s="5"/>
      <c r="AN229" s="5"/>
      <c r="AO229" s="5"/>
      <c r="AP229" s="5"/>
      <c r="AQ229" s="5"/>
      <c r="AR229" s="5"/>
      <c r="AS229" s="5"/>
      <c r="AT229" s="20"/>
      <c r="AU229" s="1182"/>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81"/>
      <c r="E230" s="389">
        <f t="shared" si="123"/>
        <v>0</v>
      </c>
      <c r="F230" s="20"/>
      <c r="G230" s="3890">
        <f t="shared" si="124"/>
        <v>0</v>
      </c>
      <c r="H230" s="1282">
        <f t="shared" si="125"/>
        <v>0</v>
      </c>
      <c r="I230" s="3891"/>
      <c r="J230" s="3891"/>
      <c r="K230" s="3891"/>
      <c r="L230" s="3891"/>
      <c r="M230" s="3891"/>
      <c r="N230" s="3891"/>
      <c r="O230" s="3891"/>
      <c r="P230" s="3891"/>
      <c r="Q230" s="3891"/>
      <c r="R230" s="3891"/>
      <c r="S230" s="3891"/>
      <c r="T230" s="3891"/>
      <c r="U230" s="3891"/>
      <c r="V230" s="3891"/>
      <c r="W230" s="3891"/>
      <c r="X230" s="3891"/>
      <c r="Y230" s="3891"/>
      <c r="Z230" s="3891"/>
      <c r="AA230" s="3891"/>
      <c r="AB230" s="3891"/>
      <c r="AC230" s="389">
        <f t="shared" si="126"/>
        <v>0</v>
      </c>
      <c r="AD230" s="5"/>
      <c r="AE230" s="5"/>
      <c r="AF230" s="5"/>
      <c r="AG230" s="5"/>
      <c r="AH230" s="5"/>
      <c r="AI230" s="5"/>
      <c r="AJ230" s="5"/>
      <c r="AK230" s="5"/>
      <c r="AL230" s="5"/>
      <c r="AM230" s="5"/>
      <c r="AN230" s="5"/>
      <c r="AO230" s="5"/>
      <c r="AP230" s="5"/>
      <c r="AQ230" s="5"/>
      <c r="AR230" s="5"/>
      <c r="AS230" s="5"/>
      <c r="AT230" s="20"/>
      <c r="AU230" s="1182"/>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81"/>
      <c r="E231" s="389">
        <f t="shared" si="123"/>
        <v>0</v>
      </c>
      <c r="F231" s="20"/>
      <c r="G231" s="3890">
        <f t="shared" si="124"/>
        <v>0</v>
      </c>
      <c r="H231" s="1282">
        <f t="shared" si="125"/>
        <v>0</v>
      </c>
      <c r="I231" s="3891"/>
      <c r="J231" s="3891"/>
      <c r="K231" s="3891"/>
      <c r="L231" s="3891"/>
      <c r="M231" s="3891"/>
      <c r="N231" s="3891"/>
      <c r="O231" s="3891"/>
      <c r="P231" s="3891"/>
      <c r="Q231" s="3891"/>
      <c r="R231" s="3891"/>
      <c r="S231" s="3891"/>
      <c r="T231" s="3891"/>
      <c r="U231" s="3891"/>
      <c r="V231" s="3891"/>
      <c r="W231" s="3891"/>
      <c r="X231" s="3891"/>
      <c r="Y231" s="3891"/>
      <c r="Z231" s="3891"/>
      <c r="AA231" s="3891"/>
      <c r="AB231" s="3891"/>
      <c r="AC231" s="389">
        <f t="shared" si="126"/>
        <v>0</v>
      </c>
      <c r="AD231" s="5"/>
      <c r="AE231" s="5"/>
      <c r="AF231" s="5"/>
      <c r="AG231" s="5"/>
      <c r="AH231" s="5"/>
      <c r="AI231" s="5"/>
      <c r="AJ231" s="5"/>
      <c r="AK231" s="5"/>
      <c r="AL231" s="5"/>
      <c r="AM231" s="5"/>
      <c r="AN231" s="5"/>
      <c r="AO231" s="5"/>
      <c r="AP231" s="5"/>
      <c r="AQ231" s="5"/>
      <c r="AR231" s="5"/>
      <c r="AS231" s="5"/>
      <c r="AT231" s="20"/>
      <c r="AU231" s="1182"/>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81"/>
      <c r="E232" s="389">
        <f t="shared" si="123"/>
        <v>0</v>
      </c>
      <c r="F232" s="20"/>
      <c r="G232" s="3890">
        <f t="shared" si="124"/>
        <v>0</v>
      </c>
      <c r="H232" s="1282">
        <f t="shared" si="125"/>
        <v>0</v>
      </c>
      <c r="I232" s="3891"/>
      <c r="J232" s="3891"/>
      <c r="K232" s="3891"/>
      <c r="L232" s="3891"/>
      <c r="M232" s="3891"/>
      <c r="N232" s="3891"/>
      <c r="O232" s="3891"/>
      <c r="P232" s="3891"/>
      <c r="Q232" s="3891"/>
      <c r="R232" s="3891"/>
      <c r="S232" s="3891"/>
      <c r="T232" s="3891"/>
      <c r="U232" s="3891"/>
      <c r="V232" s="3891"/>
      <c r="W232" s="3891"/>
      <c r="X232" s="3891"/>
      <c r="Y232" s="3891"/>
      <c r="Z232" s="3891"/>
      <c r="AA232" s="3891"/>
      <c r="AB232" s="3891"/>
      <c r="AC232" s="389">
        <f t="shared" si="126"/>
        <v>0</v>
      </c>
      <c r="AD232" s="5"/>
      <c r="AE232" s="5"/>
      <c r="AF232" s="5"/>
      <c r="AG232" s="5"/>
      <c r="AH232" s="5"/>
      <c r="AI232" s="5"/>
      <c r="AJ232" s="5"/>
      <c r="AK232" s="5"/>
      <c r="AL232" s="5"/>
      <c r="AM232" s="5"/>
      <c r="AN232" s="5"/>
      <c r="AO232" s="5"/>
      <c r="AP232" s="5"/>
      <c r="AQ232" s="5"/>
      <c r="AR232" s="5"/>
      <c r="AS232" s="5"/>
      <c r="AT232" s="20"/>
      <c r="AU232" s="1182"/>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81"/>
      <c r="E233" s="389">
        <f t="shared" si="123"/>
        <v>0</v>
      </c>
      <c r="F233" s="20"/>
      <c r="G233" s="3890">
        <f t="shared" si="124"/>
        <v>0</v>
      </c>
      <c r="H233" s="1282">
        <f t="shared" si="125"/>
        <v>0</v>
      </c>
      <c r="I233" s="3891"/>
      <c r="J233" s="3891"/>
      <c r="K233" s="3891"/>
      <c r="L233" s="3891"/>
      <c r="M233" s="3891"/>
      <c r="N233" s="3891"/>
      <c r="O233" s="3891"/>
      <c r="P233" s="3891"/>
      <c r="Q233" s="3891"/>
      <c r="R233" s="3891"/>
      <c r="S233" s="3891"/>
      <c r="T233" s="3891"/>
      <c r="U233" s="3891"/>
      <c r="V233" s="3891"/>
      <c r="W233" s="3891"/>
      <c r="X233" s="3891"/>
      <c r="Y233" s="3891"/>
      <c r="Z233" s="3891"/>
      <c r="AA233" s="3891"/>
      <c r="AB233" s="3891"/>
      <c r="AC233" s="389">
        <f t="shared" si="126"/>
        <v>0</v>
      </c>
      <c r="AD233" s="5"/>
      <c r="AE233" s="5"/>
      <c r="AF233" s="5"/>
      <c r="AG233" s="5"/>
      <c r="AH233" s="5"/>
      <c r="AI233" s="5"/>
      <c r="AJ233" s="5"/>
      <c r="AK233" s="5"/>
      <c r="AL233" s="5"/>
      <c r="AM233" s="5"/>
      <c r="AN233" s="5"/>
      <c r="AO233" s="5"/>
      <c r="AP233" s="5"/>
      <c r="AQ233" s="5"/>
      <c r="AR233" s="5"/>
      <c r="AS233" s="5"/>
      <c r="AT233" s="20"/>
      <c r="AU233" s="1182"/>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81"/>
      <c r="E234" s="389">
        <f t="shared" si="123"/>
        <v>0</v>
      </c>
      <c r="F234" s="20"/>
      <c r="G234" s="3890">
        <f t="shared" si="124"/>
        <v>0</v>
      </c>
      <c r="H234" s="1282">
        <f t="shared" si="125"/>
        <v>0</v>
      </c>
      <c r="I234" s="3891"/>
      <c r="J234" s="3891"/>
      <c r="K234" s="3891"/>
      <c r="L234" s="3891"/>
      <c r="M234" s="3891"/>
      <c r="N234" s="3891"/>
      <c r="O234" s="3891"/>
      <c r="P234" s="3891"/>
      <c r="Q234" s="3891"/>
      <c r="R234" s="3891"/>
      <c r="S234" s="3891"/>
      <c r="T234" s="3891"/>
      <c r="U234" s="3891"/>
      <c r="V234" s="3891"/>
      <c r="W234" s="3891"/>
      <c r="X234" s="3891"/>
      <c r="Y234" s="3891"/>
      <c r="Z234" s="3891"/>
      <c r="AA234" s="3891"/>
      <c r="AB234" s="3891"/>
      <c r="AC234" s="389">
        <f t="shared" si="126"/>
        <v>0</v>
      </c>
      <c r="AD234" s="5"/>
      <c r="AE234" s="5"/>
      <c r="AF234" s="5"/>
      <c r="AG234" s="5"/>
      <c r="AH234" s="5"/>
      <c r="AI234" s="5"/>
      <c r="AJ234" s="5"/>
      <c r="AK234" s="5"/>
      <c r="AL234" s="5"/>
      <c r="AM234" s="5"/>
      <c r="AN234" s="5"/>
      <c r="AO234" s="5"/>
      <c r="AP234" s="5"/>
      <c r="AQ234" s="5"/>
      <c r="AR234" s="5"/>
      <c r="AS234" s="5"/>
      <c r="AT234" s="20"/>
      <c r="AU234" s="1182"/>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81"/>
      <c r="E235" s="389">
        <f t="shared" si="123"/>
        <v>0</v>
      </c>
      <c r="F235" s="20"/>
      <c r="G235" s="3890">
        <f t="shared" si="124"/>
        <v>0</v>
      </c>
      <c r="H235" s="1282">
        <f t="shared" si="125"/>
        <v>0</v>
      </c>
      <c r="I235" s="3891"/>
      <c r="J235" s="3891"/>
      <c r="K235" s="3891"/>
      <c r="L235" s="3891"/>
      <c r="M235" s="3891"/>
      <c r="N235" s="3891"/>
      <c r="O235" s="3891"/>
      <c r="P235" s="3891"/>
      <c r="Q235" s="3891"/>
      <c r="R235" s="3891"/>
      <c r="S235" s="3891"/>
      <c r="T235" s="3891"/>
      <c r="U235" s="3891"/>
      <c r="V235" s="3891"/>
      <c r="W235" s="3891"/>
      <c r="X235" s="3891"/>
      <c r="Y235" s="3891"/>
      <c r="Z235" s="3891"/>
      <c r="AA235" s="3891"/>
      <c r="AB235" s="3891"/>
      <c r="AC235" s="389">
        <f t="shared" si="126"/>
        <v>0</v>
      </c>
      <c r="AD235" s="5"/>
      <c r="AE235" s="5"/>
      <c r="AF235" s="5"/>
      <c r="AG235" s="5"/>
      <c r="AH235" s="5"/>
      <c r="AI235" s="5"/>
      <c r="AJ235" s="5"/>
      <c r="AK235" s="5"/>
      <c r="AL235" s="5"/>
      <c r="AM235" s="5"/>
      <c r="AN235" s="5"/>
      <c r="AO235" s="5"/>
      <c r="AP235" s="5"/>
      <c r="AQ235" s="5"/>
      <c r="AR235" s="5"/>
      <c r="AS235" s="5"/>
      <c r="AT235" s="20"/>
      <c r="AU235" s="1182"/>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81"/>
      <c r="E236" s="389">
        <f t="shared" si="123"/>
        <v>0</v>
      </c>
      <c r="F236" s="20"/>
      <c r="G236" s="3890">
        <f t="shared" si="124"/>
        <v>0</v>
      </c>
      <c r="H236" s="1282">
        <f t="shared" si="125"/>
        <v>0</v>
      </c>
      <c r="I236" s="3891"/>
      <c r="J236" s="3891"/>
      <c r="K236" s="3891"/>
      <c r="L236" s="3891"/>
      <c r="M236" s="3891"/>
      <c r="N236" s="3891"/>
      <c r="O236" s="3891"/>
      <c r="P236" s="3891"/>
      <c r="Q236" s="3891"/>
      <c r="R236" s="3891"/>
      <c r="S236" s="3891"/>
      <c r="T236" s="3891"/>
      <c r="U236" s="3891"/>
      <c r="V236" s="3891"/>
      <c r="W236" s="3891"/>
      <c r="X236" s="3891"/>
      <c r="Y236" s="3891"/>
      <c r="Z236" s="3891"/>
      <c r="AA236" s="3891"/>
      <c r="AB236" s="3891"/>
      <c r="AC236" s="389">
        <f t="shared" si="126"/>
        <v>0</v>
      </c>
      <c r="AD236" s="5"/>
      <c r="AE236" s="5"/>
      <c r="AF236" s="5"/>
      <c r="AG236" s="5"/>
      <c r="AH236" s="5"/>
      <c r="AI236" s="5"/>
      <c r="AJ236" s="5"/>
      <c r="AK236" s="5"/>
      <c r="AL236" s="5"/>
      <c r="AM236" s="5"/>
      <c r="AN236" s="5"/>
      <c r="AO236" s="5"/>
      <c r="AP236" s="5"/>
      <c r="AQ236" s="5"/>
      <c r="AR236" s="5"/>
      <c r="AS236" s="5"/>
      <c r="AT236" s="20"/>
      <c r="AU236" s="1182"/>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81"/>
      <c r="E237" s="389">
        <f t="shared" si="123"/>
        <v>0</v>
      </c>
      <c r="F237" s="20"/>
      <c r="G237" s="3890">
        <f t="shared" si="124"/>
        <v>0</v>
      </c>
      <c r="H237" s="1282">
        <f t="shared" si="125"/>
        <v>0</v>
      </c>
      <c r="I237" s="3891"/>
      <c r="J237" s="3891"/>
      <c r="K237" s="3891"/>
      <c r="L237" s="3891"/>
      <c r="M237" s="3891"/>
      <c r="N237" s="3891"/>
      <c r="O237" s="3891"/>
      <c r="P237" s="3891"/>
      <c r="Q237" s="3891"/>
      <c r="R237" s="3891"/>
      <c r="S237" s="3891"/>
      <c r="T237" s="3891"/>
      <c r="U237" s="3891"/>
      <c r="V237" s="3891"/>
      <c r="W237" s="3891"/>
      <c r="X237" s="3891"/>
      <c r="Y237" s="3891"/>
      <c r="Z237" s="3891"/>
      <c r="AA237" s="3891"/>
      <c r="AB237" s="3891"/>
      <c r="AC237" s="389">
        <f t="shared" si="126"/>
        <v>0</v>
      </c>
      <c r="AD237" s="5"/>
      <c r="AE237" s="5"/>
      <c r="AF237" s="5"/>
      <c r="AG237" s="5"/>
      <c r="AH237" s="5"/>
      <c r="AI237" s="5"/>
      <c r="AJ237" s="5"/>
      <c r="AK237" s="5"/>
      <c r="AL237" s="5"/>
      <c r="AM237" s="5"/>
      <c r="AN237" s="5"/>
      <c r="AO237" s="5"/>
      <c r="AP237" s="5"/>
      <c r="AQ237" s="5"/>
      <c r="AR237" s="5"/>
      <c r="AS237" s="5"/>
      <c r="AT237" s="20"/>
      <c r="AU237" s="1182"/>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81"/>
      <c r="E238" s="389">
        <f t="shared" si="123"/>
        <v>0</v>
      </c>
      <c r="F238" s="20"/>
      <c r="G238" s="3890">
        <f t="shared" si="124"/>
        <v>0</v>
      </c>
      <c r="H238" s="1282">
        <f t="shared" si="125"/>
        <v>0</v>
      </c>
      <c r="I238" s="3891"/>
      <c r="J238" s="3891"/>
      <c r="K238" s="3891"/>
      <c r="L238" s="3891"/>
      <c r="M238" s="3891"/>
      <c r="N238" s="3891"/>
      <c r="O238" s="3891"/>
      <c r="P238" s="3891"/>
      <c r="Q238" s="3891"/>
      <c r="R238" s="3891"/>
      <c r="S238" s="3891"/>
      <c r="T238" s="3891"/>
      <c r="U238" s="3891"/>
      <c r="V238" s="3891"/>
      <c r="W238" s="3891"/>
      <c r="X238" s="3891"/>
      <c r="Y238" s="3891"/>
      <c r="Z238" s="3891"/>
      <c r="AA238" s="3891"/>
      <c r="AB238" s="3891"/>
      <c r="AC238" s="389">
        <f t="shared" si="126"/>
        <v>0</v>
      </c>
      <c r="AD238" s="5"/>
      <c r="AE238" s="5"/>
      <c r="AF238" s="5"/>
      <c r="AG238" s="5"/>
      <c r="AH238" s="5"/>
      <c r="AI238" s="5"/>
      <c r="AJ238" s="5"/>
      <c r="AK238" s="5"/>
      <c r="AL238" s="5"/>
      <c r="AM238" s="5"/>
      <c r="AN238" s="5"/>
      <c r="AO238" s="5"/>
      <c r="AP238" s="5"/>
      <c r="AQ238" s="5"/>
      <c r="AR238" s="5"/>
      <c r="AS238" s="5"/>
      <c r="AT238" s="20"/>
      <c r="AU238" s="1182"/>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81"/>
      <c r="E239" s="389">
        <f t="shared" si="123"/>
        <v>0</v>
      </c>
      <c r="F239" s="20"/>
      <c r="G239" s="3890">
        <f t="shared" si="124"/>
        <v>0</v>
      </c>
      <c r="H239" s="1282">
        <f t="shared" si="125"/>
        <v>0</v>
      </c>
      <c r="I239" s="3891"/>
      <c r="J239" s="3891"/>
      <c r="K239" s="3891"/>
      <c r="L239" s="3891"/>
      <c r="M239" s="3891"/>
      <c r="N239" s="3891"/>
      <c r="O239" s="3891"/>
      <c r="P239" s="3891"/>
      <c r="Q239" s="3891"/>
      <c r="R239" s="3891"/>
      <c r="S239" s="3891"/>
      <c r="T239" s="3891"/>
      <c r="U239" s="3891"/>
      <c r="V239" s="3891"/>
      <c r="W239" s="3891"/>
      <c r="X239" s="3891"/>
      <c r="Y239" s="3891"/>
      <c r="Z239" s="3891"/>
      <c r="AA239" s="3891"/>
      <c r="AB239" s="3891"/>
      <c r="AC239" s="389">
        <f t="shared" si="126"/>
        <v>0</v>
      </c>
      <c r="AD239" s="5"/>
      <c r="AE239" s="5"/>
      <c r="AF239" s="5"/>
      <c r="AG239" s="5"/>
      <c r="AH239" s="5"/>
      <c r="AI239" s="5"/>
      <c r="AJ239" s="5"/>
      <c r="AK239" s="5"/>
      <c r="AL239" s="5"/>
      <c r="AM239" s="5"/>
      <c r="AN239" s="5"/>
      <c r="AO239" s="5"/>
      <c r="AP239" s="5"/>
      <c r="AQ239" s="5"/>
      <c r="AR239" s="5"/>
      <c r="AS239" s="5"/>
      <c r="AT239" s="20"/>
      <c r="AU239" s="1182"/>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81"/>
      <c r="E240" s="389">
        <f t="shared" si="123"/>
        <v>0</v>
      </c>
      <c r="F240" s="20"/>
      <c r="G240" s="3890">
        <f t="shared" si="124"/>
        <v>0</v>
      </c>
      <c r="H240" s="1282">
        <f t="shared" si="125"/>
        <v>0</v>
      </c>
      <c r="I240" s="3891"/>
      <c r="J240" s="3891"/>
      <c r="K240" s="3891"/>
      <c r="L240" s="3891"/>
      <c r="M240" s="3891"/>
      <c r="N240" s="3891"/>
      <c r="O240" s="3891"/>
      <c r="P240" s="3891"/>
      <c r="Q240" s="3891"/>
      <c r="R240" s="3891"/>
      <c r="S240" s="3891"/>
      <c r="T240" s="3891"/>
      <c r="U240" s="3891"/>
      <c r="V240" s="3891"/>
      <c r="W240" s="3891"/>
      <c r="X240" s="3891"/>
      <c r="Y240" s="3891"/>
      <c r="Z240" s="3891"/>
      <c r="AA240" s="3891"/>
      <c r="AB240" s="3891"/>
      <c r="AC240" s="389">
        <f t="shared" si="126"/>
        <v>0</v>
      </c>
      <c r="AD240" s="5"/>
      <c r="AE240" s="5"/>
      <c r="AF240" s="5"/>
      <c r="AG240" s="5"/>
      <c r="AH240" s="5"/>
      <c r="AI240" s="5"/>
      <c r="AJ240" s="5"/>
      <c r="AK240" s="5"/>
      <c r="AL240" s="5"/>
      <c r="AM240" s="5"/>
      <c r="AN240" s="5"/>
      <c r="AO240" s="5"/>
      <c r="AP240" s="5"/>
      <c r="AQ240" s="5"/>
      <c r="AR240" s="5"/>
      <c r="AS240" s="5"/>
      <c r="AT240" s="20"/>
      <c r="AU240" s="1182"/>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81"/>
      <c r="E241" s="389">
        <f t="shared" si="123"/>
        <v>0</v>
      </c>
      <c r="F241" s="20"/>
      <c r="G241" s="3890">
        <f t="shared" si="124"/>
        <v>0</v>
      </c>
      <c r="H241" s="1282">
        <f t="shared" si="125"/>
        <v>0</v>
      </c>
      <c r="I241" s="3891"/>
      <c r="J241" s="3891"/>
      <c r="K241" s="3891"/>
      <c r="L241" s="3891"/>
      <c r="M241" s="3891"/>
      <c r="N241" s="3891"/>
      <c r="O241" s="3891"/>
      <c r="P241" s="3891"/>
      <c r="Q241" s="3891"/>
      <c r="R241" s="3891"/>
      <c r="S241" s="3891"/>
      <c r="T241" s="3891"/>
      <c r="U241" s="3891"/>
      <c r="V241" s="3891"/>
      <c r="W241" s="3891"/>
      <c r="X241" s="3891"/>
      <c r="Y241" s="3891"/>
      <c r="Z241" s="3891"/>
      <c r="AA241" s="3891"/>
      <c r="AB241" s="3891"/>
      <c r="AC241" s="389">
        <f t="shared" si="126"/>
        <v>0</v>
      </c>
      <c r="AD241" s="5"/>
      <c r="AE241" s="5"/>
      <c r="AF241" s="5"/>
      <c r="AG241" s="5"/>
      <c r="AH241" s="5"/>
      <c r="AI241" s="5"/>
      <c r="AJ241" s="5"/>
      <c r="AK241" s="5"/>
      <c r="AL241" s="5"/>
      <c r="AM241" s="5"/>
      <c r="AN241" s="5"/>
      <c r="AO241" s="5"/>
      <c r="AP241" s="5"/>
      <c r="AQ241" s="5"/>
      <c r="AR241" s="5"/>
      <c r="AS241" s="5"/>
      <c r="AT241" s="20"/>
      <c r="AU241" s="1182"/>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81"/>
      <c r="E242" s="389">
        <f t="shared" si="123"/>
        <v>0</v>
      </c>
      <c r="F242" s="20"/>
      <c r="G242" s="3890">
        <f t="shared" si="124"/>
        <v>0</v>
      </c>
      <c r="H242" s="1282">
        <f t="shared" si="125"/>
        <v>0</v>
      </c>
      <c r="I242" s="3891"/>
      <c r="J242" s="3891"/>
      <c r="K242" s="3891"/>
      <c r="L242" s="3891"/>
      <c r="M242" s="3891"/>
      <c r="N242" s="3891"/>
      <c r="O242" s="3891"/>
      <c r="P242" s="3891"/>
      <c r="Q242" s="3891"/>
      <c r="R242" s="3891"/>
      <c r="S242" s="3891"/>
      <c r="T242" s="3891"/>
      <c r="U242" s="3891"/>
      <c r="V242" s="3891"/>
      <c r="W242" s="3891"/>
      <c r="X242" s="3891"/>
      <c r="Y242" s="3891"/>
      <c r="Z242" s="3891"/>
      <c r="AA242" s="3891"/>
      <c r="AB242" s="3891"/>
      <c r="AC242" s="389">
        <f t="shared" si="126"/>
        <v>0</v>
      </c>
      <c r="AD242" s="5"/>
      <c r="AE242" s="5"/>
      <c r="AF242" s="5"/>
      <c r="AG242" s="5"/>
      <c r="AH242" s="5"/>
      <c r="AI242" s="5"/>
      <c r="AJ242" s="5"/>
      <c r="AK242" s="5"/>
      <c r="AL242" s="5"/>
      <c r="AM242" s="5"/>
      <c r="AN242" s="5"/>
      <c r="AO242" s="5"/>
      <c r="AP242" s="5"/>
      <c r="AQ242" s="5"/>
      <c r="AR242" s="5"/>
      <c r="AS242" s="5"/>
      <c r="AT242" s="20"/>
      <c r="AU242" s="1182"/>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81"/>
      <c r="E243" s="389">
        <f t="shared" si="123"/>
        <v>0</v>
      </c>
      <c r="F243" s="20"/>
      <c r="G243" s="3890">
        <f t="shared" si="124"/>
        <v>0</v>
      </c>
      <c r="H243" s="1282">
        <f t="shared" si="125"/>
        <v>0</v>
      </c>
      <c r="I243" s="3891"/>
      <c r="J243" s="3891"/>
      <c r="K243" s="3891"/>
      <c r="L243" s="3891"/>
      <c r="M243" s="3891"/>
      <c r="N243" s="3891"/>
      <c r="O243" s="3891"/>
      <c r="P243" s="3891"/>
      <c r="Q243" s="3891"/>
      <c r="R243" s="3891"/>
      <c r="S243" s="3891"/>
      <c r="T243" s="3891"/>
      <c r="U243" s="3891"/>
      <c r="V243" s="3891"/>
      <c r="W243" s="3891"/>
      <c r="X243" s="3891"/>
      <c r="Y243" s="3891"/>
      <c r="Z243" s="3891"/>
      <c r="AA243" s="3891"/>
      <c r="AB243" s="3891"/>
      <c r="AC243" s="389">
        <f t="shared" si="126"/>
        <v>0</v>
      </c>
      <c r="AD243" s="5"/>
      <c r="AE243" s="5"/>
      <c r="AF243" s="5"/>
      <c r="AG243" s="5"/>
      <c r="AH243" s="5"/>
      <c r="AI243" s="5"/>
      <c r="AJ243" s="5"/>
      <c r="AK243" s="5"/>
      <c r="AL243" s="5"/>
      <c r="AM243" s="5"/>
      <c r="AN243" s="5"/>
      <c r="AO243" s="5"/>
      <c r="AP243" s="5"/>
      <c r="AQ243" s="5"/>
      <c r="AR243" s="5"/>
      <c r="AS243" s="5"/>
      <c r="AT243" s="20"/>
      <c r="AU243" s="1182"/>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81"/>
      <c r="E244" s="389">
        <f t="shared" si="123"/>
        <v>0</v>
      </c>
      <c r="F244" s="20"/>
      <c r="G244" s="3890">
        <f t="shared" si="124"/>
        <v>0</v>
      </c>
      <c r="H244" s="1282">
        <f t="shared" si="125"/>
        <v>0</v>
      </c>
      <c r="I244" s="3891"/>
      <c r="J244" s="3891"/>
      <c r="K244" s="3891"/>
      <c r="L244" s="3891"/>
      <c r="M244" s="3891"/>
      <c r="N244" s="3891"/>
      <c r="O244" s="3891"/>
      <c r="P244" s="3891"/>
      <c r="Q244" s="3891"/>
      <c r="R244" s="3891"/>
      <c r="S244" s="3891"/>
      <c r="T244" s="3891"/>
      <c r="U244" s="3891"/>
      <c r="V244" s="3891"/>
      <c r="W244" s="3891"/>
      <c r="X244" s="3891"/>
      <c r="Y244" s="3891"/>
      <c r="Z244" s="3891"/>
      <c r="AA244" s="3891"/>
      <c r="AB244" s="3891"/>
      <c r="AC244" s="389">
        <f t="shared" si="126"/>
        <v>0</v>
      </c>
      <c r="AD244" s="5"/>
      <c r="AE244" s="5"/>
      <c r="AF244" s="5"/>
      <c r="AG244" s="5"/>
      <c r="AH244" s="5"/>
      <c r="AI244" s="5"/>
      <c r="AJ244" s="5"/>
      <c r="AK244" s="5"/>
      <c r="AL244" s="5"/>
      <c r="AM244" s="5"/>
      <c r="AN244" s="5"/>
      <c r="AO244" s="5"/>
      <c r="AP244" s="5"/>
      <c r="AQ244" s="5"/>
      <c r="AR244" s="5"/>
      <c r="AS244" s="5"/>
      <c r="AT244" s="20"/>
      <c r="AU244" s="1182"/>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81"/>
      <c r="E245" s="389">
        <f t="shared" si="123"/>
        <v>0</v>
      </c>
      <c r="F245" s="20"/>
      <c r="G245" s="3890">
        <f t="shared" si="124"/>
        <v>0</v>
      </c>
      <c r="H245" s="1282">
        <f t="shared" si="125"/>
        <v>0</v>
      </c>
      <c r="I245" s="3891"/>
      <c r="J245" s="3891"/>
      <c r="K245" s="3891"/>
      <c r="L245" s="3891"/>
      <c r="M245" s="3891"/>
      <c r="N245" s="3891"/>
      <c r="O245" s="3891"/>
      <c r="P245" s="3891"/>
      <c r="Q245" s="3891"/>
      <c r="R245" s="3891"/>
      <c r="S245" s="3891"/>
      <c r="T245" s="3891"/>
      <c r="U245" s="3891"/>
      <c r="V245" s="3891"/>
      <c r="W245" s="3891"/>
      <c r="X245" s="3891"/>
      <c r="Y245" s="3891"/>
      <c r="Z245" s="3891"/>
      <c r="AA245" s="3891"/>
      <c r="AB245" s="3891"/>
      <c r="AC245" s="389">
        <f t="shared" si="126"/>
        <v>0</v>
      </c>
      <c r="AD245" s="5"/>
      <c r="AE245" s="5"/>
      <c r="AF245" s="5"/>
      <c r="AG245" s="5"/>
      <c r="AH245" s="5"/>
      <c r="AI245" s="5"/>
      <c r="AJ245" s="5"/>
      <c r="AK245" s="5"/>
      <c r="AL245" s="5"/>
      <c r="AM245" s="5"/>
      <c r="AN245" s="5"/>
      <c r="AO245" s="5"/>
      <c r="AP245" s="5"/>
      <c r="AQ245" s="5"/>
      <c r="AR245" s="5"/>
      <c r="AS245" s="5"/>
      <c r="AT245" s="20"/>
      <c r="AU245" s="1182"/>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81"/>
      <c r="E246" s="389">
        <f t="shared" si="123"/>
        <v>0</v>
      </c>
      <c r="F246" s="20"/>
      <c r="G246" s="3890">
        <f t="shared" si="124"/>
        <v>0</v>
      </c>
      <c r="H246" s="1282">
        <f t="shared" si="125"/>
        <v>0</v>
      </c>
      <c r="I246" s="3891"/>
      <c r="J246" s="3891"/>
      <c r="K246" s="3891"/>
      <c r="L246" s="3891"/>
      <c r="M246" s="3891"/>
      <c r="N246" s="3891"/>
      <c r="O246" s="3891"/>
      <c r="P246" s="3891"/>
      <c r="Q246" s="3891"/>
      <c r="R246" s="3891"/>
      <c r="S246" s="3891"/>
      <c r="T246" s="3891"/>
      <c r="U246" s="3891"/>
      <c r="V246" s="3891"/>
      <c r="W246" s="3891"/>
      <c r="X246" s="3891"/>
      <c r="Y246" s="3891"/>
      <c r="Z246" s="3891"/>
      <c r="AA246" s="3891"/>
      <c r="AB246" s="3891"/>
      <c r="AC246" s="389">
        <f t="shared" si="126"/>
        <v>0</v>
      </c>
      <c r="AD246" s="5"/>
      <c r="AE246" s="5"/>
      <c r="AF246" s="5"/>
      <c r="AG246" s="5"/>
      <c r="AH246" s="5"/>
      <c r="AI246" s="5"/>
      <c r="AJ246" s="5"/>
      <c r="AK246" s="5"/>
      <c r="AL246" s="5"/>
      <c r="AM246" s="5"/>
      <c r="AN246" s="5"/>
      <c r="AO246" s="5"/>
      <c r="AP246" s="5"/>
      <c r="AQ246" s="5"/>
      <c r="AR246" s="5"/>
      <c r="AS246" s="5"/>
      <c r="AT246" s="20"/>
      <c r="AU246" s="1182"/>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81"/>
      <c r="E247" s="389">
        <f t="shared" si="123"/>
        <v>0</v>
      </c>
      <c r="F247" s="20"/>
      <c r="G247" s="3890">
        <f t="shared" si="124"/>
        <v>0</v>
      </c>
      <c r="H247" s="1282">
        <f t="shared" si="125"/>
        <v>0</v>
      </c>
      <c r="I247" s="3891"/>
      <c r="J247" s="3891"/>
      <c r="K247" s="3891"/>
      <c r="L247" s="3891"/>
      <c r="M247" s="3891"/>
      <c r="N247" s="3891"/>
      <c r="O247" s="3891"/>
      <c r="P247" s="3891"/>
      <c r="Q247" s="3891"/>
      <c r="R247" s="3891"/>
      <c r="S247" s="3891"/>
      <c r="T247" s="3891"/>
      <c r="U247" s="3891"/>
      <c r="V247" s="3891"/>
      <c r="W247" s="3891"/>
      <c r="X247" s="3891"/>
      <c r="Y247" s="3891"/>
      <c r="Z247" s="3891"/>
      <c r="AA247" s="3891"/>
      <c r="AB247" s="3891"/>
      <c r="AC247" s="389">
        <f t="shared" si="126"/>
        <v>0</v>
      </c>
      <c r="AD247" s="5"/>
      <c r="AE247" s="5"/>
      <c r="AF247" s="5"/>
      <c r="AG247" s="5"/>
      <c r="AH247" s="5"/>
      <c r="AI247" s="5"/>
      <c r="AJ247" s="5"/>
      <c r="AK247" s="5"/>
      <c r="AL247" s="5"/>
      <c r="AM247" s="5"/>
      <c r="AN247" s="5"/>
      <c r="AO247" s="5"/>
      <c r="AP247" s="5"/>
      <c r="AQ247" s="5"/>
      <c r="AR247" s="5"/>
      <c r="AS247" s="5"/>
      <c r="AT247" s="20"/>
      <c r="AU247" s="1182"/>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81"/>
      <c r="E248" s="389">
        <f t="shared" si="123"/>
        <v>0</v>
      </c>
      <c r="F248" s="20"/>
      <c r="G248" s="3890">
        <f t="shared" si="124"/>
        <v>0</v>
      </c>
      <c r="H248" s="1282">
        <f t="shared" si="125"/>
        <v>0</v>
      </c>
      <c r="I248" s="3891"/>
      <c r="J248" s="3891"/>
      <c r="K248" s="3891"/>
      <c r="L248" s="3891"/>
      <c r="M248" s="3891"/>
      <c r="N248" s="3891"/>
      <c r="O248" s="3891"/>
      <c r="P248" s="3891"/>
      <c r="Q248" s="3891"/>
      <c r="R248" s="3891"/>
      <c r="S248" s="3891"/>
      <c r="T248" s="3891"/>
      <c r="U248" s="3891"/>
      <c r="V248" s="3891"/>
      <c r="W248" s="3891"/>
      <c r="X248" s="3891"/>
      <c r="Y248" s="3891"/>
      <c r="Z248" s="3891"/>
      <c r="AA248" s="3891"/>
      <c r="AB248" s="3891"/>
      <c r="AC248" s="389">
        <f t="shared" si="126"/>
        <v>0</v>
      </c>
      <c r="AD248" s="5"/>
      <c r="AE248" s="5"/>
      <c r="AF248" s="5"/>
      <c r="AG248" s="5"/>
      <c r="AH248" s="5"/>
      <c r="AI248" s="5"/>
      <c r="AJ248" s="5"/>
      <c r="AK248" s="5"/>
      <c r="AL248" s="5"/>
      <c r="AM248" s="5"/>
      <c r="AN248" s="5"/>
      <c r="AO248" s="5"/>
      <c r="AP248" s="5"/>
      <c r="AQ248" s="5"/>
      <c r="AR248" s="5"/>
      <c r="AS248" s="5"/>
      <c r="AT248" s="20"/>
      <c r="AU248" s="1182"/>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81"/>
      <c r="E249" s="389">
        <f t="shared" si="123"/>
        <v>0</v>
      </c>
      <c r="F249" s="20"/>
      <c r="G249" s="3890">
        <f t="shared" si="124"/>
        <v>0</v>
      </c>
      <c r="H249" s="1282">
        <f t="shared" si="125"/>
        <v>0</v>
      </c>
      <c r="I249" s="3891"/>
      <c r="J249" s="3891"/>
      <c r="K249" s="3891"/>
      <c r="L249" s="3891"/>
      <c r="M249" s="3891"/>
      <c r="N249" s="3891"/>
      <c r="O249" s="3891"/>
      <c r="P249" s="3891"/>
      <c r="Q249" s="3891"/>
      <c r="R249" s="3891"/>
      <c r="S249" s="3891"/>
      <c r="T249" s="3891"/>
      <c r="U249" s="3891"/>
      <c r="V249" s="3891"/>
      <c r="W249" s="3891"/>
      <c r="X249" s="3891"/>
      <c r="Y249" s="3891"/>
      <c r="Z249" s="3891"/>
      <c r="AA249" s="3891"/>
      <c r="AB249" s="3891"/>
      <c r="AC249" s="389">
        <f t="shared" si="126"/>
        <v>0</v>
      </c>
      <c r="AD249" s="5"/>
      <c r="AE249" s="5"/>
      <c r="AF249" s="5"/>
      <c r="AG249" s="5"/>
      <c r="AH249" s="5"/>
      <c r="AI249" s="5"/>
      <c r="AJ249" s="5"/>
      <c r="AK249" s="5"/>
      <c r="AL249" s="5"/>
      <c r="AM249" s="5"/>
      <c r="AN249" s="5"/>
      <c r="AO249" s="5"/>
      <c r="AP249" s="5"/>
      <c r="AQ249" s="5"/>
      <c r="AR249" s="5"/>
      <c r="AS249" s="5"/>
      <c r="AT249" s="20"/>
      <c r="AU249" s="1182"/>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81"/>
      <c r="E250" s="389">
        <f t="shared" si="123"/>
        <v>0</v>
      </c>
      <c r="F250" s="20"/>
      <c r="G250" s="3890">
        <f t="shared" si="124"/>
        <v>0</v>
      </c>
      <c r="H250" s="1282">
        <f t="shared" si="125"/>
        <v>0</v>
      </c>
      <c r="I250" s="3891"/>
      <c r="J250" s="3891"/>
      <c r="K250" s="3891"/>
      <c r="L250" s="3891"/>
      <c r="M250" s="3891"/>
      <c r="N250" s="3891"/>
      <c r="O250" s="3891"/>
      <c r="P250" s="3891"/>
      <c r="Q250" s="3891"/>
      <c r="R250" s="3891"/>
      <c r="S250" s="3891"/>
      <c r="T250" s="3891"/>
      <c r="U250" s="3891"/>
      <c r="V250" s="3891"/>
      <c r="W250" s="3891"/>
      <c r="X250" s="3891"/>
      <c r="Y250" s="3891"/>
      <c r="Z250" s="3891"/>
      <c r="AA250" s="3891"/>
      <c r="AB250" s="3891"/>
      <c r="AC250" s="389">
        <f t="shared" si="126"/>
        <v>0</v>
      </c>
      <c r="AD250" s="5"/>
      <c r="AE250" s="5"/>
      <c r="AF250" s="5"/>
      <c r="AG250" s="5"/>
      <c r="AH250" s="5"/>
      <c r="AI250" s="5"/>
      <c r="AJ250" s="5"/>
      <c r="AK250" s="5"/>
      <c r="AL250" s="5"/>
      <c r="AM250" s="5"/>
      <c r="AN250" s="5"/>
      <c r="AO250" s="5"/>
      <c r="AP250" s="5"/>
      <c r="AQ250" s="5"/>
      <c r="AR250" s="5"/>
      <c r="AS250" s="5"/>
      <c r="AT250" s="20"/>
      <c r="AU250" s="1182"/>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81"/>
      <c r="E251" s="389">
        <f t="shared" si="123"/>
        <v>0</v>
      </c>
      <c r="F251" s="20"/>
      <c r="G251" s="3890">
        <f t="shared" si="124"/>
        <v>0</v>
      </c>
      <c r="H251" s="1282">
        <f t="shared" si="125"/>
        <v>0</v>
      </c>
      <c r="I251" s="3891"/>
      <c r="J251" s="3891"/>
      <c r="K251" s="3891"/>
      <c r="L251" s="3891"/>
      <c r="M251" s="3891"/>
      <c r="N251" s="3891"/>
      <c r="O251" s="3891"/>
      <c r="P251" s="3891"/>
      <c r="Q251" s="3891"/>
      <c r="R251" s="3891"/>
      <c r="S251" s="3891"/>
      <c r="T251" s="3891"/>
      <c r="U251" s="3891"/>
      <c r="V251" s="3891"/>
      <c r="W251" s="3891"/>
      <c r="X251" s="3891"/>
      <c r="Y251" s="3891"/>
      <c r="Z251" s="3891"/>
      <c r="AA251" s="3891"/>
      <c r="AB251" s="3891"/>
      <c r="AC251" s="389">
        <f t="shared" si="126"/>
        <v>0</v>
      </c>
      <c r="AD251" s="5"/>
      <c r="AE251" s="5"/>
      <c r="AF251" s="5"/>
      <c r="AG251" s="5"/>
      <c r="AH251" s="5"/>
      <c r="AI251" s="5"/>
      <c r="AJ251" s="5"/>
      <c r="AK251" s="5"/>
      <c r="AL251" s="5"/>
      <c r="AM251" s="5"/>
      <c r="AN251" s="5"/>
      <c r="AO251" s="5"/>
      <c r="AP251" s="5"/>
      <c r="AQ251" s="5"/>
      <c r="AR251" s="5"/>
      <c r="AS251" s="5"/>
      <c r="AT251" s="20"/>
      <c r="AU251" s="1182"/>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81"/>
      <c r="E252" s="389">
        <f t="shared" si="123"/>
        <v>0</v>
      </c>
      <c r="F252" s="20"/>
      <c r="G252" s="3890">
        <f t="shared" si="124"/>
        <v>0</v>
      </c>
      <c r="H252" s="1282">
        <f t="shared" si="125"/>
        <v>0</v>
      </c>
      <c r="I252" s="3891"/>
      <c r="J252" s="3891"/>
      <c r="K252" s="3891"/>
      <c r="L252" s="3891"/>
      <c r="M252" s="3891"/>
      <c r="N252" s="3891"/>
      <c r="O252" s="3891"/>
      <c r="P252" s="3891"/>
      <c r="Q252" s="3891"/>
      <c r="R252" s="3891"/>
      <c r="S252" s="3891"/>
      <c r="T252" s="3891"/>
      <c r="U252" s="3891"/>
      <c r="V252" s="3891"/>
      <c r="W252" s="3891"/>
      <c r="X252" s="3891"/>
      <c r="Y252" s="3891"/>
      <c r="Z252" s="3891"/>
      <c r="AA252" s="3891"/>
      <c r="AB252" s="3891"/>
      <c r="AC252" s="389">
        <f t="shared" si="126"/>
        <v>0</v>
      </c>
      <c r="AD252" s="5"/>
      <c r="AE252" s="5"/>
      <c r="AF252" s="5"/>
      <c r="AG252" s="5"/>
      <c r="AH252" s="5"/>
      <c r="AI252" s="5"/>
      <c r="AJ252" s="5"/>
      <c r="AK252" s="5"/>
      <c r="AL252" s="5"/>
      <c r="AM252" s="5"/>
      <c r="AN252" s="5"/>
      <c r="AO252" s="5"/>
      <c r="AP252" s="5"/>
      <c r="AQ252" s="5"/>
      <c r="AR252" s="5"/>
      <c r="AS252" s="5"/>
      <c r="AT252" s="20"/>
      <c r="AU252" s="1182"/>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81"/>
      <c r="E253" s="389">
        <f t="shared" si="123"/>
        <v>0</v>
      </c>
      <c r="F253" s="20"/>
      <c r="G253" s="3890">
        <f t="shared" si="124"/>
        <v>0</v>
      </c>
      <c r="H253" s="1282">
        <f t="shared" si="125"/>
        <v>0</v>
      </c>
      <c r="I253" s="3891"/>
      <c r="J253" s="3891"/>
      <c r="K253" s="3891"/>
      <c r="L253" s="3891"/>
      <c r="M253" s="3891"/>
      <c r="N253" s="3891"/>
      <c r="O253" s="3891"/>
      <c r="P253" s="3891"/>
      <c r="Q253" s="3891"/>
      <c r="R253" s="3891"/>
      <c r="S253" s="3891"/>
      <c r="T253" s="3891"/>
      <c r="U253" s="3891"/>
      <c r="V253" s="3891"/>
      <c r="W253" s="3891"/>
      <c r="X253" s="3891"/>
      <c r="Y253" s="3891"/>
      <c r="Z253" s="3891"/>
      <c r="AA253" s="3891"/>
      <c r="AB253" s="3891"/>
      <c r="AC253" s="389">
        <f t="shared" si="126"/>
        <v>0</v>
      </c>
      <c r="AD253" s="5"/>
      <c r="AE253" s="5"/>
      <c r="AF253" s="5"/>
      <c r="AG253" s="5"/>
      <c r="AH253" s="5"/>
      <c r="AI253" s="5"/>
      <c r="AJ253" s="5"/>
      <c r="AK253" s="5"/>
      <c r="AL253" s="5"/>
      <c r="AM253" s="5"/>
      <c r="AN253" s="5"/>
      <c r="AO253" s="5"/>
      <c r="AP253" s="5"/>
      <c r="AQ253" s="5"/>
      <c r="AR253" s="5"/>
      <c r="AS253" s="5"/>
      <c r="AT253" s="20"/>
      <c r="AU253" s="1182"/>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81"/>
      <c r="E254" s="389">
        <f t="shared" si="123"/>
        <v>0</v>
      </c>
      <c r="F254" s="20"/>
      <c r="G254" s="3890">
        <f t="shared" si="124"/>
        <v>0</v>
      </c>
      <c r="H254" s="1282">
        <f t="shared" si="125"/>
        <v>0</v>
      </c>
      <c r="I254" s="3891"/>
      <c r="J254" s="3891"/>
      <c r="K254" s="3891"/>
      <c r="L254" s="3891"/>
      <c r="M254" s="3891"/>
      <c r="N254" s="3891"/>
      <c r="O254" s="3891"/>
      <c r="P254" s="3891"/>
      <c r="Q254" s="3891"/>
      <c r="R254" s="3891"/>
      <c r="S254" s="3891"/>
      <c r="T254" s="3891"/>
      <c r="U254" s="3891"/>
      <c r="V254" s="3891"/>
      <c r="W254" s="3891"/>
      <c r="X254" s="3891"/>
      <c r="Y254" s="3891"/>
      <c r="Z254" s="3891"/>
      <c r="AA254" s="3891"/>
      <c r="AB254" s="3891"/>
      <c r="AC254" s="389">
        <f t="shared" si="126"/>
        <v>0</v>
      </c>
      <c r="AD254" s="5"/>
      <c r="AE254" s="5"/>
      <c r="AF254" s="5"/>
      <c r="AG254" s="5"/>
      <c r="AH254" s="5"/>
      <c r="AI254" s="5"/>
      <c r="AJ254" s="5"/>
      <c r="AK254" s="5"/>
      <c r="AL254" s="5"/>
      <c r="AM254" s="5"/>
      <c r="AN254" s="5"/>
      <c r="AO254" s="5"/>
      <c r="AP254" s="5"/>
      <c r="AQ254" s="5"/>
      <c r="AR254" s="5"/>
      <c r="AS254" s="5"/>
      <c r="AT254" s="20"/>
      <c r="AU254" s="1182"/>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81"/>
      <c r="E255" s="389">
        <f t="shared" si="123"/>
        <v>0</v>
      </c>
      <c r="F255" s="20"/>
      <c r="G255" s="3890">
        <f t="shared" si="124"/>
        <v>0</v>
      </c>
      <c r="H255" s="1282">
        <f t="shared" si="125"/>
        <v>0</v>
      </c>
      <c r="I255" s="3891"/>
      <c r="J255" s="3891"/>
      <c r="K255" s="3891"/>
      <c r="L255" s="3891"/>
      <c r="M255" s="3891"/>
      <c r="N255" s="3891"/>
      <c r="O255" s="3891"/>
      <c r="P255" s="3891"/>
      <c r="Q255" s="3891"/>
      <c r="R255" s="3891"/>
      <c r="S255" s="3891"/>
      <c r="T255" s="3891"/>
      <c r="U255" s="3891"/>
      <c r="V255" s="3891"/>
      <c r="W255" s="3891"/>
      <c r="X255" s="3891"/>
      <c r="Y255" s="3891"/>
      <c r="Z255" s="3891"/>
      <c r="AA255" s="3891"/>
      <c r="AB255" s="3891"/>
      <c r="AC255" s="389">
        <f t="shared" si="126"/>
        <v>0</v>
      </c>
      <c r="AD255" s="5"/>
      <c r="AE255" s="5"/>
      <c r="AF255" s="5"/>
      <c r="AG255" s="5"/>
      <c r="AH255" s="5"/>
      <c r="AI255" s="5"/>
      <c r="AJ255" s="5"/>
      <c r="AK255" s="5"/>
      <c r="AL255" s="5"/>
      <c r="AM255" s="5"/>
      <c r="AN255" s="5"/>
      <c r="AO255" s="5"/>
      <c r="AP255" s="5"/>
      <c r="AQ255" s="5"/>
      <c r="AR255" s="5"/>
      <c r="AS255" s="5"/>
      <c r="AT255" s="20"/>
      <c r="AU255" s="1182"/>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81"/>
      <c r="E256" s="389">
        <f t="shared" si="123"/>
        <v>0</v>
      </c>
      <c r="F256" s="20"/>
      <c r="G256" s="3890">
        <f t="shared" si="124"/>
        <v>0</v>
      </c>
      <c r="H256" s="1282">
        <f t="shared" si="125"/>
        <v>0</v>
      </c>
      <c r="I256" s="3891"/>
      <c r="J256" s="3891"/>
      <c r="K256" s="3891"/>
      <c r="L256" s="3891"/>
      <c r="M256" s="3891"/>
      <c r="N256" s="3891"/>
      <c r="O256" s="3891"/>
      <c r="P256" s="3891"/>
      <c r="Q256" s="3891"/>
      <c r="R256" s="3891"/>
      <c r="S256" s="3891"/>
      <c r="T256" s="3891"/>
      <c r="U256" s="3891"/>
      <c r="V256" s="3891"/>
      <c r="W256" s="3891"/>
      <c r="X256" s="3891"/>
      <c r="Y256" s="3891"/>
      <c r="Z256" s="3891"/>
      <c r="AA256" s="3891"/>
      <c r="AB256" s="3891"/>
      <c r="AC256" s="389">
        <f t="shared" si="126"/>
        <v>0</v>
      </c>
      <c r="AD256" s="5"/>
      <c r="AE256" s="5"/>
      <c r="AF256" s="5"/>
      <c r="AG256" s="5"/>
      <c r="AH256" s="5"/>
      <c r="AI256" s="5"/>
      <c r="AJ256" s="5"/>
      <c r="AK256" s="5"/>
      <c r="AL256" s="5"/>
      <c r="AM256" s="5"/>
      <c r="AN256" s="5"/>
      <c r="AO256" s="5"/>
      <c r="AP256" s="5"/>
      <c r="AQ256" s="5"/>
      <c r="AR256" s="5"/>
      <c r="AS256" s="5"/>
      <c r="AT256" s="20"/>
      <c r="AU256" s="1182"/>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81"/>
      <c r="E257" s="389">
        <f t="shared" si="123"/>
        <v>0</v>
      </c>
      <c r="F257" s="20"/>
      <c r="G257" s="3890">
        <f t="shared" si="124"/>
        <v>0</v>
      </c>
      <c r="H257" s="1282">
        <f t="shared" si="125"/>
        <v>0</v>
      </c>
      <c r="I257" s="3891"/>
      <c r="J257" s="3891"/>
      <c r="K257" s="3891"/>
      <c r="L257" s="3891"/>
      <c r="M257" s="3891"/>
      <c r="N257" s="3891"/>
      <c r="O257" s="3891"/>
      <c r="P257" s="3891"/>
      <c r="Q257" s="3891"/>
      <c r="R257" s="3891"/>
      <c r="S257" s="3891"/>
      <c r="T257" s="3891"/>
      <c r="U257" s="3891"/>
      <c r="V257" s="3891"/>
      <c r="W257" s="3891"/>
      <c r="X257" s="3891"/>
      <c r="Y257" s="3891"/>
      <c r="Z257" s="3891"/>
      <c r="AA257" s="3891"/>
      <c r="AB257" s="3891"/>
      <c r="AC257" s="389">
        <f t="shared" si="126"/>
        <v>0</v>
      </c>
      <c r="AD257" s="5"/>
      <c r="AE257" s="5"/>
      <c r="AF257" s="5"/>
      <c r="AG257" s="5"/>
      <c r="AH257" s="5"/>
      <c r="AI257" s="5"/>
      <c r="AJ257" s="5"/>
      <c r="AK257" s="5"/>
      <c r="AL257" s="5"/>
      <c r="AM257" s="5"/>
      <c r="AN257" s="5"/>
      <c r="AO257" s="5"/>
      <c r="AP257" s="5"/>
      <c r="AQ257" s="5"/>
      <c r="AR257" s="5"/>
      <c r="AS257" s="5"/>
      <c r="AT257" s="20"/>
      <c r="AU257" s="1182"/>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81"/>
      <c r="E258" s="389">
        <f t="shared" si="123"/>
        <v>0</v>
      </c>
      <c r="F258" s="20"/>
      <c r="G258" s="3890">
        <f t="shared" si="124"/>
        <v>0</v>
      </c>
      <c r="H258" s="1282">
        <f t="shared" si="125"/>
        <v>0</v>
      </c>
      <c r="I258" s="3891"/>
      <c r="J258" s="3891"/>
      <c r="K258" s="3891"/>
      <c r="L258" s="3891"/>
      <c r="M258" s="3891"/>
      <c r="N258" s="3891"/>
      <c r="O258" s="3891"/>
      <c r="P258" s="3891"/>
      <c r="Q258" s="3891"/>
      <c r="R258" s="3891"/>
      <c r="S258" s="3891"/>
      <c r="T258" s="3891"/>
      <c r="U258" s="3891"/>
      <c r="V258" s="3891"/>
      <c r="W258" s="3891"/>
      <c r="X258" s="3891"/>
      <c r="Y258" s="3891"/>
      <c r="Z258" s="3891"/>
      <c r="AA258" s="3891"/>
      <c r="AB258" s="3891"/>
      <c r="AC258" s="389">
        <f t="shared" si="126"/>
        <v>0</v>
      </c>
      <c r="AD258" s="5"/>
      <c r="AE258" s="5"/>
      <c r="AF258" s="5"/>
      <c r="AG258" s="5"/>
      <c r="AH258" s="5"/>
      <c r="AI258" s="5"/>
      <c r="AJ258" s="5"/>
      <c r="AK258" s="5"/>
      <c r="AL258" s="5"/>
      <c r="AM258" s="5"/>
      <c r="AN258" s="5"/>
      <c r="AO258" s="5"/>
      <c r="AP258" s="5"/>
      <c r="AQ258" s="5"/>
      <c r="AR258" s="5"/>
      <c r="AS258" s="5"/>
      <c r="AT258" s="20"/>
      <c r="AU258" s="1182"/>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81"/>
      <c r="E259" s="389">
        <f t="shared" si="123"/>
        <v>0</v>
      </c>
      <c r="F259" s="20"/>
      <c r="G259" s="3890">
        <f t="shared" si="124"/>
        <v>0</v>
      </c>
      <c r="H259" s="1282">
        <f t="shared" si="125"/>
        <v>0</v>
      </c>
      <c r="I259" s="3891"/>
      <c r="J259" s="3891"/>
      <c r="K259" s="3891"/>
      <c r="L259" s="3891"/>
      <c r="M259" s="3891"/>
      <c r="N259" s="3891"/>
      <c r="O259" s="3891"/>
      <c r="P259" s="3891"/>
      <c r="Q259" s="3891"/>
      <c r="R259" s="3891"/>
      <c r="S259" s="3891"/>
      <c r="T259" s="3891"/>
      <c r="U259" s="3891"/>
      <c r="V259" s="3891"/>
      <c r="W259" s="3891"/>
      <c r="X259" s="3891"/>
      <c r="Y259" s="3891"/>
      <c r="Z259" s="3891"/>
      <c r="AA259" s="3891"/>
      <c r="AB259" s="3891"/>
      <c r="AC259" s="389">
        <f t="shared" si="126"/>
        <v>0</v>
      </c>
      <c r="AD259" s="5"/>
      <c r="AE259" s="5"/>
      <c r="AF259" s="5"/>
      <c r="AG259" s="5"/>
      <c r="AH259" s="5"/>
      <c r="AI259" s="5"/>
      <c r="AJ259" s="5"/>
      <c r="AK259" s="5"/>
      <c r="AL259" s="5"/>
      <c r="AM259" s="5"/>
      <c r="AN259" s="5"/>
      <c r="AO259" s="5"/>
      <c r="AP259" s="5"/>
      <c r="AQ259" s="5"/>
      <c r="AR259" s="5"/>
      <c r="AS259" s="5"/>
      <c r="AT259" s="20"/>
      <c r="AU259" s="1182"/>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81"/>
      <c r="E260" s="389">
        <f t="shared" si="123"/>
        <v>0</v>
      </c>
      <c r="F260" s="20"/>
      <c r="G260" s="3890">
        <f t="shared" si="124"/>
        <v>0</v>
      </c>
      <c r="H260" s="1282">
        <f t="shared" si="125"/>
        <v>0</v>
      </c>
      <c r="I260" s="3891"/>
      <c r="J260" s="3891"/>
      <c r="K260" s="3891"/>
      <c r="L260" s="3891"/>
      <c r="M260" s="3891"/>
      <c r="N260" s="3891"/>
      <c r="O260" s="3891"/>
      <c r="P260" s="3891"/>
      <c r="Q260" s="3891"/>
      <c r="R260" s="3891"/>
      <c r="S260" s="3891"/>
      <c r="T260" s="3891"/>
      <c r="U260" s="3891"/>
      <c r="V260" s="3891"/>
      <c r="W260" s="3891"/>
      <c r="X260" s="3891"/>
      <c r="Y260" s="3891"/>
      <c r="Z260" s="3891"/>
      <c r="AA260" s="3891"/>
      <c r="AB260" s="3891"/>
      <c r="AC260" s="389">
        <f t="shared" si="126"/>
        <v>0</v>
      </c>
      <c r="AD260" s="5"/>
      <c r="AE260" s="5"/>
      <c r="AF260" s="5"/>
      <c r="AG260" s="5"/>
      <c r="AH260" s="5"/>
      <c r="AI260" s="5"/>
      <c r="AJ260" s="5"/>
      <c r="AK260" s="5"/>
      <c r="AL260" s="5"/>
      <c r="AM260" s="5"/>
      <c r="AN260" s="5"/>
      <c r="AO260" s="5"/>
      <c r="AP260" s="5"/>
      <c r="AQ260" s="5"/>
      <c r="AR260" s="5"/>
      <c r="AS260" s="5"/>
      <c r="AT260" s="20"/>
      <c r="AU260" s="1182"/>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81"/>
      <c r="E261" s="389">
        <f t="shared" si="123"/>
        <v>0</v>
      </c>
      <c r="F261" s="20"/>
      <c r="G261" s="3890">
        <f t="shared" si="124"/>
        <v>0</v>
      </c>
      <c r="H261" s="1282">
        <f t="shared" si="125"/>
        <v>0</v>
      </c>
      <c r="I261" s="3891"/>
      <c r="J261" s="3891"/>
      <c r="K261" s="3891"/>
      <c r="L261" s="3891"/>
      <c r="M261" s="3891"/>
      <c r="N261" s="3891"/>
      <c r="O261" s="3891"/>
      <c r="P261" s="3891"/>
      <c r="Q261" s="3891"/>
      <c r="R261" s="3891"/>
      <c r="S261" s="3891"/>
      <c r="T261" s="3891"/>
      <c r="U261" s="3891"/>
      <c r="V261" s="3891"/>
      <c r="W261" s="3891"/>
      <c r="X261" s="3891"/>
      <c r="Y261" s="3891"/>
      <c r="Z261" s="3891"/>
      <c r="AA261" s="3891"/>
      <c r="AB261" s="3891"/>
      <c r="AC261" s="389">
        <f t="shared" si="126"/>
        <v>0</v>
      </c>
      <c r="AD261" s="5"/>
      <c r="AE261" s="5"/>
      <c r="AF261" s="5"/>
      <c r="AG261" s="5"/>
      <c r="AH261" s="5"/>
      <c r="AI261" s="5"/>
      <c r="AJ261" s="5"/>
      <c r="AK261" s="5"/>
      <c r="AL261" s="5"/>
      <c r="AM261" s="5"/>
      <c r="AN261" s="5"/>
      <c r="AO261" s="5"/>
      <c r="AP261" s="5"/>
      <c r="AQ261" s="5"/>
      <c r="AR261" s="5"/>
      <c r="AS261" s="5"/>
      <c r="AT261" s="20"/>
      <c r="AU261" s="1182"/>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81"/>
      <c r="E262" s="389">
        <f t="shared" si="123"/>
        <v>0</v>
      </c>
      <c r="F262" s="20"/>
      <c r="G262" s="3890">
        <f t="shared" si="124"/>
        <v>0</v>
      </c>
      <c r="H262" s="1282">
        <f t="shared" si="125"/>
        <v>0</v>
      </c>
      <c r="I262" s="3891"/>
      <c r="J262" s="3891"/>
      <c r="K262" s="3891"/>
      <c r="L262" s="3891"/>
      <c r="M262" s="3891"/>
      <c r="N262" s="3891"/>
      <c r="O262" s="3891"/>
      <c r="P262" s="3891"/>
      <c r="Q262" s="3891"/>
      <c r="R262" s="3891"/>
      <c r="S262" s="3891"/>
      <c r="T262" s="3891"/>
      <c r="U262" s="3891"/>
      <c r="V262" s="3891"/>
      <c r="W262" s="3891"/>
      <c r="X262" s="3891"/>
      <c r="Y262" s="3891"/>
      <c r="Z262" s="3891"/>
      <c r="AA262" s="3891"/>
      <c r="AB262" s="3891"/>
      <c r="AC262" s="389">
        <f t="shared" si="126"/>
        <v>0</v>
      </c>
      <c r="AD262" s="5"/>
      <c r="AE262" s="5"/>
      <c r="AF262" s="5"/>
      <c r="AG262" s="5"/>
      <c r="AH262" s="5"/>
      <c r="AI262" s="5"/>
      <c r="AJ262" s="5"/>
      <c r="AK262" s="5"/>
      <c r="AL262" s="5"/>
      <c r="AM262" s="5"/>
      <c r="AN262" s="5"/>
      <c r="AO262" s="5"/>
      <c r="AP262" s="5"/>
      <c r="AQ262" s="5"/>
      <c r="AR262" s="5"/>
      <c r="AS262" s="5"/>
      <c r="AT262" s="20"/>
      <c r="AU262" s="1182"/>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81"/>
      <c r="E263" s="389">
        <f t="shared" si="123"/>
        <v>0</v>
      </c>
      <c r="F263" s="20"/>
      <c r="G263" s="3890">
        <f t="shared" si="124"/>
        <v>0</v>
      </c>
      <c r="H263" s="1282">
        <f t="shared" si="125"/>
        <v>0</v>
      </c>
      <c r="I263" s="3891"/>
      <c r="J263" s="3891"/>
      <c r="K263" s="3891"/>
      <c r="L263" s="3891"/>
      <c r="M263" s="3891"/>
      <c r="N263" s="3891"/>
      <c r="O263" s="3891"/>
      <c r="P263" s="3891"/>
      <c r="Q263" s="3891"/>
      <c r="R263" s="3891"/>
      <c r="S263" s="3891"/>
      <c r="T263" s="3891"/>
      <c r="U263" s="3891"/>
      <c r="V263" s="3891"/>
      <c r="W263" s="3891"/>
      <c r="X263" s="3891"/>
      <c r="Y263" s="3891"/>
      <c r="Z263" s="3891"/>
      <c r="AA263" s="3891"/>
      <c r="AB263" s="3891"/>
      <c r="AC263" s="389">
        <f t="shared" si="126"/>
        <v>0</v>
      </c>
      <c r="AD263" s="5"/>
      <c r="AE263" s="5"/>
      <c r="AF263" s="5"/>
      <c r="AG263" s="5"/>
      <c r="AH263" s="5"/>
      <c r="AI263" s="5"/>
      <c r="AJ263" s="5"/>
      <c r="AK263" s="5"/>
      <c r="AL263" s="5"/>
      <c r="AM263" s="5"/>
      <c r="AN263" s="5"/>
      <c r="AO263" s="5"/>
      <c r="AP263" s="5"/>
      <c r="AQ263" s="5"/>
      <c r="AR263" s="5"/>
      <c r="AS263" s="5"/>
      <c r="AT263" s="20"/>
      <c r="AU263" s="1182"/>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81"/>
      <c r="E264" s="389">
        <f t="shared" si="123"/>
        <v>0</v>
      </c>
      <c r="F264" s="20"/>
      <c r="G264" s="3890">
        <f t="shared" si="124"/>
        <v>0</v>
      </c>
      <c r="H264" s="1282">
        <f t="shared" si="125"/>
        <v>0</v>
      </c>
      <c r="I264" s="3891"/>
      <c r="J264" s="3891"/>
      <c r="K264" s="3891"/>
      <c r="L264" s="3891"/>
      <c r="M264" s="3891"/>
      <c r="N264" s="3891"/>
      <c r="O264" s="3891"/>
      <c r="P264" s="3891"/>
      <c r="Q264" s="3891"/>
      <c r="R264" s="3891"/>
      <c r="S264" s="3891"/>
      <c r="T264" s="3891"/>
      <c r="U264" s="3891"/>
      <c r="V264" s="3891"/>
      <c r="W264" s="3891"/>
      <c r="X264" s="3891"/>
      <c r="Y264" s="3891"/>
      <c r="Z264" s="3891"/>
      <c r="AA264" s="3891"/>
      <c r="AB264" s="3891"/>
      <c r="AC264" s="389">
        <f t="shared" si="126"/>
        <v>0</v>
      </c>
      <c r="AD264" s="5"/>
      <c r="AE264" s="5"/>
      <c r="AF264" s="5"/>
      <c r="AG264" s="5"/>
      <c r="AH264" s="5"/>
      <c r="AI264" s="5"/>
      <c r="AJ264" s="5"/>
      <c r="AK264" s="5"/>
      <c r="AL264" s="5"/>
      <c r="AM264" s="5"/>
      <c r="AN264" s="5"/>
      <c r="AO264" s="5"/>
      <c r="AP264" s="5"/>
      <c r="AQ264" s="5"/>
      <c r="AR264" s="5"/>
      <c r="AS264" s="5"/>
      <c r="AT264" s="20"/>
      <c r="AU264" s="1182"/>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81"/>
      <c r="E265" s="389">
        <f t="shared" si="123"/>
        <v>0</v>
      </c>
      <c r="F265" s="20"/>
      <c r="G265" s="3890">
        <f t="shared" si="124"/>
        <v>0</v>
      </c>
      <c r="H265" s="1282">
        <f t="shared" si="125"/>
        <v>0</v>
      </c>
      <c r="I265" s="3891"/>
      <c r="J265" s="3891"/>
      <c r="K265" s="3891"/>
      <c r="L265" s="3891"/>
      <c r="M265" s="3891"/>
      <c r="N265" s="3891"/>
      <c r="O265" s="3891"/>
      <c r="P265" s="3891"/>
      <c r="Q265" s="3891"/>
      <c r="R265" s="3891"/>
      <c r="S265" s="3891"/>
      <c r="T265" s="3891"/>
      <c r="U265" s="3891"/>
      <c r="V265" s="3891"/>
      <c r="W265" s="3891"/>
      <c r="X265" s="3891"/>
      <c r="Y265" s="3891"/>
      <c r="Z265" s="3891"/>
      <c r="AA265" s="3891"/>
      <c r="AB265" s="3891"/>
      <c r="AC265" s="389">
        <f t="shared" si="126"/>
        <v>0</v>
      </c>
      <c r="AD265" s="5"/>
      <c r="AE265" s="5"/>
      <c r="AF265" s="5"/>
      <c r="AG265" s="5"/>
      <c r="AH265" s="5"/>
      <c r="AI265" s="5"/>
      <c r="AJ265" s="5"/>
      <c r="AK265" s="5"/>
      <c r="AL265" s="5"/>
      <c r="AM265" s="5"/>
      <c r="AN265" s="5"/>
      <c r="AO265" s="5"/>
      <c r="AP265" s="5"/>
      <c r="AQ265" s="5"/>
      <c r="AR265" s="5"/>
      <c r="AS265" s="5"/>
      <c r="AT265" s="20"/>
      <c r="AU265" s="1182"/>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81"/>
      <c r="E266" s="389">
        <f t="shared" si="123"/>
        <v>0</v>
      </c>
      <c r="F266" s="20"/>
      <c r="G266" s="3890">
        <f t="shared" si="124"/>
        <v>0</v>
      </c>
      <c r="H266" s="1282">
        <f t="shared" si="125"/>
        <v>0</v>
      </c>
      <c r="I266" s="3891"/>
      <c r="J266" s="3891"/>
      <c r="K266" s="3891"/>
      <c r="L266" s="3891"/>
      <c r="M266" s="3891"/>
      <c r="N266" s="3891"/>
      <c r="O266" s="3891"/>
      <c r="P266" s="3891"/>
      <c r="Q266" s="3891"/>
      <c r="R266" s="3891"/>
      <c r="S266" s="3891"/>
      <c r="T266" s="3891"/>
      <c r="U266" s="3891"/>
      <c r="V266" s="3891"/>
      <c r="W266" s="3891"/>
      <c r="X266" s="3891"/>
      <c r="Y266" s="3891"/>
      <c r="Z266" s="3891"/>
      <c r="AA266" s="3891"/>
      <c r="AB266" s="3891"/>
      <c r="AC266" s="389">
        <f t="shared" si="126"/>
        <v>0</v>
      </c>
      <c r="AD266" s="5"/>
      <c r="AE266" s="5"/>
      <c r="AF266" s="5"/>
      <c r="AG266" s="5"/>
      <c r="AH266" s="5"/>
      <c r="AI266" s="5"/>
      <c r="AJ266" s="5"/>
      <c r="AK266" s="5"/>
      <c r="AL266" s="5"/>
      <c r="AM266" s="5"/>
      <c r="AN266" s="5"/>
      <c r="AO266" s="5"/>
      <c r="AP266" s="5"/>
      <c r="AQ266" s="5"/>
      <c r="AR266" s="5"/>
      <c r="AS266" s="5"/>
      <c r="AT266" s="20"/>
      <c r="AU266" s="1182"/>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81"/>
      <c r="E267" s="389">
        <f t="shared" si="123"/>
        <v>0</v>
      </c>
      <c r="F267" s="20"/>
      <c r="G267" s="3890">
        <f t="shared" si="124"/>
        <v>0</v>
      </c>
      <c r="H267" s="1282">
        <f t="shared" si="125"/>
        <v>0</v>
      </c>
      <c r="I267" s="3891"/>
      <c r="J267" s="3891"/>
      <c r="K267" s="3891"/>
      <c r="L267" s="3891"/>
      <c r="M267" s="3891"/>
      <c r="N267" s="3891"/>
      <c r="O267" s="3891"/>
      <c r="P267" s="3891"/>
      <c r="Q267" s="3891"/>
      <c r="R267" s="3891"/>
      <c r="S267" s="3891"/>
      <c r="T267" s="3891"/>
      <c r="U267" s="3891"/>
      <c r="V267" s="3891"/>
      <c r="W267" s="3891"/>
      <c r="X267" s="3891"/>
      <c r="Y267" s="3891"/>
      <c r="Z267" s="3891"/>
      <c r="AA267" s="3891"/>
      <c r="AB267" s="3891"/>
      <c r="AC267" s="389">
        <f t="shared" si="126"/>
        <v>0</v>
      </c>
      <c r="AD267" s="5"/>
      <c r="AE267" s="5"/>
      <c r="AF267" s="5"/>
      <c r="AG267" s="5"/>
      <c r="AH267" s="5"/>
      <c r="AI267" s="5"/>
      <c r="AJ267" s="5"/>
      <c r="AK267" s="5"/>
      <c r="AL267" s="5"/>
      <c r="AM267" s="5"/>
      <c r="AN267" s="5"/>
      <c r="AO267" s="5"/>
      <c r="AP267" s="5"/>
      <c r="AQ267" s="5"/>
      <c r="AR267" s="5"/>
      <c r="AS267" s="5"/>
      <c r="AT267" s="20"/>
      <c r="AU267" s="1182"/>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81"/>
      <c r="E268" s="389">
        <f t="shared" si="123"/>
        <v>0</v>
      </c>
      <c r="F268" s="20"/>
      <c r="G268" s="3890">
        <f t="shared" si="124"/>
        <v>0</v>
      </c>
      <c r="H268" s="1282">
        <f t="shared" si="125"/>
        <v>0</v>
      </c>
      <c r="I268" s="3891"/>
      <c r="J268" s="3891"/>
      <c r="K268" s="3891"/>
      <c r="L268" s="3891"/>
      <c r="M268" s="3891"/>
      <c r="N268" s="3891"/>
      <c r="O268" s="3891"/>
      <c r="P268" s="3891"/>
      <c r="Q268" s="3891"/>
      <c r="R268" s="3891"/>
      <c r="S268" s="3891"/>
      <c r="T268" s="3891"/>
      <c r="U268" s="3891"/>
      <c r="V268" s="3891"/>
      <c r="W268" s="3891"/>
      <c r="X268" s="3891"/>
      <c r="Y268" s="3891"/>
      <c r="Z268" s="3891"/>
      <c r="AA268" s="3891"/>
      <c r="AB268" s="3891"/>
      <c r="AC268" s="389">
        <f t="shared" si="126"/>
        <v>0</v>
      </c>
      <c r="AD268" s="5"/>
      <c r="AE268" s="5"/>
      <c r="AF268" s="5"/>
      <c r="AG268" s="5"/>
      <c r="AH268" s="5"/>
      <c r="AI268" s="5"/>
      <c r="AJ268" s="5"/>
      <c r="AK268" s="5"/>
      <c r="AL268" s="5"/>
      <c r="AM268" s="5"/>
      <c r="AN268" s="5"/>
      <c r="AO268" s="5"/>
      <c r="AP268" s="5"/>
      <c r="AQ268" s="5"/>
      <c r="AR268" s="5"/>
      <c r="AS268" s="5"/>
      <c r="AT268" s="20"/>
      <c r="AU268" s="1182"/>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81"/>
      <c r="E269" s="389">
        <f t="shared" si="123"/>
        <v>0</v>
      </c>
      <c r="F269" s="20"/>
      <c r="G269" s="3890">
        <f t="shared" si="124"/>
        <v>0</v>
      </c>
      <c r="H269" s="1282">
        <f t="shared" si="125"/>
        <v>0</v>
      </c>
      <c r="I269" s="3891"/>
      <c r="J269" s="3891"/>
      <c r="K269" s="3891"/>
      <c r="L269" s="3891"/>
      <c r="M269" s="3891"/>
      <c r="N269" s="3891"/>
      <c r="O269" s="3891"/>
      <c r="P269" s="3891"/>
      <c r="Q269" s="3891"/>
      <c r="R269" s="3891"/>
      <c r="S269" s="3891"/>
      <c r="T269" s="3891"/>
      <c r="U269" s="3891"/>
      <c r="V269" s="3891"/>
      <c r="W269" s="3891"/>
      <c r="X269" s="3891"/>
      <c r="Y269" s="3891"/>
      <c r="Z269" s="3891"/>
      <c r="AA269" s="3891"/>
      <c r="AB269" s="3891"/>
      <c r="AC269" s="389">
        <f t="shared" si="126"/>
        <v>0</v>
      </c>
      <c r="AD269" s="5"/>
      <c r="AE269" s="5"/>
      <c r="AF269" s="5"/>
      <c r="AG269" s="5"/>
      <c r="AH269" s="5"/>
      <c r="AI269" s="5"/>
      <c r="AJ269" s="5"/>
      <c r="AK269" s="5"/>
      <c r="AL269" s="5"/>
      <c r="AM269" s="5"/>
      <c r="AN269" s="5"/>
      <c r="AO269" s="5"/>
      <c r="AP269" s="5"/>
      <c r="AQ269" s="5"/>
      <c r="AR269" s="5"/>
      <c r="AS269" s="5"/>
      <c r="AT269" s="20"/>
      <c r="AU269" s="1182"/>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81"/>
      <c r="E270" s="389">
        <f t="shared" si="123"/>
        <v>0</v>
      </c>
      <c r="F270" s="20"/>
      <c r="G270" s="3890">
        <f t="shared" si="124"/>
        <v>0</v>
      </c>
      <c r="H270" s="1282">
        <f t="shared" si="125"/>
        <v>0</v>
      </c>
      <c r="I270" s="3891"/>
      <c r="J270" s="3891"/>
      <c r="K270" s="3891"/>
      <c r="L270" s="3891"/>
      <c r="M270" s="3891"/>
      <c r="N270" s="3891"/>
      <c r="O270" s="3891"/>
      <c r="P270" s="3891"/>
      <c r="Q270" s="3891"/>
      <c r="R270" s="3891"/>
      <c r="S270" s="3891"/>
      <c r="T270" s="3891"/>
      <c r="U270" s="3891"/>
      <c r="V270" s="3891"/>
      <c r="W270" s="3891"/>
      <c r="X270" s="3891"/>
      <c r="Y270" s="3891"/>
      <c r="Z270" s="3891"/>
      <c r="AA270" s="3891"/>
      <c r="AB270" s="3891"/>
      <c r="AC270" s="389">
        <f t="shared" si="126"/>
        <v>0</v>
      </c>
      <c r="AD270" s="5"/>
      <c r="AE270" s="5"/>
      <c r="AF270" s="5"/>
      <c r="AG270" s="5"/>
      <c r="AH270" s="5"/>
      <c r="AI270" s="5"/>
      <c r="AJ270" s="5"/>
      <c r="AK270" s="5"/>
      <c r="AL270" s="5"/>
      <c r="AM270" s="5"/>
      <c r="AN270" s="5"/>
      <c r="AO270" s="5"/>
      <c r="AP270" s="5"/>
      <c r="AQ270" s="5"/>
      <c r="AR270" s="5"/>
      <c r="AS270" s="5"/>
      <c r="AT270" s="20"/>
      <c r="AU270" s="1182"/>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81"/>
      <c r="E271" s="389">
        <f t="shared" si="123"/>
        <v>0</v>
      </c>
      <c r="F271" s="20"/>
      <c r="G271" s="3890">
        <f t="shared" si="124"/>
        <v>0</v>
      </c>
      <c r="H271" s="1282">
        <f t="shared" si="125"/>
        <v>0</v>
      </c>
      <c r="I271" s="3891"/>
      <c r="J271" s="3891"/>
      <c r="K271" s="3891"/>
      <c r="L271" s="3891"/>
      <c r="M271" s="3891"/>
      <c r="N271" s="3891"/>
      <c r="O271" s="3891"/>
      <c r="P271" s="3891"/>
      <c r="Q271" s="3891"/>
      <c r="R271" s="3891"/>
      <c r="S271" s="3891"/>
      <c r="T271" s="3891"/>
      <c r="U271" s="3891"/>
      <c r="V271" s="3891"/>
      <c r="W271" s="3891"/>
      <c r="X271" s="3891"/>
      <c r="Y271" s="3891"/>
      <c r="Z271" s="3891"/>
      <c r="AA271" s="3891"/>
      <c r="AB271" s="3891"/>
      <c r="AC271" s="389">
        <f t="shared" si="126"/>
        <v>0</v>
      </c>
      <c r="AD271" s="5"/>
      <c r="AE271" s="5"/>
      <c r="AF271" s="5"/>
      <c r="AG271" s="5"/>
      <c r="AH271" s="5"/>
      <c r="AI271" s="5"/>
      <c r="AJ271" s="5"/>
      <c r="AK271" s="5"/>
      <c r="AL271" s="5"/>
      <c r="AM271" s="5"/>
      <c r="AN271" s="5"/>
      <c r="AO271" s="5"/>
      <c r="AP271" s="5"/>
      <c r="AQ271" s="5"/>
      <c r="AR271" s="5"/>
      <c r="AS271" s="5"/>
      <c r="AT271" s="20"/>
      <c r="AU271" s="1182"/>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81"/>
      <c r="E272" s="389">
        <f t="shared" si="123"/>
        <v>0</v>
      </c>
      <c r="F272" s="20"/>
      <c r="G272" s="3890">
        <f t="shared" si="124"/>
        <v>0</v>
      </c>
      <c r="H272" s="1282">
        <f t="shared" si="125"/>
        <v>0</v>
      </c>
      <c r="I272" s="3891"/>
      <c r="J272" s="3891"/>
      <c r="K272" s="3891"/>
      <c r="L272" s="3891"/>
      <c r="M272" s="3891"/>
      <c r="N272" s="3891"/>
      <c r="O272" s="3891"/>
      <c r="P272" s="3891"/>
      <c r="Q272" s="3891"/>
      <c r="R272" s="3891"/>
      <c r="S272" s="3891"/>
      <c r="T272" s="3891"/>
      <c r="U272" s="3891"/>
      <c r="V272" s="3891"/>
      <c r="W272" s="3891"/>
      <c r="X272" s="3891"/>
      <c r="Y272" s="3891"/>
      <c r="Z272" s="3891"/>
      <c r="AA272" s="3891"/>
      <c r="AB272" s="3891"/>
      <c r="AC272" s="389">
        <f t="shared" si="126"/>
        <v>0</v>
      </c>
      <c r="AD272" s="5"/>
      <c r="AE272" s="5"/>
      <c r="AF272" s="5"/>
      <c r="AG272" s="5"/>
      <c r="AH272" s="5"/>
      <c r="AI272" s="5"/>
      <c r="AJ272" s="5"/>
      <c r="AK272" s="5"/>
      <c r="AL272" s="5"/>
      <c r="AM272" s="5"/>
      <c r="AN272" s="5"/>
      <c r="AO272" s="5"/>
      <c r="AP272" s="5"/>
      <c r="AQ272" s="5"/>
      <c r="AR272" s="5"/>
      <c r="AS272" s="5"/>
      <c r="AT272" s="20"/>
      <c r="AU272" s="1182"/>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81"/>
      <c r="E273" s="389">
        <f t="shared" si="123"/>
        <v>0</v>
      </c>
      <c r="F273" s="20"/>
      <c r="G273" s="3890">
        <f t="shared" si="124"/>
        <v>0</v>
      </c>
      <c r="H273" s="1282">
        <f t="shared" si="125"/>
        <v>0</v>
      </c>
      <c r="I273" s="3891"/>
      <c r="J273" s="3891"/>
      <c r="K273" s="3891"/>
      <c r="L273" s="3891"/>
      <c r="M273" s="3891"/>
      <c r="N273" s="3891"/>
      <c r="O273" s="3891"/>
      <c r="P273" s="3891"/>
      <c r="Q273" s="3891"/>
      <c r="R273" s="3891"/>
      <c r="S273" s="3891"/>
      <c r="T273" s="3891"/>
      <c r="U273" s="3891"/>
      <c r="V273" s="3891"/>
      <c r="W273" s="3891"/>
      <c r="X273" s="3891"/>
      <c r="Y273" s="3891"/>
      <c r="Z273" s="3891"/>
      <c r="AA273" s="3891"/>
      <c r="AB273" s="3891"/>
      <c r="AC273" s="389">
        <f t="shared" si="126"/>
        <v>0</v>
      </c>
      <c r="AD273" s="5"/>
      <c r="AE273" s="5"/>
      <c r="AF273" s="5"/>
      <c r="AG273" s="5"/>
      <c r="AH273" s="5"/>
      <c r="AI273" s="5"/>
      <c r="AJ273" s="5"/>
      <c r="AK273" s="5"/>
      <c r="AL273" s="5"/>
      <c r="AM273" s="5"/>
      <c r="AN273" s="5"/>
      <c r="AO273" s="5"/>
      <c r="AP273" s="5"/>
      <c r="AQ273" s="5"/>
      <c r="AR273" s="5"/>
      <c r="AS273" s="5"/>
      <c r="AT273" s="20"/>
      <c r="AU273" s="1182"/>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81"/>
      <c r="E274" s="389">
        <f t="shared" si="123"/>
        <v>0</v>
      </c>
      <c r="F274" s="20"/>
      <c r="G274" s="3890">
        <f t="shared" si="124"/>
        <v>0</v>
      </c>
      <c r="H274" s="1282">
        <f t="shared" si="125"/>
        <v>0</v>
      </c>
      <c r="I274" s="3891"/>
      <c r="J274" s="3891"/>
      <c r="K274" s="3891"/>
      <c r="L274" s="3891"/>
      <c r="M274" s="3891"/>
      <c r="N274" s="3891"/>
      <c r="O274" s="3891"/>
      <c r="P274" s="3891"/>
      <c r="Q274" s="3891"/>
      <c r="R274" s="3891"/>
      <c r="S274" s="3891"/>
      <c r="T274" s="3891"/>
      <c r="U274" s="3891"/>
      <c r="V274" s="3891"/>
      <c r="W274" s="3891"/>
      <c r="X274" s="3891"/>
      <c r="Y274" s="3891"/>
      <c r="Z274" s="3891"/>
      <c r="AA274" s="3891"/>
      <c r="AB274" s="3891"/>
      <c r="AC274" s="389">
        <f t="shared" si="126"/>
        <v>0</v>
      </c>
      <c r="AD274" s="5"/>
      <c r="AE274" s="5"/>
      <c r="AF274" s="5"/>
      <c r="AG274" s="5"/>
      <c r="AH274" s="5"/>
      <c r="AI274" s="5"/>
      <c r="AJ274" s="5"/>
      <c r="AK274" s="5"/>
      <c r="AL274" s="5"/>
      <c r="AM274" s="5"/>
      <c r="AN274" s="5"/>
      <c r="AO274" s="5"/>
      <c r="AP274" s="5"/>
      <c r="AQ274" s="5"/>
      <c r="AR274" s="5"/>
      <c r="AS274" s="5"/>
      <c r="AT274" s="20"/>
      <c r="AU274" s="1182"/>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81"/>
      <c r="E275" s="389">
        <f t="shared" si="123"/>
        <v>0</v>
      </c>
      <c r="F275" s="20"/>
      <c r="G275" s="3890">
        <f t="shared" si="124"/>
        <v>0</v>
      </c>
      <c r="H275" s="1282">
        <f t="shared" si="125"/>
        <v>0</v>
      </c>
      <c r="I275" s="3891"/>
      <c r="J275" s="3891"/>
      <c r="K275" s="3891"/>
      <c r="L275" s="3891"/>
      <c r="M275" s="3891"/>
      <c r="N275" s="3891"/>
      <c r="O275" s="3891"/>
      <c r="P275" s="3891"/>
      <c r="Q275" s="3891"/>
      <c r="R275" s="3891"/>
      <c r="S275" s="3891"/>
      <c r="T275" s="3891"/>
      <c r="U275" s="3891"/>
      <c r="V275" s="3891"/>
      <c r="W275" s="3891"/>
      <c r="X275" s="3891"/>
      <c r="Y275" s="3891"/>
      <c r="Z275" s="3891"/>
      <c r="AA275" s="3891"/>
      <c r="AB275" s="3891"/>
      <c r="AC275" s="389">
        <f t="shared" si="126"/>
        <v>0</v>
      </c>
      <c r="AD275" s="5"/>
      <c r="AE275" s="5"/>
      <c r="AF275" s="5"/>
      <c r="AG275" s="5"/>
      <c r="AH275" s="5"/>
      <c r="AI275" s="5"/>
      <c r="AJ275" s="5"/>
      <c r="AK275" s="5"/>
      <c r="AL275" s="5"/>
      <c r="AM275" s="5"/>
      <c r="AN275" s="5"/>
      <c r="AO275" s="5"/>
      <c r="AP275" s="5"/>
      <c r="AQ275" s="5"/>
      <c r="AR275" s="5"/>
      <c r="AS275" s="5"/>
      <c r="AT275" s="20"/>
      <c r="AU275" s="1182"/>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81"/>
      <c r="E276" s="389">
        <f t="shared" si="123"/>
        <v>0</v>
      </c>
      <c r="F276" s="20"/>
      <c r="G276" s="3890">
        <f t="shared" si="124"/>
        <v>0</v>
      </c>
      <c r="H276" s="1282">
        <f t="shared" si="125"/>
        <v>0</v>
      </c>
      <c r="I276" s="3891"/>
      <c r="J276" s="3891"/>
      <c r="K276" s="3891"/>
      <c r="L276" s="3891"/>
      <c r="M276" s="3891"/>
      <c r="N276" s="3891"/>
      <c r="O276" s="3891"/>
      <c r="P276" s="3891"/>
      <c r="Q276" s="3891"/>
      <c r="R276" s="3891"/>
      <c r="S276" s="3891"/>
      <c r="T276" s="3891"/>
      <c r="U276" s="3891"/>
      <c r="V276" s="3891"/>
      <c r="W276" s="3891"/>
      <c r="X276" s="3891"/>
      <c r="Y276" s="3891"/>
      <c r="Z276" s="3891"/>
      <c r="AA276" s="3891"/>
      <c r="AB276" s="3891"/>
      <c r="AC276" s="389">
        <f t="shared" si="126"/>
        <v>0</v>
      </c>
      <c r="AD276" s="5"/>
      <c r="AE276" s="5"/>
      <c r="AF276" s="5"/>
      <c r="AG276" s="5"/>
      <c r="AH276" s="5"/>
      <c r="AI276" s="5"/>
      <c r="AJ276" s="5"/>
      <c r="AK276" s="5"/>
      <c r="AL276" s="5"/>
      <c r="AM276" s="5"/>
      <c r="AN276" s="5"/>
      <c r="AO276" s="5"/>
      <c r="AP276" s="5"/>
      <c r="AQ276" s="5"/>
      <c r="AR276" s="5"/>
      <c r="AS276" s="5"/>
      <c r="AT276" s="20"/>
      <c r="AU276" s="1182"/>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81"/>
      <c r="E277" s="389">
        <f t="shared" si="123"/>
        <v>0</v>
      </c>
      <c r="F277" s="20"/>
      <c r="G277" s="3890">
        <f t="shared" si="124"/>
        <v>0</v>
      </c>
      <c r="H277" s="1282">
        <f t="shared" si="125"/>
        <v>0</v>
      </c>
      <c r="I277" s="3891"/>
      <c r="J277" s="3891"/>
      <c r="K277" s="3891"/>
      <c r="L277" s="3891"/>
      <c r="M277" s="3891"/>
      <c r="N277" s="3891"/>
      <c r="O277" s="3891"/>
      <c r="P277" s="3891"/>
      <c r="Q277" s="3891"/>
      <c r="R277" s="3891"/>
      <c r="S277" s="3891"/>
      <c r="T277" s="3891"/>
      <c r="U277" s="3891"/>
      <c r="V277" s="3891"/>
      <c r="W277" s="3891"/>
      <c r="X277" s="3891"/>
      <c r="Y277" s="3891"/>
      <c r="Z277" s="3891"/>
      <c r="AA277" s="3891"/>
      <c r="AB277" s="3891"/>
      <c r="AC277" s="389">
        <f t="shared" si="126"/>
        <v>0</v>
      </c>
      <c r="AD277" s="5"/>
      <c r="AE277" s="5"/>
      <c r="AF277" s="5"/>
      <c r="AG277" s="5"/>
      <c r="AH277" s="5"/>
      <c r="AI277" s="5"/>
      <c r="AJ277" s="5"/>
      <c r="AK277" s="5"/>
      <c r="AL277" s="5"/>
      <c r="AM277" s="5"/>
      <c r="AN277" s="5"/>
      <c r="AO277" s="5"/>
      <c r="AP277" s="5"/>
      <c r="AQ277" s="5"/>
      <c r="AR277" s="5"/>
      <c r="AS277" s="5"/>
      <c r="AT277" s="20"/>
      <c r="AU277" s="1182"/>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81"/>
      <c r="E278" s="389">
        <f t="shared" si="123"/>
        <v>0</v>
      </c>
      <c r="F278" s="20"/>
      <c r="G278" s="3890">
        <f t="shared" si="124"/>
        <v>0</v>
      </c>
      <c r="H278" s="1282">
        <f t="shared" si="125"/>
        <v>0</v>
      </c>
      <c r="I278" s="3891"/>
      <c r="J278" s="3891"/>
      <c r="K278" s="3891"/>
      <c r="L278" s="3891"/>
      <c r="M278" s="3891"/>
      <c r="N278" s="3891"/>
      <c r="O278" s="3891"/>
      <c r="P278" s="3891"/>
      <c r="Q278" s="3891"/>
      <c r="R278" s="3891"/>
      <c r="S278" s="3891"/>
      <c r="T278" s="3891"/>
      <c r="U278" s="3891"/>
      <c r="V278" s="3891"/>
      <c r="W278" s="3891"/>
      <c r="X278" s="3891"/>
      <c r="Y278" s="3891"/>
      <c r="Z278" s="3891"/>
      <c r="AA278" s="3891"/>
      <c r="AB278" s="3891"/>
      <c r="AC278" s="389">
        <f t="shared" si="126"/>
        <v>0</v>
      </c>
      <c r="AD278" s="5"/>
      <c r="AE278" s="5"/>
      <c r="AF278" s="5"/>
      <c r="AG278" s="5"/>
      <c r="AH278" s="5"/>
      <c r="AI278" s="5"/>
      <c r="AJ278" s="5"/>
      <c r="AK278" s="5"/>
      <c r="AL278" s="5"/>
      <c r="AM278" s="5"/>
      <c r="AN278" s="5"/>
      <c r="AO278" s="5"/>
      <c r="AP278" s="5"/>
      <c r="AQ278" s="5"/>
      <c r="AR278" s="5"/>
      <c r="AS278" s="5"/>
      <c r="AT278" s="20"/>
      <c r="AU278" s="1182"/>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81"/>
      <c r="E279" s="389">
        <f t="shared" si="123"/>
        <v>0</v>
      </c>
      <c r="F279" s="20"/>
      <c r="G279" s="3890">
        <f t="shared" si="124"/>
        <v>0</v>
      </c>
      <c r="H279" s="1282">
        <f t="shared" si="125"/>
        <v>0</v>
      </c>
      <c r="I279" s="3891"/>
      <c r="J279" s="3891"/>
      <c r="K279" s="3891"/>
      <c r="L279" s="3891"/>
      <c r="M279" s="3891"/>
      <c r="N279" s="3891"/>
      <c r="O279" s="3891"/>
      <c r="P279" s="3891"/>
      <c r="Q279" s="3891"/>
      <c r="R279" s="3891"/>
      <c r="S279" s="3891"/>
      <c r="T279" s="3891"/>
      <c r="U279" s="3891"/>
      <c r="V279" s="3891"/>
      <c r="W279" s="3891"/>
      <c r="X279" s="3891"/>
      <c r="Y279" s="3891"/>
      <c r="Z279" s="3891"/>
      <c r="AA279" s="3891"/>
      <c r="AB279" s="3891"/>
      <c r="AC279" s="389">
        <f t="shared" si="126"/>
        <v>0</v>
      </c>
      <c r="AD279" s="5"/>
      <c r="AE279" s="5"/>
      <c r="AF279" s="5"/>
      <c r="AG279" s="5"/>
      <c r="AH279" s="5"/>
      <c r="AI279" s="5"/>
      <c r="AJ279" s="5"/>
      <c r="AK279" s="5"/>
      <c r="AL279" s="5"/>
      <c r="AM279" s="5"/>
      <c r="AN279" s="5"/>
      <c r="AO279" s="5"/>
      <c r="AP279" s="5"/>
      <c r="AQ279" s="5"/>
      <c r="AR279" s="5"/>
      <c r="AS279" s="5"/>
      <c r="AT279" s="20"/>
      <c r="AU279" s="1182"/>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81"/>
      <c r="E280" s="389">
        <f t="shared" si="123"/>
        <v>0</v>
      </c>
      <c r="F280" s="20"/>
      <c r="G280" s="3890">
        <f t="shared" si="124"/>
        <v>0</v>
      </c>
      <c r="H280" s="1282">
        <f t="shared" si="125"/>
        <v>0</v>
      </c>
      <c r="I280" s="3891"/>
      <c r="J280" s="3891"/>
      <c r="K280" s="3891"/>
      <c r="L280" s="3891"/>
      <c r="M280" s="3891"/>
      <c r="N280" s="3891"/>
      <c r="O280" s="3891"/>
      <c r="P280" s="3891"/>
      <c r="Q280" s="3891"/>
      <c r="R280" s="3891"/>
      <c r="S280" s="3891"/>
      <c r="T280" s="3891"/>
      <c r="U280" s="3891"/>
      <c r="V280" s="3891"/>
      <c r="W280" s="3891"/>
      <c r="X280" s="3891"/>
      <c r="Y280" s="3891"/>
      <c r="Z280" s="3891"/>
      <c r="AA280" s="3891"/>
      <c r="AB280" s="3891"/>
      <c r="AC280" s="389">
        <f t="shared" si="126"/>
        <v>0</v>
      </c>
      <c r="AD280" s="5"/>
      <c r="AE280" s="5"/>
      <c r="AF280" s="5"/>
      <c r="AG280" s="5"/>
      <c r="AH280" s="5"/>
      <c r="AI280" s="5"/>
      <c r="AJ280" s="5"/>
      <c r="AK280" s="5"/>
      <c r="AL280" s="5"/>
      <c r="AM280" s="5"/>
      <c r="AN280" s="5"/>
      <c r="AO280" s="5"/>
      <c r="AP280" s="5"/>
      <c r="AQ280" s="5"/>
      <c r="AR280" s="5"/>
      <c r="AS280" s="5"/>
      <c r="AT280" s="20"/>
      <c r="AU280" s="1182"/>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81"/>
      <c r="E281" s="389">
        <f t="shared" si="123"/>
        <v>0</v>
      </c>
      <c r="F281" s="20"/>
      <c r="G281" s="3890">
        <f t="shared" si="124"/>
        <v>0</v>
      </c>
      <c r="H281" s="1282">
        <f t="shared" si="125"/>
        <v>0</v>
      </c>
      <c r="I281" s="3891"/>
      <c r="J281" s="3891"/>
      <c r="K281" s="3891"/>
      <c r="L281" s="3891"/>
      <c r="M281" s="3891"/>
      <c r="N281" s="3891"/>
      <c r="O281" s="3891"/>
      <c r="P281" s="3891"/>
      <c r="Q281" s="3891"/>
      <c r="R281" s="3891"/>
      <c r="S281" s="3891"/>
      <c r="T281" s="3891"/>
      <c r="U281" s="3891"/>
      <c r="V281" s="3891"/>
      <c r="W281" s="3891"/>
      <c r="X281" s="3891"/>
      <c r="Y281" s="3891"/>
      <c r="Z281" s="3891"/>
      <c r="AA281" s="3891"/>
      <c r="AB281" s="3891"/>
      <c r="AC281" s="389">
        <f t="shared" si="126"/>
        <v>0</v>
      </c>
      <c r="AD281" s="5"/>
      <c r="AE281" s="5"/>
      <c r="AF281" s="5"/>
      <c r="AG281" s="5"/>
      <c r="AH281" s="5"/>
      <c r="AI281" s="5"/>
      <c r="AJ281" s="5"/>
      <c r="AK281" s="5"/>
      <c r="AL281" s="5"/>
      <c r="AM281" s="5"/>
      <c r="AN281" s="5"/>
      <c r="AO281" s="5"/>
      <c r="AP281" s="5"/>
      <c r="AQ281" s="5"/>
      <c r="AR281" s="5"/>
      <c r="AS281" s="5"/>
      <c r="AT281" s="20"/>
      <c r="AU281" s="1182"/>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81"/>
      <c r="E282" s="389">
        <f t="shared" si="123"/>
        <v>0</v>
      </c>
      <c r="F282" s="20"/>
      <c r="G282" s="3890">
        <f t="shared" si="124"/>
        <v>0</v>
      </c>
      <c r="H282" s="1282">
        <f t="shared" si="125"/>
        <v>0</v>
      </c>
      <c r="I282" s="3891"/>
      <c r="J282" s="3891"/>
      <c r="K282" s="3891"/>
      <c r="L282" s="3891"/>
      <c r="M282" s="3891"/>
      <c r="N282" s="3891"/>
      <c r="O282" s="3891"/>
      <c r="P282" s="3891"/>
      <c r="Q282" s="3891"/>
      <c r="R282" s="3891"/>
      <c r="S282" s="3891"/>
      <c r="T282" s="3891"/>
      <c r="U282" s="3891"/>
      <c r="V282" s="3891"/>
      <c r="W282" s="3891"/>
      <c r="X282" s="3891"/>
      <c r="Y282" s="3891"/>
      <c r="Z282" s="3891"/>
      <c r="AA282" s="3891"/>
      <c r="AB282" s="3891"/>
      <c r="AC282" s="389">
        <f t="shared" si="126"/>
        <v>0</v>
      </c>
      <c r="AD282" s="5"/>
      <c r="AE282" s="5"/>
      <c r="AF282" s="5"/>
      <c r="AG282" s="5"/>
      <c r="AH282" s="5"/>
      <c r="AI282" s="5"/>
      <c r="AJ282" s="5"/>
      <c r="AK282" s="5"/>
      <c r="AL282" s="5"/>
      <c r="AM282" s="5"/>
      <c r="AN282" s="5"/>
      <c r="AO282" s="5"/>
      <c r="AP282" s="5"/>
      <c r="AQ282" s="5"/>
      <c r="AR282" s="5"/>
      <c r="AS282" s="5"/>
      <c r="AT282" s="20"/>
      <c r="AU282" s="1182"/>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81"/>
      <c r="E283" s="389">
        <f t="shared" si="123"/>
        <v>0</v>
      </c>
      <c r="F283" s="20"/>
      <c r="G283" s="3890">
        <f t="shared" si="124"/>
        <v>0</v>
      </c>
      <c r="H283" s="1282">
        <f t="shared" si="125"/>
        <v>0</v>
      </c>
      <c r="I283" s="3891"/>
      <c r="J283" s="3891"/>
      <c r="K283" s="3891"/>
      <c r="L283" s="3891"/>
      <c r="M283" s="3891"/>
      <c r="N283" s="3891"/>
      <c r="O283" s="3891"/>
      <c r="P283" s="3891"/>
      <c r="Q283" s="3891"/>
      <c r="R283" s="3891"/>
      <c r="S283" s="3891"/>
      <c r="T283" s="3891"/>
      <c r="U283" s="3891"/>
      <c r="V283" s="3891"/>
      <c r="W283" s="3891"/>
      <c r="X283" s="3891"/>
      <c r="Y283" s="3891"/>
      <c r="Z283" s="3891"/>
      <c r="AA283" s="3891"/>
      <c r="AB283" s="3891"/>
      <c r="AC283" s="389">
        <f t="shared" si="126"/>
        <v>0</v>
      </c>
      <c r="AD283" s="5"/>
      <c r="AE283" s="5"/>
      <c r="AF283" s="5"/>
      <c r="AG283" s="5"/>
      <c r="AH283" s="5"/>
      <c r="AI283" s="5"/>
      <c r="AJ283" s="5"/>
      <c r="AK283" s="5"/>
      <c r="AL283" s="5"/>
      <c r="AM283" s="5"/>
      <c r="AN283" s="5"/>
      <c r="AO283" s="5"/>
      <c r="AP283" s="5"/>
      <c r="AQ283" s="5"/>
      <c r="AR283" s="5"/>
      <c r="AS283" s="5"/>
      <c r="AT283" s="20"/>
      <c r="AU283" s="1182"/>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81"/>
      <c r="E284" s="389">
        <f t="shared" si="123"/>
        <v>0</v>
      </c>
      <c r="F284" s="20"/>
      <c r="G284" s="3890">
        <f t="shared" si="124"/>
        <v>0</v>
      </c>
      <c r="H284" s="1282">
        <f t="shared" si="125"/>
        <v>0</v>
      </c>
      <c r="I284" s="3891"/>
      <c r="J284" s="3891"/>
      <c r="K284" s="3891"/>
      <c r="L284" s="3891"/>
      <c r="M284" s="3891"/>
      <c r="N284" s="3891"/>
      <c r="O284" s="3891"/>
      <c r="P284" s="3891"/>
      <c r="Q284" s="3891"/>
      <c r="R284" s="3891"/>
      <c r="S284" s="3891"/>
      <c r="T284" s="3891"/>
      <c r="U284" s="3891"/>
      <c r="V284" s="3891"/>
      <c r="W284" s="3891"/>
      <c r="X284" s="3891"/>
      <c r="Y284" s="3891"/>
      <c r="Z284" s="3891"/>
      <c r="AA284" s="3891"/>
      <c r="AB284" s="3891"/>
      <c r="AC284" s="389">
        <f t="shared" si="126"/>
        <v>0</v>
      </c>
      <c r="AD284" s="5"/>
      <c r="AE284" s="5"/>
      <c r="AF284" s="5"/>
      <c r="AG284" s="5"/>
      <c r="AH284" s="5"/>
      <c r="AI284" s="5"/>
      <c r="AJ284" s="5"/>
      <c r="AK284" s="5"/>
      <c r="AL284" s="5"/>
      <c r="AM284" s="5"/>
      <c r="AN284" s="5"/>
      <c r="AO284" s="5"/>
      <c r="AP284" s="5"/>
      <c r="AQ284" s="5"/>
      <c r="AR284" s="5"/>
      <c r="AS284" s="5"/>
      <c r="AT284" s="20"/>
      <c r="AU284" s="1182"/>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81"/>
      <c r="E285" s="389">
        <f t="shared" si="123"/>
        <v>0</v>
      </c>
      <c r="F285" s="20"/>
      <c r="G285" s="3890">
        <f t="shared" si="124"/>
        <v>0</v>
      </c>
      <c r="H285" s="1282">
        <f t="shared" si="125"/>
        <v>0</v>
      </c>
      <c r="I285" s="3891"/>
      <c r="J285" s="3891"/>
      <c r="K285" s="3891"/>
      <c r="L285" s="3891"/>
      <c r="M285" s="3891"/>
      <c r="N285" s="3891"/>
      <c r="O285" s="3891"/>
      <c r="P285" s="3891"/>
      <c r="Q285" s="3891"/>
      <c r="R285" s="3891"/>
      <c r="S285" s="3891"/>
      <c r="T285" s="3891"/>
      <c r="U285" s="3891"/>
      <c r="V285" s="3891"/>
      <c r="W285" s="3891"/>
      <c r="X285" s="3891"/>
      <c r="Y285" s="3891"/>
      <c r="Z285" s="3891"/>
      <c r="AA285" s="3891"/>
      <c r="AB285" s="3891"/>
      <c r="AC285" s="389">
        <f t="shared" si="126"/>
        <v>0</v>
      </c>
      <c r="AD285" s="5"/>
      <c r="AE285" s="5"/>
      <c r="AF285" s="5"/>
      <c r="AG285" s="5"/>
      <c r="AH285" s="5"/>
      <c r="AI285" s="5"/>
      <c r="AJ285" s="5"/>
      <c r="AK285" s="5"/>
      <c r="AL285" s="5"/>
      <c r="AM285" s="5"/>
      <c r="AN285" s="5"/>
      <c r="AO285" s="5"/>
      <c r="AP285" s="5"/>
      <c r="AQ285" s="5"/>
      <c r="AR285" s="5"/>
      <c r="AS285" s="5"/>
      <c r="AT285" s="20"/>
      <c r="AU285" s="1182"/>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81"/>
      <c r="E286" s="389">
        <f t="shared" si="123"/>
        <v>0</v>
      </c>
      <c r="F286" s="20"/>
      <c r="G286" s="3890">
        <f t="shared" si="124"/>
        <v>0</v>
      </c>
      <c r="H286" s="1282">
        <f t="shared" si="125"/>
        <v>0</v>
      </c>
      <c r="I286" s="3891"/>
      <c r="J286" s="3891"/>
      <c r="K286" s="3891"/>
      <c r="L286" s="3891"/>
      <c r="M286" s="3891"/>
      <c r="N286" s="3891"/>
      <c r="O286" s="3891"/>
      <c r="P286" s="3891"/>
      <c r="Q286" s="3891"/>
      <c r="R286" s="3891"/>
      <c r="S286" s="3891"/>
      <c r="T286" s="3891"/>
      <c r="U286" s="3891"/>
      <c r="V286" s="3891"/>
      <c r="W286" s="3891"/>
      <c r="X286" s="3891"/>
      <c r="Y286" s="3891"/>
      <c r="Z286" s="3891"/>
      <c r="AA286" s="3891"/>
      <c r="AB286" s="3891"/>
      <c r="AC286" s="389">
        <f t="shared" si="126"/>
        <v>0</v>
      </c>
      <c r="AD286" s="5"/>
      <c r="AE286" s="5"/>
      <c r="AF286" s="5"/>
      <c r="AG286" s="5"/>
      <c r="AH286" s="5"/>
      <c r="AI286" s="5"/>
      <c r="AJ286" s="5"/>
      <c r="AK286" s="5"/>
      <c r="AL286" s="5"/>
      <c r="AM286" s="5"/>
      <c r="AN286" s="5"/>
      <c r="AO286" s="5"/>
      <c r="AP286" s="5"/>
      <c r="AQ286" s="5"/>
      <c r="AR286" s="5"/>
      <c r="AS286" s="5"/>
      <c r="AT286" s="20"/>
      <c r="AU286" s="1182"/>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81"/>
      <c r="E287" s="389">
        <f t="shared" si="123"/>
        <v>0</v>
      </c>
      <c r="F287" s="20"/>
      <c r="G287" s="3890">
        <f t="shared" si="124"/>
        <v>0</v>
      </c>
      <c r="H287" s="1282">
        <f t="shared" si="125"/>
        <v>0</v>
      </c>
      <c r="I287" s="3891"/>
      <c r="J287" s="3891"/>
      <c r="K287" s="3891"/>
      <c r="L287" s="3891"/>
      <c r="M287" s="3891"/>
      <c r="N287" s="3891"/>
      <c r="O287" s="3891"/>
      <c r="P287" s="3891"/>
      <c r="Q287" s="3891"/>
      <c r="R287" s="3891"/>
      <c r="S287" s="3891"/>
      <c r="T287" s="3891"/>
      <c r="U287" s="3891"/>
      <c r="V287" s="3891"/>
      <c r="W287" s="3891"/>
      <c r="X287" s="3891"/>
      <c r="Y287" s="3891"/>
      <c r="Z287" s="3891"/>
      <c r="AA287" s="3891"/>
      <c r="AB287" s="3891"/>
      <c r="AC287" s="389">
        <f t="shared" si="126"/>
        <v>0</v>
      </c>
      <c r="AD287" s="5"/>
      <c r="AE287" s="5"/>
      <c r="AF287" s="5"/>
      <c r="AG287" s="5"/>
      <c r="AH287" s="5"/>
      <c r="AI287" s="5"/>
      <c r="AJ287" s="5"/>
      <c r="AK287" s="5"/>
      <c r="AL287" s="5"/>
      <c r="AM287" s="5"/>
      <c r="AN287" s="5"/>
      <c r="AO287" s="5"/>
      <c r="AP287" s="5"/>
      <c r="AQ287" s="5"/>
      <c r="AR287" s="5"/>
      <c r="AS287" s="5"/>
      <c r="AT287" s="20"/>
      <c r="AU287" s="1182"/>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81"/>
      <c r="E288" s="389">
        <f t="shared" si="123"/>
        <v>0</v>
      </c>
      <c r="F288" s="20"/>
      <c r="G288" s="3890">
        <f t="shared" si="124"/>
        <v>0</v>
      </c>
      <c r="H288" s="1282">
        <f t="shared" si="125"/>
        <v>0</v>
      </c>
      <c r="I288" s="3891"/>
      <c r="J288" s="3891"/>
      <c r="K288" s="3891"/>
      <c r="L288" s="3891"/>
      <c r="M288" s="3891"/>
      <c r="N288" s="3891"/>
      <c r="O288" s="3891"/>
      <c r="P288" s="3891"/>
      <c r="Q288" s="3891"/>
      <c r="R288" s="3891"/>
      <c r="S288" s="3891"/>
      <c r="T288" s="3891"/>
      <c r="U288" s="3891"/>
      <c r="V288" s="3891"/>
      <c r="W288" s="3891"/>
      <c r="X288" s="3891"/>
      <c r="Y288" s="3891"/>
      <c r="Z288" s="3891"/>
      <c r="AA288" s="3891"/>
      <c r="AB288" s="3891"/>
      <c r="AC288" s="389">
        <f t="shared" si="126"/>
        <v>0</v>
      </c>
      <c r="AD288" s="5"/>
      <c r="AE288" s="5"/>
      <c r="AF288" s="5"/>
      <c r="AG288" s="5"/>
      <c r="AH288" s="5"/>
      <c r="AI288" s="5"/>
      <c r="AJ288" s="5"/>
      <c r="AK288" s="5"/>
      <c r="AL288" s="5"/>
      <c r="AM288" s="5"/>
      <c r="AN288" s="5"/>
      <c r="AO288" s="5"/>
      <c r="AP288" s="5"/>
      <c r="AQ288" s="5"/>
      <c r="AR288" s="5"/>
      <c r="AS288" s="5"/>
      <c r="AT288" s="20"/>
      <c r="AU288" s="1182"/>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81"/>
      <c r="E289" s="389">
        <f t="shared" si="123"/>
        <v>0</v>
      </c>
      <c r="F289" s="20"/>
      <c r="G289" s="3890">
        <f t="shared" si="124"/>
        <v>0</v>
      </c>
      <c r="H289" s="1282">
        <f t="shared" si="125"/>
        <v>0</v>
      </c>
      <c r="I289" s="3891"/>
      <c r="J289" s="3891"/>
      <c r="K289" s="3891"/>
      <c r="L289" s="3891"/>
      <c r="M289" s="3891"/>
      <c r="N289" s="3891"/>
      <c r="O289" s="3891"/>
      <c r="P289" s="3891"/>
      <c r="Q289" s="3891"/>
      <c r="R289" s="3891"/>
      <c r="S289" s="3891"/>
      <c r="T289" s="3891"/>
      <c r="U289" s="3891"/>
      <c r="V289" s="3891"/>
      <c r="W289" s="3891"/>
      <c r="X289" s="3891"/>
      <c r="Y289" s="3891"/>
      <c r="Z289" s="3891"/>
      <c r="AA289" s="3891"/>
      <c r="AB289" s="3891"/>
      <c r="AC289" s="389">
        <f t="shared" si="126"/>
        <v>0</v>
      </c>
      <c r="AD289" s="5"/>
      <c r="AE289" s="5"/>
      <c r="AF289" s="5"/>
      <c r="AG289" s="5"/>
      <c r="AH289" s="5"/>
      <c r="AI289" s="5"/>
      <c r="AJ289" s="5"/>
      <c r="AK289" s="5"/>
      <c r="AL289" s="5"/>
      <c r="AM289" s="5"/>
      <c r="AN289" s="5"/>
      <c r="AO289" s="5"/>
      <c r="AP289" s="5"/>
      <c r="AQ289" s="5"/>
      <c r="AR289" s="5"/>
      <c r="AS289" s="5"/>
      <c r="AT289" s="20"/>
      <c r="AU289" s="1182"/>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81"/>
      <c r="E290" s="389">
        <f t="shared" si="123"/>
        <v>0</v>
      </c>
      <c r="F290" s="20"/>
      <c r="G290" s="3890">
        <f t="shared" si="124"/>
        <v>0</v>
      </c>
      <c r="H290" s="1282">
        <f t="shared" si="125"/>
        <v>0</v>
      </c>
      <c r="I290" s="3891"/>
      <c r="J290" s="3891"/>
      <c r="K290" s="3891"/>
      <c r="L290" s="3891"/>
      <c r="M290" s="3891"/>
      <c r="N290" s="3891"/>
      <c r="O290" s="3891"/>
      <c r="P290" s="3891"/>
      <c r="Q290" s="3891"/>
      <c r="R290" s="3891"/>
      <c r="S290" s="3891"/>
      <c r="T290" s="3891"/>
      <c r="U290" s="3891"/>
      <c r="V290" s="3891"/>
      <c r="W290" s="3891"/>
      <c r="X290" s="3891"/>
      <c r="Y290" s="3891"/>
      <c r="Z290" s="3891"/>
      <c r="AA290" s="3891"/>
      <c r="AB290" s="3891"/>
      <c r="AC290" s="389">
        <f t="shared" si="126"/>
        <v>0</v>
      </c>
      <c r="AD290" s="5"/>
      <c r="AE290" s="5"/>
      <c r="AF290" s="5"/>
      <c r="AG290" s="5"/>
      <c r="AH290" s="5"/>
      <c r="AI290" s="5"/>
      <c r="AJ290" s="5"/>
      <c r="AK290" s="5"/>
      <c r="AL290" s="5"/>
      <c r="AM290" s="5"/>
      <c r="AN290" s="5"/>
      <c r="AO290" s="5"/>
      <c r="AP290" s="5"/>
      <c r="AQ290" s="5"/>
      <c r="AR290" s="5"/>
      <c r="AS290" s="5"/>
      <c r="AT290" s="20"/>
      <c r="AU290" s="1182"/>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81"/>
      <c r="E291" s="389">
        <f t="shared" si="123"/>
        <v>0</v>
      </c>
      <c r="F291" s="20"/>
      <c r="G291" s="3890">
        <f t="shared" si="124"/>
        <v>0</v>
      </c>
      <c r="H291" s="1282">
        <f t="shared" si="125"/>
        <v>0</v>
      </c>
      <c r="I291" s="3891"/>
      <c r="J291" s="3891"/>
      <c r="K291" s="3891"/>
      <c r="L291" s="3891"/>
      <c r="M291" s="3891"/>
      <c r="N291" s="3891"/>
      <c r="O291" s="3891"/>
      <c r="P291" s="3891"/>
      <c r="Q291" s="3891"/>
      <c r="R291" s="3891"/>
      <c r="S291" s="3891"/>
      <c r="T291" s="3891"/>
      <c r="U291" s="3891"/>
      <c r="V291" s="3891"/>
      <c r="W291" s="3891"/>
      <c r="X291" s="3891"/>
      <c r="Y291" s="3891"/>
      <c r="Z291" s="3891"/>
      <c r="AA291" s="3891"/>
      <c r="AB291" s="3891"/>
      <c r="AC291" s="389">
        <f t="shared" si="126"/>
        <v>0</v>
      </c>
      <c r="AD291" s="5"/>
      <c r="AE291" s="5"/>
      <c r="AF291" s="5"/>
      <c r="AG291" s="5"/>
      <c r="AH291" s="5"/>
      <c r="AI291" s="5"/>
      <c r="AJ291" s="5"/>
      <c r="AK291" s="5"/>
      <c r="AL291" s="5"/>
      <c r="AM291" s="5"/>
      <c r="AN291" s="5"/>
      <c r="AO291" s="5"/>
      <c r="AP291" s="5"/>
      <c r="AQ291" s="5"/>
      <c r="AR291" s="5"/>
      <c r="AS291" s="5"/>
      <c r="AT291" s="20"/>
      <c r="AU291" s="1182"/>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81"/>
      <c r="E292" s="389">
        <f t="shared" si="123"/>
        <v>0</v>
      </c>
      <c r="F292" s="20"/>
      <c r="G292" s="3890">
        <f t="shared" si="124"/>
        <v>0</v>
      </c>
      <c r="H292" s="1282">
        <f t="shared" si="125"/>
        <v>0</v>
      </c>
      <c r="I292" s="3891"/>
      <c r="J292" s="3891"/>
      <c r="K292" s="3891"/>
      <c r="L292" s="3891"/>
      <c r="M292" s="3891"/>
      <c r="N292" s="3891"/>
      <c r="O292" s="3891"/>
      <c r="P292" s="3891"/>
      <c r="Q292" s="3891"/>
      <c r="R292" s="3891"/>
      <c r="S292" s="3891"/>
      <c r="T292" s="3891"/>
      <c r="U292" s="3891"/>
      <c r="V292" s="3891"/>
      <c r="W292" s="3891"/>
      <c r="X292" s="3891"/>
      <c r="Y292" s="3891"/>
      <c r="Z292" s="3891"/>
      <c r="AA292" s="3891"/>
      <c r="AB292" s="3891"/>
      <c r="AC292" s="389">
        <f t="shared" si="126"/>
        <v>0</v>
      </c>
      <c r="AD292" s="5"/>
      <c r="AE292" s="5"/>
      <c r="AF292" s="5"/>
      <c r="AG292" s="5"/>
      <c r="AH292" s="5"/>
      <c r="AI292" s="5"/>
      <c r="AJ292" s="5"/>
      <c r="AK292" s="5"/>
      <c r="AL292" s="5"/>
      <c r="AM292" s="5"/>
      <c r="AN292" s="5"/>
      <c r="AO292" s="5"/>
      <c r="AP292" s="5"/>
      <c r="AQ292" s="5"/>
      <c r="AR292" s="5"/>
      <c r="AS292" s="5"/>
      <c r="AT292" s="20"/>
      <c r="AU292" s="1182"/>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81"/>
      <c r="E293" s="389">
        <f t="shared" si="123"/>
        <v>0</v>
      </c>
      <c r="F293" s="20"/>
      <c r="G293" s="3890">
        <f t="shared" si="124"/>
        <v>0</v>
      </c>
      <c r="H293" s="1282">
        <f t="shared" si="125"/>
        <v>0</v>
      </c>
      <c r="I293" s="3891"/>
      <c r="J293" s="3891"/>
      <c r="K293" s="3891"/>
      <c r="L293" s="3891"/>
      <c r="M293" s="3891"/>
      <c r="N293" s="3891"/>
      <c r="O293" s="3891"/>
      <c r="P293" s="3891"/>
      <c r="Q293" s="3891"/>
      <c r="R293" s="3891"/>
      <c r="S293" s="3891"/>
      <c r="T293" s="3891"/>
      <c r="U293" s="3891"/>
      <c r="V293" s="3891"/>
      <c r="W293" s="3891"/>
      <c r="X293" s="3891"/>
      <c r="Y293" s="3891"/>
      <c r="Z293" s="3891"/>
      <c r="AA293" s="3891"/>
      <c r="AB293" s="3891"/>
      <c r="AC293" s="389">
        <f t="shared" si="126"/>
        <v>0</v>
      </c>
      <c r="AD293" s="5"/>
      <c r="AE293" s="5"/>
      <c r="AF293" s="5"/>
      <c r="AG293" s="5"/>
      <c r="AH293" s="5"/>
      <c r="AI293" s="5"/>
      <c r="AJ293" s="5"/>
      <c r="AK293" s="5"/>
      <c r="AL293" s="5"/>
      <c r="AM293" s="5"/>
      <c r="AN293" s="5"/>
      <c r="AO293" s="5"/>
      <c r="AP293" s="5"/>
      <c r="AQ293" s="5"/>
      <c r="AR293" s="5"/>
      <c r="AS293" s="5"/>
      <c r="AT293" s="20"/>
      <c r="AU293" s="1182"/>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81"/>
      <c r="E294" s="389">
        <f t="shared" si="123"/>
        <v>0</v>
      </c>
      <c r="F294" s="20"/>
      <c r="G294" s="3890">
        <f t="shared" si="124"/>
        <v>0</v>
      </c>
      <c r="H294" s="1282">
        <f t="shared" si="125"/>
        <v>0</v>
      </c>
      <c r="I294" s="3891"/>
      <c r="J294" s="3891"/>
      <c r="K294" s="3891"/>
      <c r="L294" s="3891"/>
      <c r="M294" s="3891"/>
      <c r="N294" s="3891"/>
      <c r="O294" s="3891"/>
      <c r="P294" s="3891"/>
      <c r="Q294" s="3891"/>
      <c r="R294" s="3891"/>
      <c r="S294" s="3891"/>
      <c r="T294" s="3891"/>
      <c r="U294" s="3891"/>
      <c r="V294" s="3891"/>
      <c r="W294" s="3891"/>
      <c r="X294" s="3891"/>
      <c r="Y294" s="3891"/>
      <c r="Z294" s="3891"/>
      <c r="AA294" s="3891"/>
      <c r="AB294" s="3891"/>
      <c r="AC294" s="389">
        <f t="shared" si="126"/>
        <v>0</v>
      </c>
      <c r="AD294" s="5"/>
      <c r="AE294" s="5"/>
      <c r="AF294" s="5"/>
      <c r="AG294" s="5"/>
      <c r="AH294" s="5"/>
      <c r="AI294" s="5"/>
      <c r="AJ294" s="5"/>
      <c r="AK294" s="5"/>
      <c r="AL294" s="5"/>
      <c r="AM294" s="5"/>
      <c r="AN294" s="5"/>
      <c r="AO294" s="5"/>
      <c r="AP294" s="5"/>
      <c r="AQ294" s="5"/>
      <c r="AR294" s="5"/>
      <c r="AS294" s="5"/>
      <c r="AT294" s="20"/>
      <c r="AU294" s="1182"/>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81"/>
      <c r="E295" s="389">
        <f t="shared" si="123"/>
        <v>0</v>
      </c>
      <c r="F295" s="20"/>
      <c r="G295" s="3890">
        <f t="shared" si="124"/>
        <v>0</v>
      </c>
      <c r="H295" s="1282">
        <f t="shared" si="125"/>
        <v>0</v>
      </c>
      <c r="I295" s="3891"/>
      <c r="J295" s="3891"/>
      <c r="K295" s="3891"/>
      <c r="L295" s="3891"/>
      <c r="M295" s="3891"/>
      <c r="N295" s="3891"/>
      <c r="O295" s="3891"/>
      <c r="P295" s="3891"/>
      <c r="Q295" s="3891"/>
      <c r="R295" s="3891"/>
      <c r="S295" s="3891"/>
      <c r="T295" s="3891"/>
      <c r="U295" s="3891"/>
      <c r="V295" s="3891"/>
      <c r="W295" s="3891"/>
      <c r="X295" s="3891"/>
      <c r="Y295" s="3891"/>
      <c r="Z295" s="3891"/>
      <c r="AA295" s="3891"/>
      <c r="AB295" s="3891"/>
      <c r="AC295" s="389">
        <f t="shared" si="126"/>
        <v>0</v>
      </c>
      <c r="AD295" s="5"/>
      <c r="AE295" s="5"/>
      <c r="AF295" s="5"/>
      <c r="AG295" s="5"/>
      <c r="AH295" s="5"/>
      <c r="AI295" s="5"/>
      <c r="AJ295" s="5"/>
      <c r="AK295" s="5"/>
      <c r="AL295" s="5"/>
      <c r="AM295" s="5"/>
      <c r="AN295" s="5"/>
      <c r="AO295" s="5"/>
      <c r="AP295" s="5"/>
      <c r="AQ295" s="5"/>
      <c r="AR295" s="5"/>
      <c r="AS295" s="5"/>
      <c r="AT295" s="20"/>
      <c r="AU295" s="1182"/>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81"/>
      <c r="E296" s="389">
        <f t="shared" si="123"/>
        <v>0</v>
      </c>
      <c r="F296" s="20"/>
      <c r="G296" s="3890">
        <f t="shared" si="124"/>
        <v>0</v>
      </c>
      <c r="H296" s="1282">
        <f t="shared" si="125"/>
        <v>0</v>
      </c>
      <c r="I296" s="3891"/>
      <c r="J296" s="3891"/>
      <c r="K296" s="3891"/>
      <c r="L296" s="3891"/>
      <c r="M296" s="3891"/>
      <c r="N296" s="3891"/>
      <c r="O296" s="3891"/>
      <c r="P296" s="3891"/>
      <c r="Q296" s="3891"/>
      <c r="R296" s="3891"/>
      <c r="S296" s="3891"/>
      <c r="T296" s="3891"/>
      <c r="U296" s="3891"/>
      <c r="V296" s="3891"/>
      <c r="W296" s="3891"/>
      <c r="X296" s="3891"/>
      <c r="Y296" s="3891"/>
      <c r="Z296" s="3891"/>
      <c r="AA296" s="3891"/>
      <c r="AB296" s="3891"/>
      <c r="AC296" s="389">
        <f t="shared" si="126"/>
        <v>0</v>
      </c>
      <c r="AD296" s="5"/>
      <c r="AE296" s="5"/>
      <c r="AF296" s="5"/>
      <c r="AG296" s="5"/>
      <c r="AH296" s="5"/>
      <c r="AI296" s="5"/>
      <c r="AJ296" s="5"/>
      <c r="AK296" s="5"/>
      <c r="AL296" s="5"/>
      <c r="AM296" s="5"/>
      <c r="AN296" s="5"/>
      <c r="AO296" s="5"/>
      <c r="AP296" s="5"/>
      <c r="AQ296" s="5"/>
      <c r="AR296" s="5"/>
      <c r="AS296" s="5"/>
      <c r="AT296" s="20"/>
      <c r="AU296" s="1182"/>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81"/>
      <c r="E297" s="389">
        <f t="shared" si="123"/>
        <v>0</v>
      </c>
      <c r="F297" s="20"/>
      <c r="G297" s="3890">
        <f t="shared" si="124"/>
        <v>0</v>
      </c>
      <c r="H297" s="1282">
        <f t="shared" si="125"/>
        <v>0</v>
      </c>
      <c r="I297" s="3891"/>
      <c r="J297" s="3891"/>
      <c r="K297" s="3891"/>
      <c r="L297" s="3891"/>
      <c r="M297" s="3891"/>
      <c r="N297" s="3891"/>
      <c r="O297" s="3891"/>
      <c r="P297" s="3891"/>
      <c r="Q297" s="3891"/>
      <c r="R297" s="3891"/>
      <c r="S297" s="3891"/>
      <c r="T297" s="3891"/>
      <c r="U297" s="3891"/>
      <c r="V297" s="3891"/>
      <c r="W297" s="3891"/>
      <c r="X297" s="3891"/>
      <c r="Y297" s="3891"/>
      <c r="Z297" s="3891"/>
      <c r="AA297" s="3891"/>
      <c r="AB297" s="3891"/>
      <c r="AC297" s="389">
        <f t="shared" si="126"/>
        <v>0</v>
      </c>
      <c r="AD297" s="5"/>
      <c r="AE297" s="5"/>
      <c r="AF297" s="5"/>
      <c r="AG297" s="5"/>
      <c r="AH297" s="5"/>
      <c r="AI297" s="5"/>
      <c r="AJ297" s="5"/>
      <c r="AK297" s="5"/>
      <c r="AL297" s="5"/>
      <c r="AM297" s="5"/>
      <c r="AN297" s="5"/>
      <c r="AO297" s="5"/>
      <c r="AP297" s="5"/>
      <c r="AQ297" s="5"/>
      <c r="AR297" s="5"/>
      <c r="AS297" s="5"/>
      <c r="AT297" s="20"/>
      <c r="AU297" s="1182"/>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81"/>
      <c r="E298" s="389">
        <f t="shared" si="123"/>
        <v>0</v>
      </c>
      <c r="F298" s="20"/>
      <c r="G298" s="3890">
        <f t="shared" si="124"/>
        <v>0</v>
      </c>
      <c r="H298" s="1282">
        <f t="shared" si="125"/>
        <v>0</v>
      </c>
      <c r="I298" s="3891"/>
      <c r="J298" s="3891"/>
      <c r="K298" s="3891"/>
      <c r="L298" s="3891"/>
      <c r="M298" s="3891"/>
      <c r="N298" s="3891"/>
      <c r="O298" s="3891"/>
      <c r="P298" s="3891"/>
      <c r="Q298" s="3891"/>
      <c r="R298" s="3891"/>
      <c r="S298" s="3891"/>
      <c r="T298" s="3891"/>
      <c r="U298" s="3891"/>
      <c r="V298" s="3891"/>
      <c r="W298" s="3891"/>
      <c r="X298" s="3891"/>
      <c r="Y298" s="3891"/>
      <c r="Z298" s="3891"/>
      <c r="AA298" s="3891"/>
      <c r="AB298" s="3891"/>
      <c r="AC298" s="389">
        <f t="shared" si="126"/>
        <v>0</v>
      </c>
      <c r="AD298" s="5"/>
      <c r="AE298" s="5"/>
      <c r="AF298" s="5"/>
      <c r="AG298" s="5"/>
      <c r="AH298" s="5"/>
      <c r="AI298" s="5"/>
      <c r="AJ298" s="5"/>
      <c r="AK298" s="5"/>
      <c r="AL298" s="5"/>
      <c r="AM298" s="5"/>
      <c r="AN298" s="5"/>
      <c r="AO298" s="5"/>
      <c r="AP298" s="5"/>
      <c r="AQ298" s="5"/>
      <c r="AR298" s="5"/>
      <c r="AS298" s="5"/>
      <c r="AT298" s="20"/>
      <c r="AU298" s="1182"/>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81"/>
      <c r="E299" s="389">
        <f t="shared" si="123"/>
        <v>0</v>
      </c>
      <c r="F299" s="20"/>
      <c r="G299" s="3890">
        <f t="shared" si="124"/>
        <v>0</v>
      </c>
      <c r="H299" s="1282">
        <f t="shared" si="125"/>
        <v>0</v>
      </c>
      <c r="I299" s="3891"/>
      <c r="J299" s="3891"/>
      <c r="K299" s="3891"/>
      <c r="L299" s="3891"/>
      <c r="M299" s="3891"/>
      <c r="N299" s="3891"/>
      <c r="O299" s="3891"/>
      <c r="P299" s="3891"/>
      <c r="Q299" s="3891"/>
      <c r="R299" s="3891"/>
      <c r="S299" s="3891"/>
      <c r="T299" s="3891"/>
      <c r="U299" s="3891"/>
      <c r="V299" s="3891"/>
      <c r="W299" s="3891"/>
      <c r="X299" s="3891"/>
      <c r="Y299" s="3891"/>
      <c r="Z299" s="3891"/>
      <c r="AA299" s="3891"/>
      <c r="AB299" s="3891"/>
      <c r="AC299" s="389">
        <f t="shared" si="126"/>
        <v>0</v>
      </c>
      <c r="AD299" s="5"/>
      <c r="AE299" s="5"/>
      <c r="AF299" s="5"/>
      <c r="AG299" s="5"/>
      <c r="AH299" s="5"/>
      <c r="AI299" s="5"/>
      <c r="AJ299" s="5"/>
      <c r="AK299" s="5"/>
      <c r="AL299" s="5"/>
      <c r="AM299" s="5"/>
      <c r="AN299" s="5"/>
      <c r="AO299" s="5"/>
      <c r="AP299" s="5"/>
      <c r="AQ299" s="5"/>
      <c r="AR299" s="5"/>
      <c r="AS299" s="5"/>
      <c r="AT299" s="20"/>
      <c r="AU299" s="1182"/>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81"/>
      <c r="E300" s="389">
        <f t="shared" si="123"/>
        <v>0</v>
      </c>
      <c r="F300" s="5"/>
      <c r="G300" s="3890">
        <f t="shared" ref="G300:G331" si="152">H300+AC300+AT300</f>
        <v>0</v>
      </c>
      <c r="H300" s="1282">
        <f t="shared" ref="H300:H331" si="153">SUMIF(I$12:AB$12,"总值",I300:AB300)</f>
        <v>0</v>
      </c>
      <c r="I300" s="3891"/>
      <c r="J300" s="3891"/>
      <c r="K300" s="3891"/>
      <c r="L300" s="3891"/>
      <c r="M300" s="3891"/>
      <c r="N300" s="3891"/>
      <c r="O300" s="3891"/>
      <c r="P300" s="3891"/>
      <c r="Q300" s="3891"/>
      <c r="R300" s="3891"/>
      <c r="S300" s="3891"/>
      <c r="T300" s="3891"/>
      <c r="U300" s="3891"/>
      <c r="V300" s="3891"/>
      <c r="W300" s="3891"/>
      <c r="X300" s="3891"/>
      <c r="Y300" s="3891"/>
      <c r="Z300" s="3891"/>
      <c r="AA300" s="3891"/>
      <c r="AB300" s="3891"/>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83"/>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81"/>
      <c r="E301" s="389">
        <f t="shared" si="123"/>
        <v>0</v>
      </c>
      <c r="F301" s="5"/>
      <c r="G301" s="3890">
        <f t="shared" si="152"/>
        <v>0</v>
      </c>
      <c r="H301" s="1282">
        <f t="shared" si="153"/>
        <v>0</v>
      </c>
      <c r="I301" s="3891"/>
      <c r="J301" s="3891"/>
      <c r="K301" s="3891"/>
      <c r="L301" s="3891"/>
      <c r="M301" s="3891"/>
      <c r="N301" s="3891"/>
      <c r="O301" s="3891"/>
      <c r="P301" s="3891"/>
      <c r="Q301" s="3891"/>
      <c r="R301" s="3891"/>
      <c r="S301" s="3891"/>
      <c r="T301" s="3891"/>
      <c r="U301" s="3891"/>
      <c r="V301" s="3891"/>
      <c r="W301" s="3891"/>
      <c r="X301" s="3891"/>
      <c r="Y301" s="3891"/>
      <c r="Z301" s="3891"/>
      <c r="AA301" s="3891"/>
      <c r="AB301" s="3891"/>
      <c r="AC301" s="389">
        <f t="shared" si="154"/>
        <v>0</v>
      </c>
      <c r="AD301" s="5"/>
      <c r="AE301" s="5"/>
      <c r="AF301" s="5"/>
      <c r="AG301" s="5"/>
      <c r="AH301" s="5"/>
      <c r="AI301" s="5"/>
      <c r="AJ301" s="5"/>
      <c r="AK301" s="5"/>
      <c r="AL301" s="5"/>
      <c r="AM301" s="5"/>
      <c r="AN301" s="5"/>
      <c r="AO301" s="5"/>
      <c r="AP301" s="5"/>
      <c r="AQ301" s="5"/>
      <c r="AR301" s="5"/>
      <c r="AS301" s="5"/>
      <c r="AT301" s="5"/>
      <c r="AU301" s="783"/>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81"/>
      <c r="E302" s="389">
        <f t="shared" si="123"/>
        <v>0</v>
      </c>
      <c r="F302" s="5"/>
      <c r="G302" s="3890">
        <f t="shared" si="152"/>
        <v>0</v>
      </c>
      <c r="H302" s="1282">
        <f t="shared" si="153"/>
        <v>0</v>
      </c>
      <c r="I302" s="3891"/>
      <c r="J302" s="3891"/>
      <c r="K302" s="3891"/>
      <c r="L302" s="3891"/>
      <c r="M302" s="3891"/>
      <c r="N302" s="3891"/>
      <c r="O302" s="3891"/>
      <c r="P302" s="3891"/>
      <c r="Q302" s="3891"/>
      <c r="R302" s="3891"/>
      <c r="S302" s="3891"/>
      <c r="T302" s="3891"/>
      <c r="U302" s="3891"/>
      <c r="V302" s="3891"/>
      <c r="W302" s="3891"/>
      <c r="X302" s="3891"/>
      <c r="Y302" s="3891"/>
      <c r="Z302" s="3891"/>
      <c r="AA302" s="3891"/>
      <c r="AB302" s="3891"/>
      <c r="AC302" s="389">
        <f t="shared" si="154"/>
        <v>0</v>
      </c>
      <c r="AD302" s="5"/>
      <c r="AE302" s="5"/>
      <c r="AF302" s="5"/>
      <c r="AG302" s="5"/>
      <c r="AH302" s="5"/>
      <c r="AI302" s="5"/>
      <c r="AJ302" s="5"/>
      <c r="AK302" s="5"/>
      <c r="AL302" s="5"/>
      <c r="AM302" s="5"/>
      <c r="AN302" s="5"/>
      <c r="AO302" s="5"/>
      <c r="AP302" s="5"/>
      <c r="AQ302" s="5"/>
      <c r="AR302" s="5"/>
      <c r="AS302" s="5"/>
      <c r="AT302" s="5"/>
      <c r="AU302" s="783"/>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81"/>
      <c r="E303" s="389">
        <f t="shared" ref="E303:E334" si="177">IF($C$3="是",ROUND($A$3*G303/$B$3,2),ROUND($A$3*(G303-AT303)/$B$3,2))</f>
        <v>0</v>
      </c>
      <c r="F303" s="20"/>
      <c r="G303" s="3890">
        <f t="shared" si="152"/>
        <v>0</v>
      </c>
      <c r="H303" s="1282">
        <f t="shared" si="153"/>
        <v>0</v>
      </c>
      <c r="I303" s="3891"/>
      <c r="J303" s="3891"/>
      <c r="K303" s="3891"/>
      <c r="L303" s="3891"/>
      <c r="M303" s="3891"/>
      <c r="N303" s="3891"/>
      <c r="O303" s="3891"/>
      <c r="P303" s="3891"/>
      <c r="Q303" s="3891"/>
      <c r="R303" s="3891"/>
      <c r="S303" s="3891"/>
      <c r="T303" s="3891"/>
      <c r="U303" s="3891"/>
      <c r="V303" s="3891"/>
      <c r="W303" s="3891"/>
      <c r="X303" s="3891"/>
      <c r="Y303" s="3891"/>
      <c r="Z303" s="3891"/>
      <c r="AA303" s="3891"/>
      <c r="AB303" s="3891"/>
      <c r="AC303" s="389">
        <f t="shared" si="154"/>
        <v>0</v>
      </c>
      <c r="AD303" s="5"/>
      <c r="AE303" s="5"/>
      <c r="AF303" s="5"/>
      <c r="AG303" s="5"/>
      <c r="AH303" s="5"/>
      <c r="AI303" s="5"/>
      <c r="AJ303" s="5"/>
      <c r="AK303" s="5"/>
      <c r="AL303" s="5"/>
      <c r="AM303" s="5"/>
      <c r="AN303" s="5"/>
      <c r="AO303" s="5"/>
      <c r="AP303" s="5"/>
      <c r="AQ303" s="5"/>
      <c r="AR303" s="5"/>
      <c r="AS303" s="5"/>
      <c r="AT303" s="20"/>
      <c r="AU303" s="1182"/>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81"/>
      <c r="E304" s="389">
        <f t="shared" si="177"/>
        <v>0</v>
      </c>
      <c r="F304" s="20"/>
      <c r="G304" s="3890">
        <f t="shared" si="152"/>
        <v>0</v>
      </c>
      <c r="H304" s="1282">
        <f t="shared" si="153"/>
        <v>0</v>
      </c>
      <c r="I304" s="3891"/>
      <c r="J304" s="3891"/>
      <c r="K304" s="3891"/>
      <c r="L304" s="3891"/>
      <c r="M304" s="3891"/>
      <c r="N304" s="3891"/>
      <c r="O304" s="3891"/>
      <c r="P304" s="3891"/>
      <c r="Q304" s="3891"/>
      <c r="R304" s="3891"/>
      <c r="S304" s="3891"/>
      <c r="T304" s="3891"/>
      <c r="U304" s="3891"/>
      <c r="V304" s="3891"/>
      <c r="W304" s="3891"/>
      <c r="X304" s="3891"/>
      <c r="Y304" s="3891"/>
      <c r="Z304" s="3891"/>
      <c r="AA304" s="3891"/>
      <c r="AB304" s="3891"/>
      <c r="AC304" s="389">
        <f t="shared" si="154"/>
        <v>0</v>
      </c>
      <c r="AD304" s="5"/>
      <c r="AE304" s="5"/>
      <c r="AF304" s="5"/>
      <c r="AG304" s="5"/>
      <c r="AH304" s="5"/>
      <c r="AI304" s="5"/>
      <c r="AJ304" s="5"/>
      <c r="AK304" s="5"/>
      <c r="AL304" s="5"/>
      <c r="AM304" s="5"/>
      <c r="AN304" s="5"/>
      <c r="AO304" s="5"/>
      <c r="AP304" s="5"/>
      <c r="AQ304" s="5"/>
      <c r="AR304" s="5"/>
      <c r="AS304" s="5"/>
      <c r="AT304" s="20"/>
      <c r="AU304" s="1182"/>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81"/>
      <c r="E305" s="389">
        <f t="shared" si="177"/>
        <v>0</v>
      </c>
      <c r="F305" s="20"/>
      <c r="G305" s="3890">
        <f t="shared" si="152"/>
        <v>0</v>
      </c>
      <c r="H305" s="1282">
        <f t="shared" si="153"/>
        <v>0</v>
      </c>
      <c r="I305" s="3891"/>
      <c r="J305" s="3891"/>
      <c r="K305" s="3891"/>
      <c r="L305" s="3891"/>
      <c r="M305" s="3891"/>
      <c r="N305" s="3891"/>
      <c r="O305" s="3891"/>
      <c r="P305" s="3891"/>
      <c r="Q305" s="3891"/>
      <c r="R305" s="3891"/>
      <c r="S305" s="3891"/>
      <c r="T305" s="3891"/>
      <c r="U305" s="3891"/>
      <c r="V305" s="3891"/>
      <c r="W305" s="3891"/>
      <c r="X305" s="3891"/>
      <c r="Y305" s="3891"/>
      <c r="Z305" s="3891"/>
      <c r="AA305" s="3891"/>
      <c r="AB305" s="3891"/>
      <c r="AC305" s="389">
        <f t="shared" si="154"/>
        <v>0</v>
      </c>
      <c r="AD305" s="5"/>
      <c r="AE305" s="5"/>
      <c r="AF305" s="5"/>
      <c r="AG305" s="5"/>
      <c r="AH305" s="5"/>
      <c r="AI305" s="5"/>
      <c r="AJ305" s="5"/>
      <c r="AK305" s="5"/>
      <c r="AL305" s="5"/>
      <c r="AM305" s="5"/>
      <c r="AN305" s="5"/>
      <c r="AO305" s="5"/>
      <c r="AP305" s="5"/>
      <c r="AQ305" s="5"/>
      <c r="AR305" s="5"/>
      <c r="AS305" s="5"/>
      <c r="AT305" s="20"/>
      <c r="AU305" s="1182"/>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81"/>
      <c r="E306" s="389">
        <f t="shared" si="177"/>
        <v>0</v>
      </c>
      <c r="F306" s="20"/>
      <c r="G306" s="3890">
        <f t="shared" si="152"/>
        <v>0</v>
      </c>
      <c r="H306" s="1282">
        <f t="shared" si="153"/>
        <v>0</v>
      </c>
      <c r="I306" s="3891"/>
      <c r="J306" s="3891"/>
      <c r="K306" s="3891"/>
      <c r="L306" s="3891"/>
      <c r="M306" s="3891"/>
      <c r="N306" s="3891"/>
      <c r="O306" s="3891"/>
      <c r="P306" s="3891"/>
      <c r="Q306" s="3891"/>
      <c r="R306" s="3891"/>
      <c r="S306" s="3891"/>
      <c r="T306" s="3891"/>
      <c r="U306" s="3891"/>
      <c r="V306" s="3891"/>
      <c r="W306" s="3891"/>
      <c r="X306" s="3891"/>
      <c r="Y306" s="3891"/>
      <c r="Z306" s="3891"/>
      <c r="AA306" s="3891"/>
      <c r="AB306" s="3891"/>
      <c r="AC306" s="389">
        <f t="shared" si="154"/>
        <v>0</v>
      </c>
      <c r="AD306" s="5"/>
      <c r="AE306" s="5"/>
      <c r="AF306" s="5"/>
      <c r="AG306" s="5"/>
      <c r="AH306" s="5"/>
      <c r="AI306" s="5"/>
      <c r="AJ306" s="5"/>
      <c r="AK306" s="5"/>
      <c r="AL306" s="5"/>
      <c r="AM306" s="5"/>
      <c r="AN306" s="5"/>
      <c r="AO306" s="5"/>
      <c r="AP306" s="5"/>
      <c r="AQ306" s="5"/>
      <c r="AR306" s="5"/>
      <c r="AS306" s="5"/>
      <c r="AT306" s="20"/>
      <c r="AU306" s="1182"/>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81"/>
      <c r="E307" s="389">
        <f t="shared" si="177"/>
        <v>0</v>
      </c>
      <c r="F307" s="20"/>
      <c r="G307" s="3890">
        <f t="shared" si="152"/>
        <v>0</v>
      </c>
      <c r="H307" s="1282">
        <f t="shared" si="153"/>
        <v>0</v>
      </c>
      <c r="I307" s="3891"/>
      <c r="J307" s="3891"/>
      <c r="K307" s="3891"/>
      <c r="L307" s="3891"/>
      <c r="M307" s="3891"/>
      <c r="N307" s="3891"/>
      <c r="O307" s="3891"/>
      <c r="P307" s="3891"/>
      <c r="Q307" s="3891"/>
      <c r="R307" s="3891"/>
      <c r="S307" s="3891"/>
      <c r="T307" s="3891"/>
      <c r="U307" s="3891"/>
      <c r="V307" s="3891"/>
      <c r="W307" s="3891"/>
      <c r="X307" s="3891"/>
      <c r="Y307" s="3891"/>
      <c r="Z307" s="3891"/>
      <c r="AA307" s="3891"/>
      <c r="AB307" s="3891"/>
      <c r="AC307" s="389">
        <f t="shared" si="154"/>
        <v>0</v>
      </c>
      <c r="AD307" s="5"/>
      <c r="AE307" s="5"/>
      <c r="AF307" s="5"/>
      <c r="AG307" s="5"/>
      <c r="AH307" s="5"/>
      <c r="AI307" s="5"/>
      <c r="AJ307" s="5"/>
      <c r="AK307" s="5"/>
      <c r="AL307" s="5"/>
      <c r="AM307" s="5"/>
      <c r="AN307" s="5"/>
      <c r="AO307" s="5"/>
      <c r="AP307" s="5"/>
      <c r="AQ307" s="5"/>
      <c r="AR307" s="5"/>
      <c r="AS307" s="5"/>
      <c r="AT307" s="20"/>
      <c r="AU307" s="1182"/>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81"/>
      <c r="E308" s="389">
        <f t="shared" si="177"/>
        <v>0</v>
      </c>
      <c r="F308" s="20"/>
      <c r="G308" s="3890">
        <f t="shared" si="152"/>
        <v>0</v>
      </c>
      <c r="H308" s="1282">
        <f t="shared" si="153"/>
        <v>0</v>
      </c>
      <c r="I308" s="3891"/>
      <c r="J308" s="3891"/>
      <c r="K308" s="3891"/>
      <c r="L308" s="3891"/>
      <c r="M308" s="3891"/>
      <c r="N308" s="3891"/>
      <c r="O308" s="3891"/>
      <c r="P308" s="3891"/>
      <c r="Q308" s="3891"/>
      <c r="R308" s="3891"/>
      <c r="S308" s="3891"/>
      <c r="T308" s="3891"/>
      <c r="U308" s="3891"/>
      <c r="V308" s="3891"/>
      <c r="W308" s="3891"/>
      <c r="X308" s="3891"/>
      <c r="Y308" s="3891"/>
      <c r="Z308" s="3891"/>
      <c r="AA308" s="3891"/>
      <c r="AB308" s="3891"/>
      <c r="AC308" s="389">
        <f t="shared" si="154"/>
        <v>0</v>
      </c>
      <c r="AD308" s="5"/>
      <c r="AE308" s="5"/>
      <c r="AF308" s="5"/>
      <c r="AG308" s="5"/>
      <c r="AH308" s="5"/>
      <c r="AI308" s="5"/>
      <c r="AJ308" s="5"/>
      <c r="AK308" s="5"/>
      <c r="AL308" s="5"/>
      <c r="AM308" s="5"/>
      <c r="AN308" s="5"/>
      <c r="AO308" s="5"/>
      <c r="AP308" s="5"/>
      <c r="AQ308" s="5"/>
      <c r="AR308" s="5"/>
      <c r="AS308" s="5"/>
      <c r="AT308" s="20"/>
      <c r="AU308" s="1182"/>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81"/>
      <c r="E309" s="389">
        <f t="shared" si="177"/>
        <v>0</v>
      </c>
      <c r="F309" s="20"/>
      <c r="G309" s="3890">
        <f t="shared" si="152"/>
        <v>0</v>
      </c>
      <c r="H309" s="1282">
        <f t="shared" si="153"/>
        <v>0</v>
      </c>
      <c r="I309" s="3891"/>
      <c r="J309" s="3891"/>
      <c r="K309" s="3891"/>
      <c r="L309" s="3891"/>
      <c r="M309" s="3891"/>
      <c r="N309" s="3891"/>
      <c r="O309" s="3891"/>
      <c r="P309" s="3891"/>
      <c r="Q309" s="3891"/>
      <c r="R309" s="3891"/>
      <c r="S309" s="3891"/>
      <c r="T309" s="3891"/>
      <c r="U309" s="3891"/>
      <c r="V309" s="3891"/>
      <c r="W309" s="3891"/>
      <c r="X309" s="3891"/>
      <c r="Y309" s="3891"/>
      <c r="Z309" s="3891"/>
      <c r="AA309" s="3891"/>
      <c r="AB309" s="3891"/>
      <c r="AC309" s="389">
        <f t="shared" si="154"/>
        <v>0</v>
      </c>
      <c r="AD309" s="5"/>
      <c r="AE309" s="5"/>
      <c r="AF309" s="5"/>
      <c r="AG309" s="5"/>
      <c r="AH309" s="5"/>
      <c r="AI309" s="5"/>
      <c r="AJ309" s="5"/>
      <c r="AK309" s="5"/>
      <c r="AL309" s="5"/>
      <c r="AM309" s="5"/>
      <c r="AN309" s="5"/>
      <c r="AO309" s="5"/>
      <c r="AP309" s="5"/>
      <c r="AQ309" s="5"/>
      <c r="AR309" s="5"/>
      <c r="AS309" s="5"/>
      <c r="AT309" s="20"/>
      <c r="AU309" s="1182"/>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81"/>
      <c r="E310" s="389">
        <f t="shared" si="177"/>
        <v>0</v>
      </c>
      <c r="F310" s="20"/>
      <c r="G310" s="3890">
        <f t="shared" si="152"/>
        <v>0</v>
      </c>
      <c r="H310" s="1282">
        <f t="shared" si="153"/>
        <v>0</v>
      </c>
      <c r="I310" s="3891"/>
      <c r="J310" s="3891"/>
      <c r="K310" s="3891"/>
      <c r="L310" s="3891"/>
      <c r="M310" s="3891"/>
      <c r="N310" s="3891"/>
      <c r="O310" s="3891"/>
      <c r="P310" s="3891"/>
      <c r="Q310" s="3891"/>
      <c r="R310" s="3891"/>
      <c r="S310" s="3891"/>
      <c r="T310" s="3891"/>
      <c r="U310" s="3891"/>
      <c r="V310" s="3891"/>
      <c r="W310" s="3891"/>
      <c r="X310" s="3891"/>
      <c r="Y310" s="3891"/>
      <c r="Z310" s="3891"/>
      <c r="AA310" s="3891"/>
      <c r="AB310" s="3891"/>
      <c r="AC310" s="389">
        <f t="shared" si="154"/>
        <v>0</v>
      </c>
      <c r="AD310" s="5"/>
      <c r="AE310" s="5"/>
      <c r="AF310" s="5"/>
      <c r="AG310" s="5"/>
      <c r="AH310" s="5"/>
      <c r="AI310" s="5"/>
      <c r="AJ310" s="5"/>
      <c r="AK310" s="5"/>
      <c r="AL310" s="5"/>
      <c r="AM310" s="5"/>
      <c r="AN310" s="5"/>
      <c r="AO310" s="5"/>
      <c r="AP310" s="5"/>
      <c r="AQ310" s="5"/>
      <c r="AR310" s="5"/>
      <c r="AS310" s="5"/>
      <c r="AT310" s="20"/>
      <c r="AU310" s="1182"/>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81"/>
      <c r="E311" s="389">
        <f t="shared" si="177"/>
        <v>0</v>
      </c>
      <c r="F311" s="20"/>
      <c r="G311" s="3890">
        <f t="shared" si="152"/>
        <v>0</v>
      </c>
      <c r="H311" s="1282">
        <f t="shared" si="153"/>
        <v>0</v>
      </c>
      <c r="I311" s="3891"/>
      <c r="J311" s="3891"/>
      <c r="K311" s="3891"/>
      <c r="L311" s="3891"/>
      <c r="M311" s="3891"/>
      <c r="N311" s="3891"/>
      <c r="O311" s="3891"/>
      <c r="P311" s="3891"/>
      <c r="Q311" s="3891"/>
      <c r="R311" s="3891"/>
      <c r="S311" s="3891"/>
      <c r="T311" s="3891"/>
      <c r="U311" s="3891"/>
      <c r="V311" s="3891"/>
      <c r="W311" s="3891"/>
      <c r="X311" s="3891"/>
      <c r="Y311" s="3891"/>
      <c r="Z311" s="3891"/>
      <c r="AA311" s="3891"/>
      <c r="AB311" s="3891"/>
      <c r="AC311" s="389">
        <f t="shared" si="154"/>
        <v>0</v>
      </c>
      <c r="AD311" s="5"/>
      <c r="AE311" s="5"/>
      <c r="AF311" s="5"/>
      <c r="AG311" s="5"/>
      <c r="AH311" s="5"/>
      <c r="AI311" s="5"/>
      <c r="AJ311" s="5"/>
      <c r="AK311" s="5"/>
      <c r="AL311" s="5"/>
      <c r="AM311" s="5"/>
      <c r="AN311" s="5"/>
      <c r="AO311" s="5"/>
      <c r="AP311" s="5"/>
      <c r="AQ311" s="5"/>
      <c r="AR311" s="5"/>
      <c r="AS311" s="5"/>
      <c r="AT311" s="20"/>
      <c r="AU311" s="1182"/>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81"/>
      <c r="E312" s="389">
        <f t="shared" si="177"/>
        <v>0</v>
      </c>
      <c r="F312" s="20"/>
      <c r="G312" s="3890">
        <f t="shared" si="152"/>
        <v>0</v>
      </c>
      <c r="H312" s="1282">
        <f t="shared" si="153"/>
        <v>0</v>
      </c>
      <c r="I312" s="3891"/>
      <c r="J312" s="3891"/>
      <c r="K312" s="3891"/>
      <c r="L312" s="3891"/>
      <c r="M312" s="3891"/>
      <c r="N312" s="3891"/>
      <c r="O312" s="3891"/>
      <c r="P312" s="3891"/>
      <c r="Q312" s="3891"/>
      <c r="R312" s="3891"/>
      <c r="S312" s="3891"/>
      <c r="T312" s="3891"/>
      <c r="U312" s="3891"/>
      <c r="V312" s="3891"/>
      <c r="W312" s="3891"/>
      <c r="X312" s="3891"/>
      <c r="Y312" s="3891"/>
      <c r="Z312" s="3891"/>
      <c r="AA312" s="3891"/>
      <c r="AB312" s="3891"/>
      <c r="AC312" s="389">
        <f t="shared" si="154"/>
        <v>0</v>
      </c>
      <c r="AD312" s="5"/>
      <c r="AE312" s="5"/>
      <c r="AF312" s="5"/>
      <c r="AG312" s="5"/>
      <c r="AH312" s="5"/>
      <c r="AI312" s="5"/>
      <c r="AJ312" s="5"/>
      <c r="AK312" s="5"/>
      <c r="AL312" s="5"/>
      <c r="AM312" s="5"/>
      <c r="AN312" s="5"/>
      <c r="AO312" s="5"/>
      <c r="AP312" s="5"/>
      <c r="AQ312" s="5"/>
      <c r="AR312" s="5"/>
      <c r="AS312" s="5"/>
      <c r="AT312" s="20"/>
      <c r="AU312" s="1182"/>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81"/>
      <c r="E313" s="389">
        <f t="shared" si="177"/>
        <v>0</v>
      </c>
      <c r="F313" s="20"/>
      <c r="G313" s="3890">
        <f t="shared" si="152"/>
        <v>0</v>
      </c>
      <c r="H313" s="1282">
        <f t="shared" si="153"/>
        <v>0</v>
      </c>
      <c r="I313" s="3891"/>
      <c r="J313" s="3891"/>
      <c r="K313" s="3891"/>
      <c r="L313" s="3891"/>
      <c r="M313" s="3891"/>
      <c r="N313" s="3891"/>
      <c r="O313" s="3891"/>
      <c r="P313" s="3891"/>
      <c r="Q313" s="3891"/>
      <c r="R313" s="3891"/>
      <c r="S313" s="3891"/>
      <c r="T313" s="3891"/>
      <c r="U313" s="3891"/>
      <c r="V313" s="3891"/>
      <c r="W313" s="3891"/>
      <c r="X313" s="3891"/>
      <c r="Y313" s="3891"/>
      <c r="Z313" s="3891"/>
      <c r="AA313" s="3891"/>
      <c r="AB313" s="3891"/>
      <c r="AC313" s="389">
        <f t="shared" si="154"/>
        <v>0</v>
      </c>
      <c r="AD313" s="5"/>
      <c r="AE313" s="5"/>
      <c r="AF313" s="5"/>
      <c r="AG313" s="5"/>
      <c r="AH313" s="5"/>
      <c r="AI313" s="5"/>
      <c r="AJ313" s="5"/>
      <c r="AK313" s="5"/>
      <c r="AL313" s="5"/>
      <c r="AM313" s="5"/>
      <c r="AN313" s="5"/>
      <c r="AO313" s="5"/>
      <c r="AP313" s="5"/>
      <c r="AQ313" s="5"/>
      <c r="AR313" s="5"/>
      <c r="AS313" s="5"/>
      <c r="AT313" s="20"/>
      <c r="AU313" s="1182"/>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81"/>
      <c r="E314" s="389">
        <f t="shared" si="177"/>
        <v>0</v>
      </c>
      <c r="F314" s="20"/>
      <c r="G314" s="3890">
        <f t="shared" si="152"/>
        <v>0</v>
      </c>
      <c r="H314" s="1282">
        <f t="shared" si="153"/>
        <v>0</v>
      </c>
      <c r="I314" s="3891"/>
      <c r="J314" s="3891"/>
      <c r="K314" s="3891"/>
      <c r="L314" s="3891"/>
      <c r="M314" s="3891"/>
      <c r="N314" s="3891"/>
      <c r="O314" s="3891"/>
      <c r="P314" s="3891"/>
      <c r="Q314" s="3891"/>
      <c r="R314" s="3891"/>
      <c r="S314" s="3891"/>
      <c r="T314" s="3891"/>
      <c r="U314" s="3891"/>
      <c r="V314" s="3891"/>
      <c r="W314" s="3891"/>
      <c r="X314" s="3891"/>
      <c r="Y314" s="3891"/>
      <c r="Z314" s="3891"/>
      <c r="AA314" s="3891"/>
      <c r="AB314" s="3891"/>
      <c r="AC314" s="389">
        <f t="shared" si="154"/>
        <v>0</v>
      </c>
      <c r="AD314" s="5"/>
      <c r="AE314" s="5"/>
      <c r="AF314" s="5"/>
      <c r="AG314" s="5"/>
      <c r="AH314" s="5"/>
      <c r="AI314" s="5"/>
      <c r="AJ314" s="5"/>
      <c r="AK314" s="5"/>
      <c r="AL314" s="5"/>
      <c r="AM314" s="5"/>
      <c r="AN314" s="5"/>
      <c r="AO314" s="5"/>
      <c r="AP314" s="5"/>
      <c r="AQ314" s="5"/>
      <c r="AR314" s="5"/>
      <c r="AS314" s="5"/>
      <c r="AT314" s="20"/>
      <c r="AU314" s="1182"/>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81"/>
      <c r="E315" s="389">
        <f t="shared" si="177"/>
        <v>0</v>
      </c>
      <c r="F315" s="20"/>
      <c r="G315" s="3890">
        <f t="shared" si="152"/>
        <v>0</v>
      </c>
      <c r="H315" s="1282">
        <f t="shared" si="153"/>
        <v>0</v>
      </c>
      <c r="I315" s="3891"/>
      <c r="J315" s="3891"/>
      <c r="K315" s="3891"/>
      <c r="L315" s="3891"/>
      <c r="M315" s="3891"/>
      <c r="N315" s="3891"/>
      <c r="O315" s="3891"/>
      <c r="P315" s="3891"/>
      <c r="Q315" s="3891"/>
      <c r="R315" s="3891"/>
      <c r="S315" s="3891"/>
      <c r="T315" s="3891"/>
      <c r="U315" s="3891"/>
      <c r="V315" s="3891"/>
      <c r="W315" s="3891"/>
      <c r="X315" s="3891"/>
      <c r="Y315" s="3891"/>
      <c r="Z315" s="3891"/>
      <c r="AA315" s="3891"/>
      <c r="AB315" s="3891"/>
      <c r="AC315" s="389">
        <f t="shared" si="154"/>
        <v>0</v>
      </c>
      <c r="AD315" s="5"/>
      <c r="AE315" s="5"/>
      <c r="AF315" s="5"/>
      <c r="AG315" s="5"/>
      <c r="AH315" s="5"/>
      <c r="AI315" s="5"/>
      <c r="AJ315" s="5"/>
      <c r="AK315" s="5"/>
      <c r="AL315" s="5"/>
      <c r="AM315" s="5"/>
      <c r="AN315" s="5"/>
      <c r="AO315" s="5"/>
      <c r="AP315" s="5"/>
      <c r="AQ315" s="5"/>
      <c r="AR315" s="5"/>
      <c r="AS315" s="5"/>
      <c r="AT315" s="20"/>
      <c r="AU315" s="1182"/>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81"/>
      <c r="E316" s="389">
        <f t="shared" si="177"/>
        <v>0</v>
      </c>
      <c r="F316" s="20"/>
      <c r="G316" s="3890">
        <f t="shared" si="152"/>
        <v>0</v>
      </c>
      <c r="H316" s="1282">
        <f t="shared" si="153"/>
        <v>0</v>
      </c>
      <c r="I316" s="3891"/>
      <c r="J316" s="3891"/>
      <c r="K316" s="3891"/>
      <c r="L316" s="3891"/>
      <c r="M316" s="3891"/>
      <c r="N316" s="3891"/>
      <c r="O316" s="3891"/>
      <c r="P316" s="3891"/>
      <c r="Q316" s="3891"/>
      <c r="R316" s="3891"/>
      <c r="S316" s="3891"/>
      <c r="T316" s="3891"/>
      <c r="U316" s="3891"/>
      <c r="V316" s="3891"/>
      <c r="W316" s="3891"/>
      <c r="X316" s="3891"/>
      <c r="Y316" s="3891"/>
      <c r="Z316" s="3891"/>
      <c r="AA316" s="3891"/>
      <c r="AB316" s="3891"/>
      <c r="AC316" s="389">
        <f t="shared" si="154"/>
        <v>0</v>
      </c>
      <c r="AD316" s="5"/>
      <c r="AE316" s="5"/>
      <c r="AF316" s="5"/>
      <c r="AG316" s="5"/>
      <c r="AH316" s="5"/>
      <c r="AI316" s="5"/>
      <c r="AJ316" s="5"/>
      <c r="AK316" s="5"/>
      <c r="AL316" s="5"/>
      <c r="AM316" s="5"/>
      <c r="AN316" s="5"/>
      <c r="AO316" s="5"/>
      <c r="AP316" s="5"/>
      <c r="AQ316" s="5"/>
      <c r="AR316" s="5"/>
      <c r="AS316" s="5"/>
      <c r="AT316" s="20"/>
      <c r="AU316" s="1182"/>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81"/>
      <c r="E317" s="389">
        <f t="shared" si="177"/>
        <v>0</v>
      </c>
      <c r="F317" s="20"/>
      <c r="G317" s="3890">
        <f t="shared" si="152"/>
        <v>0</v>
      </c>
      <c r="H317" s="1282">
        <f t="shared" si="153"/>
        <v>0</v>
      </c>
      <c r="I317" s="3891"/>
      <c r="J317" s="3891"/>
      <c r="K317" s="3891"/>
      <c r="L317" s="3891"/>
      <c r="M317" s="3891"/>
      <c r="N317" s="3891"/>
      <c r="O317" s="3891"/>
      <c r="P317" s="3891"/>
      <c r="Q317" s="3891"/>
      <c r="R317" s="3891"/>
      <c r="S317" s="3891"/>
      <c r="T317" s="3891"/>
      <c r="U317" s="3891"/>
      <c r="V317" s="3891"/>
      <c r="W317" s="3891"/>
      <c r="X317" s="3891"/>
      <c r="Y317" s="3891"/>
      <c r="Z317" s="3891"/>
      <c r="AA317" s="3891"/>
      <c r="AB317" s="3891"/>
      <c r="AC317" s="389">
        <f t="shared" si="154"/>
        <v>0</v>
      </c>
      <c r="AD317" s="5"/>
      <c r="AE317" s="5"/>
      <c r="AF317" s="5"/>
      <c r="AG317" s="5"/>
      <c r="AH317" s="5"/>
      <c r="AI317" s="5"/>
      <c r="AJ317" s="5"/>
      <c r="AK317" s="5"/>
      <c r="AL317" s="5"/>
      <c r="AM317" s="5"/>
      <c r="AN317" s="5"/>
      <c r="AO317" s="5"/>
      <c r="AP317" s="5"/>
      <c r="AQ317" s="5"/>
      <c r="AR317" s="5"/>
      <c r="AS317" s="5"/>
      <c r="AT317" s="20"/>
      <c r="AU317" s="1182"/>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81"/>
      <c r="E318" s="389">
        <f t="shared" si="177"/>
        <v>0</v>
      </c>
      <c r="F318" s="20"/>
      <c r="G318" s="3890">
        <f t="shared" si="152"/>
        <v>0</v>
      </c>
      <c r="H318" s="1282">
        <f t="shared" si="153"/>
        <v>0</v>
      </c>
      <c r="I318" s="3891"/>
      <c r="J318" s="3891"/>
      <c r="K318" s="3891"/>
      <c r="L318" s="3891"/>
      <c r="M318" s="3891"/>
      <c r="N318" s="3891"/>
      <c r="O318" s="3891"/>
      <c r="P318" s="3891"/>
      <c r="Q318" s="3891"/>
      <c r="R318" s="3891"/>
      <c r="S318" s="3891"/>
      <c r="T318" s="3891"/>
      <c r="U318" s="3891"/>
      <c r="V318" s="3891"/>
      <c r="W318" s="3891"/>
      <c r="X318" s="3891"/>
      <c r="Y318" s="3891"/>
      <c r="Z318" s="3891"/>
      <c r="AA318" s="3891"/>
      <c r="AB318" s="3891"/>
      <c r="AC318" s="389">
        <f t="shared" si="154"/>
        <v>0</v>
      </c>
      <c r="AD318" s="5"/>
      <c r="AE318" s="5"/>
      <c r="AF318" s="5"/>
      <c r="AG318" s="5"/>
      <c r="AH318" s="5"/>
      <c r="AI318" s="5"/>
      <c r="AJ318" s="5"/>
      <c r="AK318" s="5"/>
      <c r="AL318" s="5"/>
      <c r="AM318" s="5"/>
      <c r="AN318" s="5"/>
      <c r="AO318" s="5"/>
      <c r="AP318" s="5"/>
      <c r="AQ318" s="5"/>
      <c r="AR318" s="5"/>
      <c r="AS318" s="5"/>
      <c r="AT318" s="20"/>
      <c r="AU318" s="1182"/>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81"/>
      <c r="E319" s="389">
        <f t="shared" si="177"/>
        <v>0</v>
      </c>
      <c r="F319" s="20"/>
      <c r="G319" s="3890">
        <f t="shared" si="152"/>
        <v>0</v>
      </c>
      <c r="H319" s="1282">
        <f t="shared" si="153"/>
        <v>0</v>
      </c>
      <c r="I319" s="3891"/>
      <c r="J319" s="3891"/>
      <c r="K319" s="3891"/>
      <c r="L319" s="3891"/>
      <c r="M319" s="3891"/>
      <c r="N319" s="3891"/>
      <c r="O319" s="3891"/>
      <c r="P319" s="3891"/>
      <c r="Q319" s="3891"/>
      <c r="R319" s="3891"/>
      <c r="S319" s="3891"/>
      <c r="T319" s="3891"/>
      <c r="U319" s="3891"/>
      <c r="V319" s="3891"/>
      <c r="W319" s="3891"/>
      <c r="X319" s="3891"/>
      <c r="Y319" s="3891"/>
      <c r="Z319" s="3891"/>
      <c r="AA319" s="3891"/>
      <c r="AB319" s="3891"/>
      <c r="AC319" s="389">
        <f t="shared" si="154"/>
        <v>0</v>
      </c>
      <c r="AD319" s="5"/>
      <c r="AE319" s="5"/>
      <c r="AF319" s="5"/>
      <c r="AG319" s="5"/>
      <c r="AH319" s="5"/>
      <c r="AI319" s="5"/>
      <c r="AJ319" s="5"/>
      <c r="AK319" s="5"/>
      <c r="AL319" s="5"/>
      <c r="AM319" s="5"/>
      <c r="AN319" s="5"/>
      <c r="AO319" s="5"/>
      <c r="AP319" s="5"/>
      <c r="AQ319" s="5"/>
      <c r="AR319" s="5"/>
      <c r="AS319" s="5"/>
      <c r="AT319" s="20"/>
      <c r="AU319" s="1182"/>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81"/>
      <c r="E320" s="389">
        <f t="shared" si="177"/>
        <v>0</v>
      </c>
      <c r="F320" s="20"/>
      <c r="G320" s="3890">
        <f t="shared" si="152"/>
        <v>0</v>
      </c>
      <c r="H320" s="1282">
        <f t="shared" si="153"/>
        <v>0</v>
      </c>
      <c r="I320" s="3891"/>
      <c r="J320" s="3891"/>
      <c r="K320" s="3891"/>
      <c r="L320" s="3891"/>
      <c r="M320" s="3891"/>
      <c r="N320" s="3891"/>
      <c r="O320" s="3891"/>
      <c r="P320" s="3891"/>
      <c r="Q320" s="3891"/>
      <c r="R320" s="3891"/>
      <c r="S320" s="3891"/>
      <c r="T320" s="3891"/>
      <c r="U320" s="3891"/>
      <c r="V320" s="3891"/>
      <c r="W320" s="3891"/>
      <c r="X320" s="3891"/>
      <c r="Y320" s="3891"/>
      <c r="Z320" s="3891"/>
      <c r="AA320" s="3891"/>
      <c r="AB320" s="3891"/>
      <c r="AC320" s="389">
        <f t="shared" si="154"/>
        <v>0</v>
      </c>
      <c r="AD320" s="5"/>
      <c r="AE320" s="5"/>
      <c r="AF320" s="5"/>
      <c r="AG320" s="5"/>
      <c r="AH320" s="5"/>
      <c r="AI320" s="5"/>
      <c r="AJ320" s="5"/>
      <c r="AK320" s="5"/>
      <c r="AL320" s="5"/>
      <c r="AM320" s="5"/>
      <c r="AN320" s="5"/>
      <c r="AO320" s="5"/>
      <c r="AP320" s="5"/>
      <c r="AQ320" s="5"/>
      <c r="AR320" s="5"/>
      <c r="AS320" s="5"/>
      <c r="AT320" s="20"/>
      <c r="AU320" s="1182"/>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81"/>
      <c r="E321" s="389">
        <f t="shared" si="177"/>
        <v>0</v>
      </c>
      <c r="F321" s="20"/>
      <c r="G321" s="3890">
        <f t="shared" si="152"/>
        <v>0</v>
      </c>
      <c r="H321" s="1282">
        <f t="shared" si="153"/>
        <v>0</v>
      </c>
      <c r="I321" s="3891"/>
      <c r="J321" s="3891"/>
      <c r="K321" s="3891"/>
      <c r="L321" s="3891"/>
      <c r="M321" s="3891"/>
      <c r="N321" s="3891"/>
      <c r="O321" s="3891"/>
      <c r="P321" s="3891"/>
      <c r="Q321" s="3891"/>
      <c r="R321" s="3891"/>
      <c r="S321" s="3891"/>
      <c r="T321" s="3891"/>
      <c r="U321" s="3891"/>
      <c r="V321" s="3891"/>
      <c r="W321" s="3891"/>
      <c r="X321" s="3891"/>
      <c r="Y321" s="3891"/>
      <c r="Z321" s="3891"/>
      <c r="AA321" s="3891"/>
      <c r="AB321" s="3891"/>
      <c r="AC321" s="389">
        <f t="shared" si="154"/>
        <v>0</v>
      </c>
      <c r="AD321" s="5"/>
      <c r="AE321" s="5"/>
      <c r="AF321" s="5"/>
      <c r="AG321" s="5"/>
      <c r="AH321" s="5"/>
      <c r="AI321" s="5"/>
      <c r="AJ321" s="5"/>
      <c r="AK321" s="5"/>
      <c r="AL321" s="5"/>
      <c r="AM321" s="5"/>
      <c r="AN321" s="5"/>
      <c r="AO321" s="5"/>
      <c r="AP321" s="5"/>
      <c r="AQ321" s="5"/>
      <c r="AR321" s="5"/>
      <c r="AS321" s="5"/>
      <c r="AT321" s="20"/>
      <c r="AU321" s="1182"/>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81"/>
      <c r="E322" s="389">
        <f t="shared" si="177"/>
        <v>0</v>
      </c>
      <c r="F322" s="20"/>
      <c r="G322" s="3890">
        <f t="shared" si="152"/>
        <v>0</v>
      </c>
      <c r="H322" s="1282">
        <f t="shared" si="153"/>
        <v>0</v>
      </c>
      <c r="I322" s="3891"/>
      <c r="J322" s="3891"/>
      <c r="K322" s="3891"/>
      <c r="L322" s="3891"/>
      <c r="M322" s="3891"/>
      <c r="N322" s="3891"/>
      <c r="O322" s="3891"/>
      <c r="P322" s="3891"/>
      <c r="Q322" s="3891"/>
      <c r="R322" s="3891"/>
      <c r="S322" s="3891"/>
      <c r="T322" s="3891"/>
      <c r="U322" s="3891"/>
      <c r="V322" s="3891"/>
      <c r="W322" s="3891"/>
      <c r="X322" s="3891"/>
      <c r="Y322" s="3891"/>
      <c r="Z322" s="3891"/>
      <c r="AA322" s="3891"/>
      <c r="AB322" s="3891"/>
      <c r="AC322" s="389">
        <f t="shared" si="154"/>
        <v>0</v>
      </c>
      <c r="AD322" s="5"/>
      <c r="AE322" s="5"/>
      <c r="AF322" s="5"/>
      <c r="AG322" s="5"/>
      <c r="AH322" s="5"/>
      <c r="AI322" s="5"/>
      <c r="AJ322" s="5"/>
      <c r="AK322" s="5"/>
      <c r="AL322" s="5"/>
      <c r="AM322" s="5"/>
      <c r="AN322" s="5"/>
      <c r="AO322" s="5"/>
      <c r="AP322" s="5"/>
      <c r="AQ322" s="5"/>
      <c r="AR322" s="5"/>
      <c r="AS322" s="5"/>
      <c r="AT322" s="20"/>
      <c r="AU322" s="1182"/>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81"/>
      <c r="E323" s="389">
        <f t="shared" si="177"/>
        <v>0</v>
      </c>
      <c r="F323" s="20"/>
      <c r="G323" s="3890">
        <f t="shared" si="152"/>
        <v>0</v>
      </c>
      <c r="H323" s="1282">
        <f t="shared" si="153"/>
        <v>0</v>
      </c>
      <c r="I323" s="3891"/>
      <c r="J323" s="3891"/>
      <c r="K323" s="3891"/>
      <c r="L323" s="3891"/>
      <c r="M323" s="3891"/>
      <c r="N323" s="3891"/>
      <c r="O323" s="3891"/>
      <c r="P323" s="3891"/>
      <c r="Q323" s="3891"/>
      <c r="R323" s="3891"/>
      <c r="S323" s="3891"/>
      <c r="T323" s="3891"/>
      <c r="U323" s="3891"/>
      <c r="V323" s="3891"/>
      <c r="W323" s="3891"/>
      <c r="X323" s="3891"/>
      <c r="Y323" s="3891"/>
      <c r="Z323" s="3891"/>
      <c r="AA323" s="3891"/>
      <c r="AB323" s="3891"/>
      <c r="AC323" s="389">
        <f t="shared" si="154"/>
        <v>0</v>
      </c>
      <c r="AD323" s="5"/>
      <c r="AE323" s="5"/>
      <c r="AF323" s="5"/>
      <c r="AG323" s="5"/>
      <c r="AH323" s="5"/>
      <c r="AI323" s="5"/>
      <c r="AJ323" s="5"/>
      <c r="AK323" s="5"/>
      <c r="AL323" s="5"/>
      <c r="AM323" s="5"/>
      <c r="AN323" s="5"/>
      <c r="AO323" s="5"/>
      <c r="AP323" s="5"/>
      <c r="AQ323" s="5"/>
      <c r="AR323" s="5"/>
      <c r="AS323" s="5"/>
      <c r="AT323" s="20"/>
      <c r="AU323" s="1182"/>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81"/>
      <c r="E324" s="389">
        <f t="shared" si="177"/>
        <v>0</v>
      </c>
      <c r="F324" s="20"/>
      <c r="G324" s="3890">
        <f t="shared" si="152"/>
        <v>0</v>
      </c>
      <c r="H324" s="1282">
        <f t="shared" si="153"/>
        <v>0</v>
      </c>
      <c r="I324" s="3891"/>
      <c r="J324" s="3891"/>
      <c r="K324" s="3891"/>
      <c r="L324" s="3891"/>
      <c r="M324" s="3891"/>
      <c r="N324" s="3891"/>
      <c r="O324" s="3891"/>
      <c r="P324" s="3891"/>
      <c r="Q324" s="3891"/>
      <c r="R324" s="3891"/>
      <c r="S324" s="3891"/>
      <c r="T324" s="3891"/>
      <c r="U324" s="3891"/>
      <c r="V324" s="3891"/>
      <c r="W324" s="3891"/>
      <c r="X324" s="3891"/>
      <c r="Y324" s="3891"/>
      <c r="Z324" s="3891"/>
      <c r="AA324" s="3891"/>
      <c r="AB324" s="3891"/>
      <c r="AC324" s="389">
        <f t="shared" si="154"/>
        <v>0</v>
      </c>
      <c r="AD324" s="5"/>
      <c r="AE324" s="5"/>
      <c r="AF324" s="5"/>
      <c r="AG324" s="5"/>
      <c r="AH324" s="5"/>
      <c r="AI324" s="5"/>
      <c r="AJ324" s="5"/>
      <c r="AK324" s="5"/>
      <c r="AL324" s="5"/>
      <c r="AM324" s="5"/>
      <c r="AN324" s="5"/>
      <c r="AO324" s="5"/>
      <c r="AP324" s="5"/>
      <c r="AQ324" s="5"/>
      <c r="AR324" s="5"/>
      <c r="AS324" s="5"/>
      <c r="AT324" s="20"/>
      <c r="AU324" s="1182"/>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81"/>
      <c r="E325" s="389">
        <f t="shared" si="177"/>
        <v>0</v>
      </c>
      <c r="F325" s="20"/>
      <c r="G325" s="3890">
        <f t="shared" si="152"/>
        <v>0</v>
      </c>
      <c r="H325" s="1282">
        <f t="shared" si="153"/>
        <v>0</v>
      </c>
      <c r="I325" s="3891"/>
      <c r="J325" s="3891"/>
      <c r="K325" s="3891"/>
      <c r="L325" s="3891"/>
      <c r="M325" s="3891"/>
      <c r="N325" s="3891"/>
      <c r="O325" s="3891"/>
      <c r="P325" s="3891"/>
      <c r="Q325" s="3891"/>
      <c r="R325" s="3891"/>
      <c r="S325" s="3891"/>
      <c r="T325" s="3891"/>
      <c r="U325" s="3891"/>
      <c r="V325" s="3891"/>
      <c r="W325" s="3891"/>
      <c r="X325" s="3891"/>
      <c r="Y325" s="3891"/>
      <c r="Z325" s="3891"/>
      <c r="AA325" s="3891"/>
      <c r="AB325" s="3891"/>
      <c r="AC325" s="389">
        <f t="shared" si="154"/>
        <v>0</v>
      </c>
      <c r="AD325" s="5"/>
      <c r="AE325" s="5"/>
      <c r="AF325" s="5"/>
      <c r="AG325" s="5"/>
      <c r="AH325" s="5"/>
      <c r="AI325" s="5"/>
      <c r="AJ325" s="5"/>
      <c r="AK325" s="5"/>
      <c r="AL325" s="5"/>
      <c r="AM325" s="5"/>
      <c r="AN325" s="5"/>
      <c r="AO325" s="5"/>
      <c r="AP325" s="5"/>
      <c r="AQ325" s="5"/>
      <c r="AR325" s="5"/>
      <c r="AS325" s="5"/>
      <c r="AT325" s="20"/>
      <c r="AU325" s="1182"/>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81"/>
      <c r="E326" s="389">
        <f t="shared" si="177"/>
        <v>0</v>
      </c>
      <c r="F326" s="20"/>
      <c r="G326" s="3890">
        <f t="shared" si="152"/>
        <v>0</v>
      </c>
      <c r="H326" s="1282">
        <f t="shared" si="153"/>
        <v>0</v>
      </c>
      <c r="I326" s="3891"/>
      <c r="J326" s="3891"/>
      <c r="K326" s="3891"/>
      <c r="L326" s="3891"/>
      <c r="M326" s="3891"/>
      <c r="N326" s="3891"/>
      <c r="O326" s="3891"/>
      <c r="P326" s="3891"/>
      <c r="Q326" s="3891"/>
      <c r="R326" s="3891"/>
      <c r="S326" s="3891"/>
      <c r="T326" s="3891"/>
      <c r="U326" s="3891"/>
      <c r="V326" s="3891"/>
      <c r="W326" s="3891"/>
      <c r="X326" s="3891"/>
      <c r="Y326" s="3891"/>
      <c r="Z326" s="3891"/>
      <c r="AA326" s="3891"/>
      <c r="AB326" s="3891"/>
      <c r="AC326" s="389">
        <f t="shared" si="154"/>
        <v>0</v>
      </c>
      <c r="AD326" s="5"/>
      <c r="AE326" s="5"/>
      <c r="AF326" s="5"/>
      <c r="AG326" s="5"/>
      <c r="AH326" s="5"/>
      <c r="AI326" s="5"/>
      <c r="AJ326" s="5"/>
      <c r="AK326" s="5"/>
      <c r="AL326" s="5"/>
      <c r="AM326" s="5"/>
      <c r="AN326" s="5"/>
      <c r="AO326" s="5"/>
      <c r="AP326" s="5"/>
      <c r="AQ326" s="5"/>
      <c r="AR326" s="5"/>
      <c r="AS326" s="5"/>
      <c r="AT326" s="20"/>
      <c r="AU326" s="1182"/>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81"/>
      <c r="E327" s="389">
        <f t="shared" si="177"/>
        <v>0</v>
      </c>
      <c r="F327" s="20"/>
      <c r="G327" s="3890">
        <f t="shared" si="152"/>
        <v>0</v>
      </c>
      <c r="H327" s="1282">
        <f t="shared" si="153"/>
        <v>0</v>
      </c>
      <c r="I327" s="3891"/>
      <c r="J327" s="3891"/>
      <c r="K327" s="3891"/>
      <c r="L327" s="3891"/>
      <c r="M327" s="3891"/>
      <c r="N327" s="3891"/>
      <c r="O327" s="3891"/>
      <c r="P327" s="3891"/>
      <c r="Q327" s="3891"/>
      <c r="R327" s="3891"/>
      <c r="S327" s="3891"/>
      <c r="T327" s="3891"/>
      <c r="U327" s="3891"/>
      <c r="V327" s="3891"/>
      <c r="W327" s="3891"/>
      <c r="X327" s="3891"/>
      <c r="Y327" s="3891"/>
      <c r="Z327" s="3891"/>
      <c r="AA327" s="3891"/>
      <c r="AB327" s="3891"/>
      <c r="AC327" s="389">
        <f t="shared" si="154"/>
        <v>0</v>
      </c>
      <c r="AD327" s="5"/>
      <c r="AE327" s="5"/>
      <c r="AF327" s="5"/>
      <c r="AG327" s="5"/>
      <c r="AH327" s="5"/>
      <c r="AI327" s="5"/>
      <c r="AJ327" s="5"/>
      <c r="AK327" s="5"/>
      <c r="AL327" s="5"/>
      <c r="AM327" s="5"/>
      <c r="AN327" s="5"/>
      <c r="AO327" s="5"/>
      <c r="AP327" s="5"/>
      <c r="AQ327" s="5"/>
      <c r="AR327" s="5"/>
      <c r="AS327" s="5"/>
      <c r="AT327" s="20"/>
      <c r="AU327" s="1182"/>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81"/>
      <c r="E328" s="389">
        <f t="shared" si="177"/>
        <v>0</v>
      </c>
      <c r="F328" s="20"/>
      <c r="G328" s="3890">
        <f t="shared" si="152"/>
        <v>0</v>
      </c>
      <c r="H328" s="1282">
        <f t="shared" si="153"/>
        <v>0</v>
      </c>
      <c r="I328" s="3891"/>
      <c r="J328" s="3891"/>
      <c r="K328" s="3891"/>
      <c r="L328" s="3891"/>
      <c r="M328" s="3891"/>
      <c r="N328" s="3891"/>
      <c r="O328" s="3891"/>
      <c r="P328" s="3891"/>
      <c r="Q328" s="3891"/>
      <c r="R328" s="3891"/>
      <c r="S328" s="3891"/>
      <c r="T328" s="3891"/>
      <c r="U328" s="3891"/>
      <c r="V328" s="3891"/>
      <c r="W328" s="3891"/>
      <c r="X328" s="3891"/>
      <c r="Y328" s="3891"/>
      <c r="Z328" s="3891"/>
      <c r="AA328" s="3891"/>
      <c r="AB328" s="3891"/>
      <c r="AC328" s="389">
        <f t="shared" si="154"/>
        <v>0</v>
      </c>
      <c r="AD328" s="5"/>
      <c r="AE328" s="5"/>
      <c r="AF328" s="5"/>
      <c r="AG328" s="5"/>
      <c r="AH328" s="5"/>
      <c r="AI328" s="5"/>
      <c r="AJ328" s="5"/>
      <c r="AK328" s="5"/>
      <c r="AL328" s="5"/>
      <c r="AM328" s="5"/>
      <c r="AN328" s="5"/>
      <c r="AO328" s="5"/>
      <c r="AP328" s="5"/>
      <c r="AQ328" s="5"/>
      <c r="AR328" s="5"/>
      <c r="AS328" s="5"/>
      <c r="AT328" s="20"/>
      <c r="AU328" s="1182"/>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81"/>
      <c r="E329" s="389">
        <f t="shared" si="177"/>
        <v>0</v>
      </c>
      <c r="F329" s="20"/>
      <c r="G329" s="3890">
        <f t="shared" si="152"/>
        <v>0</v>
      </c>
      <c r="H329" s="1282">
        <f t="shared" si="153"/>
        <v>0</v>
      </c>
      <c r="I329" s="3891"/>
      <c r="J329" s="3891"/>
      <c r="K329" s="3891"/>
      <c r="L329" s="3891"/>
      <c r="M329" s="3891"/>
      <c r="N329" s="3891"/>
      <c r="O329" s="3891"/>
      <c r="P329" s="3891"/>
      <c r="Q329" s="3891"/>
      <c r="R329" s="3891"/>
      <c r="S329" s="3891"/>
      <c r="T329" s="3891"/>
      <c r="U329" s="3891"/>
      <c r="V329" s="3891"/>
      <c r="W329" s="3891"/>
      <c r="X329" s="3891"/>
      <c r="Y329" s="3891"/>
      <c r="Z329" s="3891"/>
      <c r="AA329" s="3891"/>
      <c r="AB329" s="3891"/>
      <c r="AC329" s="389">
        <f t="shared" si="154"/>
        <v>0</v>
      </c>
      <c r="AD329" s="5"/>
      <c r="AE329" s="5"/>
      <c r="AF329" s="5"/>
      <c r="AG329" s="5"/>
      <c r="AH329" s="5"/>
      <c r="AI329" s="5"/>
      <c r="AJ329" s="5"/>
      <c r="AK329" s="5"/>
      <c r="AL329" s="5"/>
      <c r="AM329" s="5"/>
      <c r="AN329" s="5"/>
      <c r="AO329" s="5"/>
      <c r="AP329" s="5"/>
      <c r="AQ329" s="5"/>
      <c r="AR329" s="5"/>
      <c r="AS329" s="5"/>
      <c r="AT329" s="20"/>
      <c r="AU329" s="1182"/>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81"/>
      <c r="E330" s="389">
        <f t="shared" si="177"/>
        <v>0</v>
      </c>
      <c r="F330" s="20"/>
      <c r="G330" s="3890">
        <f t="shared" si="152"/>
        <v>0</v>
      </c>
      <c r="H330" s="1282">
        <f t="shared" si="153"/>
        <v>0</v>
      </c>
      <c r="I330" s="3891"/>
      <c r="J330" s="3891"/>
      <c r="K330" s="3891"/>
      <c r="L330" s="3891"/>
      <c r="M330" s="3891"/>
      <c r="N330" s="3891"/>
      <c r="O330" s="3891"/>
      <c r="P330" s="3891"/>
      <c r="Q330" s="3891"/>
      <c r="R330" s="3891"/>
      <c r="S330" s="3891"/>
      <c r="T330" s="3891"/>
      <c r="U330" s="3891"/>
      <c r="V330" s="3891"/>
      <c r="W330" s="3891"/>
      <c r="X330" s="3891"/>
      <c r="Y330" s="3891"/>
      <c r="Z330" s="3891"/>
      <c r="AA330" s="3891"/>
      <c r="AB330" s="3891"/>
      <c r="AC330" s="389">
        <f t="shared" si="154"/>
        <v>0</v>
      </c>
      <c r="AD330" s="5"/>
      <c r="AE330" s="5"/>
      <c r="AF330" s="5"/>
      <c r="AG330" s="5"/>
      <c r="AH330" s="5"/>
      <c r="AI330" s="5"/>
      <c r="AJ330" s="5"/>
      <c r="AK330" s="5"/>
      <c r="AL330" s="5"/>
      <c r="AM330" s="5"/>
      <c r="AN330" s="5"/>
      <c r="AO330" s="5"/>
      <c r="AP330" s="5"/>
      <c r="AQ330" s="5"/>
      <c r="AR330" s="5"/>
      <c r="AS330" s="5"/>
      <c r="AT330" s="20"/>
      <c r="AU330" s="1182"/>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81"/>
      <c r="E331" s="389">
        <f t="shared" si="177"/>
        <v>0</v>
      </c>
      <c r="F331" s="20"/>
      <c r="G331" s="3890">
        <f t="shared" si="152"/>
        <v>0</v>
      </c>
      <c r="H331" s="1282">
        <f t="shared" si="153"/>
        <v>0</v>
      </c>
      <c r="I331" s="3891"/>
      <c r="J331" s="3891"/>
      <c r="K331" s="3891"/>
      <c r="L331" s="3891"/>
      <c r="M331" s="3891"/>
      <c r="N331" s="3891"/>
      <c r="O331" s="3891"/>
      <c r="P331" s="3891"/>
      <c r="Q331" s="3891"/>
      <c r="R331" s="3891"/>
      <c r="S331" s="3891"/>
      <c r="T331" s="3891"/>
      <c r="U331" s="3891"/>
      <c r="V331" s="3891"/>
      <c r="W331" s="3891"/>
      <c r="X331" s="3891"/>
      <c r="Y331" s="3891"/>
      <c r="Z331" s="3891"/>
      <c r="AA331" s="3891"/>
      <c r="AB331" s="3891"/>
      <c r="AC331" s="389">
        <f t="shared" si="154"/>
        <v>0</v>
      </c>
      <c r="AD331" s="5"/>
      <c r="AE331" s="5"/>
      <c r="AF331" s="5"/>
      <c r="AG331" s="5"/>
      <c r="AH331" s="5"/>
      <c r="AI331" s="5"/>
      <c r="AJ331" s="5"/>
      <c r="AK331" s="5"/>
      <c r="AL331" s="5"/>
      <c r="AM331" s="5"/>
      <c r="AN331" s="5"/>
      <c r="AO331" s="5"/>
      <c r="AP331" s="5"/>
      <c r="AQ331" s="5"/>
      <c r="AR331" s="5"/>
      <c r="AS331" s="5"/>
      <c r="AT331" s="20"/>
      <c r="AU331" s="1182"/>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81"/>
      <c r="E332" s="389">
        <f t="shared" si="177"/>
        <v>0</v>
      </c>
      <c r="F332" s="20"/>
      <c r="G332" s="3890">
        <f t="shared" ref="G332:G363" si="181">H332+AC332+AT332</f>
        <v>0</v>
      </c>
      <c r="H332" s="1282">
        <f t="shared" ref="H332:H363" si="182">SUMIF(I$12:AB$12,"总值",I332:AB332)</f>
        <v>0</v>
      </c>
      <c r="I332" s="3891"/>
      <c r="J332" s="3891"/>
      <c r="K332" s="3891"/>
      <c r="L332" s="3891"/>
      <c r="M332" s="3891"/>
      <c r="N332" s="3891"/>
      <c r="O332" s="3891"/>
      <c r="P332" s="3891"/>
      <c r="Q332" s="3891"/>
      <c r="R332" s="3891"/>
      <c r="S332" s="3891"/>
      <c r="T332" s="3891"/>
      <c r="U332" s="3891"/>
      <c r="V332" s="3891"/>
      <c r="W332" s="3891"/>
      <c r="X332" s="3891"/>
      <c r="Y332" s="3891"/>
      <c r="Z332" s="3891"/>
      <c r="AA332" s="3891"/>
      <c r="AB332" s="3891"/>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82"/>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81"/>
      <c r="E333" s="389">
        <f t="shared" si="177"/>
        <v>0</v>
      </c>
      <c r="F333" s="20"/>
      <c r="G333" s="3890">
        <f t="shared" si="181"/>
        <v>0</v>
      </c>
      <c r="H333" s="1282">
        <f t="shared" si="182"/>
        <v>0</v>
      </c>
      <c r="I333" s="3891"/>
      <c r="J333" s="3891"/>
      <c r="K333" s="3891"/>
      <c r="L333" s="3891"/>
      <c r="M333" s="3891"/>
      <c r="N333" s="3891"/>
      <c r="O333" s="3891"/>
      <c r="P333" s="3891"/>
      <c r="Q333" s="3891"/>
      <c r="R333" s="3891"/>
      <c r="S333" s="3891"/>
      <c r="T333" s="3891"/>
      <c r="U333" s="3891"/>
      <c r="V333" s="3891"/>
      <c r="W333" s="3891"/>
      <c r="X333" s="3891"/>
      <c r="Y333" s="3891"/>
      <c r="Z333" s="3891"/>
      <c r="AA333" s="3891"/>
      <c r="AB333" s="3891"/>
      <c r="AC333" s="389">
        <f t="shared" si="183"/>
        <v>0</v>
      </c>
      <c r="AD333" s="5"/>
      <c r="AE333" s="5"/>
      <c r="AF333" s="5"/>
      <c r="AG333" s="5"/>
      <c r="AH333" s="5"/>
      <c r="AI333" s="5"/>
      <c r="AJ333" s="5"/>
      <c r="AK333" s="5"/>
      <c r="AL333" s="5"/>
      <c r="AM333" s="5"/>
      <c r="AN333" s="5"/>
      <c r="AO333" s="5"/>
      <c r="AP333" s="5"/>
      <c r="AQ333" s="5"/>
      <c r="AR333" s="5"/>
      <c r="AS333" s="5"/>
      <c r="AT333" s="20"/>
      <c r="AU333" s="1182"/>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81"/>
      <c r="E334" s="389">
        <f t="shared" si="177"/>
        <v>0</v>
      </c>
      <c r="F334" s="20"/>
      <c r="G334" s="3890">
        <f t="shared" si="181"/>
        <v>0</v>
      </c>
      <c r="H334" s="1282">
        <f t="shared" si="182"/>
        <v>0</v>
      </c>
      <c r="I334" s="3891"/>
      <c r="J334" s="3891"/>
      <c r="K334" s="3891"/>
      <c r="L334" s="3891"/>
      <c r="M334" s="3891"/>
      <c r="N334" s="3891"/>
      <c r="O334" s="3891"/>
      <c r="P334" s="3891"/>
      <c r="Q334" s="3891"/>
      <c r="R334" s="3891"/>
      <c r="S334" s="3891"/>
      <c r="T334" s="3891"/>
      <c r="U334" s="3891"/>
      <c r="V334" s="3891"/>
      <c r="W334" s="3891"/>
      <c r="X334" s="3891"/>
      <c r="Y334" s="3891"/>
      <c r="Z334" s="3891"/>
      <c r="AA334" s="3891"/>
      <c r="AB334" s="3891"/>
      <c r="AC334" s="389">
        <f t="shared" si="183"/>
        <v>0</v>
      </c>
      <c r="AD334" s="5"/>
      <c r="AE334" s="5"/>
      <c r="AF334" s="5"/>
      <c r="AG334" s="5"/>
      <c r="AH334" s="5"/>
      <c r="AI334" s="5"/>
      <c r="AJ334" s="5"/>
      <c r="AK334" s="5"/>
      <c r="AL334" s="5"/>
      <c r="AM334" s="5"/>
      <c r="AN334" s="5"/>
      <c r="AO334" s="5"/>
      <c r="AP334" s="5"/>
      <c r="AQ334" s="5"/>
      <c r="AR334" s="5"/>
      <c r="AS334" s="5"/>
      <c r="AT334" s="20"/>
      <c r="AU334" s="1182"/>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81"/>
      <c r="E335" s="389">
        <f t="shared" ref="E335:E366" si="206">IF($C$3="是",ROUND($A$3*G335/$B$3,2),ROUND($A$3*(G335-AT335)/$B$3,2))</f>
        <v>0</v>
      </c>
      <c r="F335" s="20"/>
      <c r="G335" s="3890">
        <f t="shared" si="181"/>
        <v>0</v>
      </c>
      <c r="H335" s="1282">
        <f t="shared" si="182"/>
        <v>0</v>
      </c>
      <c r="I335" s="3891"/>
      <c r="J335" s="3891"/>
      <c r="K335" s="3891"/>
      <c r="L335" s="3891"/>
      <c r="M335" s="3891"/>
      <c r="N335" s="3891"/>
      <c r="O335" s="3891"/>
      <c r="P335" s="3891"/>
      <c r="Q335" s="3891"/>
      <c r="R335" s="3891"/>
      <c r="S335" s="3891"/>
      <c r="T335" s="3891"/>
      <c r="U335" s="3891"/>
      <c r="V335" s="3891"/>
      <c r="W335" s="3891"/>
      <c r="X335" s="3891"/>
      <c r="Y335" s="3891"/>
      <c r="Z335" s="3891"/>
      <c r="AA335" s="3891"/>
      <c r="AB335" s="3891"/>
      <c r="AC335" s="389">
        <f t="shared" si="183"/>
        <v>0</v>
      </c>
      <c r="AD335" s="5"/>
      <c r="AE335" s="5"/>
      <c r="AF335" s="5"/>
      <c r="AG335" s="5"/>
      <c r="AH335" s="5"/>
      <c r="AI335" s="5"/>
      <c r="AJ335" s="5"/>
      <c r="AK335" s="5"/>
      <c r="AL335" s="5"/>
      <c r="AM335" s="5"/>
      <c r="AN335" s="5"/>
      <c r="AO335" s="5"/>
      <c r="AP335" s="5"/>
      <c r="AQ335" s="5"/>
      <c r="AR335" s="5"/>
      <c r="AS335" s="5"/>
      <c r="AT335" s="20"/>
      <c r="AU335" s="1182"/>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81"/>
      <c r="E336" s="389">
        <f t="shared" si="206"/>
        <v>0</v>
      </c>
      <c r="F336" s="20"/>
      <c r="G336" s="3890">
        <f t="shared" si="181"/>
        <v>0</v>
      </c>
      <c r="H336" s="1282">
        <f t="shared" si="182"/>
        <v>0</v>
      </c>
      <c r="I336" s="3891"/>
      <c r="J336" s="3891"/>
      <c r="K336" s="3891"/>
      <c r="L336" s="3891"/>
      <c r="M336" s="3891"/>
      <c r="N336" s="3891"/>
      <c r="O336" s="3891"/>
      <c r="P336" s="3891"/>
      <c r="Q336" s="3891"/>
      <c r="R336" s="3891"/>
      <c r="S336" s="3891"/>
      <c r="T336" s="3891"/>
      <c r="U336" s="3891"/>
      <c r="V336" s="3891"/>
      <c r="W336" s="3891"/>
      <c r="X336" s="3891"/>
      <c r="Y336" s="3891"/>
      <c r="Z336" s="3891"/>
      <c r="AA336" s="3891"/>
      <c r="AB336" s="3891"/>
      <c r="AC336" s="389">
        <f t="shared" si="183"/>
        <v>0</v>
      </c>
      <c r="AD336" s="5"/>
      <c r="AE336" s="5"/>
      <c r="AF336" s="5"/>
      <c r="AG336" s="5"/>
      <c r="AH336" s="5"/>
      <c r="AI336" s="5"/>
      <c r="AJ336" s="5"/>
      <c r="AK336" s="5"/>
      <c r="AL336" s="5"/>
      <c r="AM336" s="5"/>
      <c r="AN336" s="5"/>
      <c r="AO336" s="5"/>
      <c r="AP336" s="5"/>
      <c r="AQ336" s="5"/>
      <c r="AR336" s="5"/>
      <c r="AS336" s="5"/>
      <c r="AT336" s="20"/>
      <c r="AU336" s="1182"/>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81"/>
      <c r="E337" s="389">
        <f t="shared" si="206"/>
        <v>0</v>
      </c>
      <c r="F337" s="20"/>
      <c r="G337" s="3890">
        <f t="shared" si="181"/>
        <v>0</v>
      </c>
      <c r="H337" s="1282">
        <f t="shared" si="182"/>
        <v>0</v>
      </c>
      <c r="I337" s="3891"/>
      <c r="J337" s="3891"/>
      <c r="K337" s="3891"/>
      <c r="L337" s="3891"/>
      <c r="M337" s="3891"/>
      <c r="N337" s="3891"/>
      <c r="O337" s="3891"/>
      <c r="P337" s="3891"/>
      <c r="Q337" s="3891"/>
      <c r="R337" s="3891"/>
      <c r="S337" s="3891"/>
      <c r="T337" s="3891"/>
      <c r="U337" s="3891"/>
      <c r="V337" s="3891"/>
      <c r="W337" s="3891"/>
      <c r="X337" s="3891"/>
      <c r="Y337" s="3891"/>
      <c r="Z337" s="3891"/>
      <c r="AA337" s="3891"/>
      <c r="AB337" s="3891"/>
      <c r="AC337" s="389">
        <f t="shared" si="183"/>
        <v>0</v>
      </c>
      <c r="AD337" s="5"/>
      <c r="AE337" s="5"/>
      <c r="AF337" s="5"/>
      <c r="AG337" s="5"/>
      <c r="AH337" s="5"/>
      <c r="AI337" s="5"/>
      <c r="AJ337" s="5"/>
      <c r="AK337" s="5"/>
      <c r="AL337" s="5"/>
      <c r="AM337" s="5"/>
      <c r="AN337" s="5"/>
      <c r="AO337" s="5"/>
      <c r="AP337" s="5"/>
      <c r="AQ337" s="5"/>
      <c r="AR337" s="5"/>
      <c r="AS337" s="5"/>
      <c r="AT337" s="20"/>
      <c r="AU337" s="1182"/>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81"/>
      <c r="E338" s="389">
        <f t="shared" si="206"/>
        <v>0</v>
      </c>
      <c r="F338" s="20"/>
      <c r="G338" s="3890">
        <f t="shared" si="181"/>
        <v>0</v>
      </c>
      <c r="H338" s="1282">
        <f t="shared" si="182"/>
        <v>0</v>
      </c>
      <c r="I338" s="3891"/>
      <c r="J338" s="3891"/>
      <c r="K338" s="3891"/>
      <c r="L338" s="3891"/>
      <c r="M338" s="3891"/>
      <c r="N338" s="3891"/>
      <c r="O338" s="3891"/>
      <c r="P338" s="3891"/>
      <c r="Q338" s="3891"/>
      <c r="R338" s="3891"/>
      <c r="S338" s="3891"/>
      <c r="T338" s="3891"/>
      <c r="U338" s="3891"/>
      <c r="V338" s="3891"/>
      <c r="W338" s="3891"/>
      <c r="X338" s="3891"/>
      <c r="Y338" s="3891"/>
      <c r="Z338" s="3891"/>
      <c r="AA338" s="3891"/>
      <c r="AB338" s="3891"/>
      <c r="AC338" s="389">
        <f t="shared" si="183"/>
        <v>0</v>
      </c>
      <c r="AD338" s="5"/>
      <c r="AE338" s="5"/>
      <c r="AF338" s="5"/>
      <c r="AG338" s="5"/>
      <c r="AH338" s="5"/>
      <c r="AI338" s="5"/>
      <c r="AJ338" s="5"/>
      <c r="AK338" s="5"/>
      <c r="AL338" s="5"/>
      <c r="AM338" s="5"/>
      <c r="AN338" s="5"/>
      <c r="AO338" s="5"/>
      <c r="AP338" s="5"/>
      <c r="AQ338" s="5"/>
      <c r="AR338" s="5"/>
      <c r="AS338" s="5"/>
      <c r="AT338" s="20"/>
      <c r="AU338" s="1182"/>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81"/>
      <c r="E339" s="389">
        <f t="shared" si="206"/>
        <v>0</v>
      </c>
      <c r="F339" s="20"/>
      <c r="G339" s="3890">
        <f t="shared" si="181"/>
        <v>0</v>
      </c>
      <c r="H339" s="1282">
        <f t="shared" si="182"/>
        <v>0</v>
      </c>
      <c r="I339" s="3891"/>
      <c r="J339" s="3891"/>
      <c r="K339" s="3891"/>
      <c r="L339" s="3891"/>
      <c r="M339" s="3891"/>
      <c r="N339" s="3891"/>
      <c r="O339" s="3891"/>
      <c r="P339" s="3891"/>
      <c r="Q339" s="3891"/>
      <c r="R339" s="3891"/>
      <c r="S339" s="3891"/>
      <c r="T339" s="3891"/>
      <c r="U339" s="3891"/>
      <c r="V339" s="3891"/>
      <c r="W339" s="3891"/>
      <c r="X339" s="3891"/>
      <c r="Y339" s="3891"/>
      <c r="Z339" s="3891"/>
      <c r="AA339" s="3891"/>
      <c r="AB339" s="3891"/>
      <c r="AC339" s="389">
        <f t="shared" si="183"/>
        <v>0</v>
      </c>
      <c r="AD339" s="5"/>
      <c r="AE339" s="5"/>
      <c r="AF339" s="5"/>
      <c r="AG339" s="5"/>
      <c r="AH339" s="5"/>
      <c r="AI339" s="5"/>
      <c r="AJ339" s="5"/>
      <c r="AK339" s="5"/>
      <c r="AL339" s="5"/>
      <c r="AM339" s="5"/>
      <c r="AN339" s="5"/>
      <c r="AO339" s="5"/>
      <c r="AP339" s="5"/>
      <c r="AQ339" s="5"/>
      <c r="AR339" s="5"/>
      <c r="AS339" s="5"/>
      <c r="AT339" s="20"/>
      <c r="AU339" s="1182"/>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81"/>
      <c r="E340" s="389">
        <f t="shared" si="206"/>
        <v>0</v>
      </c>
      <c r="F340" s="20"/>
      <c r="G340" s="3890">
        <f t="shared" si="181"/>
        <v>0</v>
      </c>
      <c r="H340" s="1282">
        <f t="shared" si="182"/>
        <v>0</v>
      </c>
      <c r="I340" s="3891"/>
      <c r="J340" s="3891"/>
      <c r="K340" s="3891"/>
      <c r="L340" s="3891"/>
      <c r="M340" s="3891"/>
      <c r="N340" s="3891"/>
      <c r="O340" s="3891"/>
      <c r="P340" s="3891"/>
      <c r="Q340" s="3891"/>
      <c r="R340" s="3891"/>
      <c r="S340" s="3891"/>
      <c r="T340" s="3891"/>
      <c r="U340" s="3891"/>
      <c r="V340" s="3891"/>
      <c r="W340" s="3891"/>
      <c r="X340" s="3891"/>
      <c r="Y340" s="3891"/>
      <c r="Z340" s="3891"/>
      <c r="AA340" s="3891"/>
      <c r="AB340" s="3891"/>
      <c r="AC340" s="389">
        <f t="shared" si="183"/>
        <v>0</v>
      </c>
      <c r="AD340" s="5"/>
      <c r="AE340" s="5"/>
      <c r="AF340" s="5"/>
      <c r="AG340" s="5"/>
      <c r="AH340" s="5"/>
      <c r="AI340" s="5"/>
      <c r="AJ340" s="5"/>
      <c r="AK340" s="5"/>
      <c r="AL340" s="5"/>
      <c r="AM340" s="5"/>
      <c r="AN340" s="5"/>
      <c r="AO340" s="5"/>
      <c r="AP340" s="5"/>
      <c r="AQ340" s="5"/>
      <c r="AR340" s="5"/>
      <c r="AS340" s="5"/>
      <c r="AT340" s="20"/>
      <c r="AU340" s="1182"/>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81"/>
      <c r="E341" s="389">
        <f t="shared" si="206"/>
        <v>0</v>
      </c>
      <c r="F341" s="20"/>
      <c r="G341" s="3890">
        <f t="shared" si="181"/>
        <v>0</v>
      </c>
      <c r="H341" s="1282">
        <f t="shared" si="182"/>
        <v>0</v>
      </c>
      <c r="I341" s="3891"/>
      <c r="J341" s="3891"/>
      <c r="K341" s="3891"/>
      <c r="L341" s="3891"/>
      <c r="M341" s="3891"/>
      <c r="N341" s="3891"/>
      <c r="O341" s="3891"/>
      <c r="P341" s="3891"/>
      <c r="Q341" s="3891"/>
      <c r="R341" s="3891"/>
      <c r="S341" s="3891"/>
      <c r="T341" s="3891"/>
      <c r="U341" s="3891"/>
      <c r="V341" s="3891"/>
      <c r="W341" s="3891"/>
      <c r="X341" s="3891"/>
      <c r="Y341" s="3891"/>
      <c r="Z341" s="3891"/>
      <c r="AA341" s="3891"/>
      <c r="AB341" s="3891"/>
      <c r="AC341" s="389">
        <f t="shared" si="183"/>
        <v>0</v>
      </c>
      <c r="AD341" s="5"/>
      <c r="AE341" s="5"/>
      <c r="AF341" s="5"/>
      <c r="AG341" s="5"/>
      <c r="AH341" s="5"/>
      <c r="AI341" s="5"/>
      <c r="AJ341" s="5"/>
      <c r="AK341" s="5"/>
      <c r="AL341" s="5"/>
      <c r="AM341" s="5"/>
      <c r="AN341" s="5"/>
      <c r="AO341" s="5"/>
      <c r="AP341" s="5"/>
      <c r="AQ341" s="5"/>
      <c r="AR341" s="5"/>
      <c r="AS341" s="5"/>
      <c r="AT341" s="20"/>
      <c r="AU341" s="1182"/>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81"/>
      <c r="E342" s="389">
        <f t="shared" si="206"/>
        <v>0</v>
      </c>
      <c r="F342" s="20"/>
      <c r="G342" s="3890">
        <f t="shared" si="181"/>
        <v>0</v>
      </c>
      <c r="H342" s="1282">
        <f t="shared" si="182"/>
        <v>0</v>
      </c>
      <c r="I342" s="3891"/>
      <c r="J342" s="3891"/>
      <c r="K342" s="3891"/>
      <c r="L342" s="3891"/>
      <c r="M342" s="3891"/>
      <c r="N342" s="3891"/>
      <c r="O342" s="3891"/>
      <c r="P342" s="3891"/>
      <c r="Q342" s="3891"/>
      <c r="R342" s="3891"/>
      <c r="S342" s="3891"/>
      <c r="T342" s="3891"/>
      <c r="U342" s="3891"/>
      <c r="V342" s="3891"/>
      <c r="W342" s="3891"/>
      <c r="X342" s="3891"/>
      <c r="Y342" s="3891"/>
      <c r="Z342" s="3891"/>
      <c r="AA342" s="3891"/>
      <c r="AB342" s="3891"/>
      <c r="AC342" s="389">
        <f t="shared" si="183"/>
        <v>0</v>
      </c>
      <c r="AD342" s="5"/>
      <c r="AE342" s="5"/>
      <c r="AF342" s="5"/>
      <c r="AG342" s="5"/>
      <c r="AH342" s="5"/>
      <c r="AI342" s="5"/>
      <c r="AJ342" s="5"/>
      <c r="AK342" s="5"/>
      <c r="AL342" s="5"/>
      <c r="AM342" s="5"/>
      <c r="AN342" s="5"/>
      <c r="AO342" s="5"/>
      <c r="AP342" s="5"/>
      <c r="AQ342" s="5"/>
      <c r="AR342" s="5"/>
      <c r="AS342" s="5"/>
      <c r="AT342" s="20"/>
      <c r="AU342" s="1182"/>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81"/>
      <c r="E343" s="389">
        <f t="shared" si="206"/>
        <v>0</v>
      </c>
      <c r="F343" s="20"/>
      <c r="G343" s="3890">
        <f t="shared" si="181"/>
        <v>0</v>
      </c>
      <c r="H343" s="1282">
        <f t="shared" si="182"/>
        <v>0</v>
      </c>
      <c r="I343" s="3891"/>
      <c r="J343" s="3891"/>
      <c r="K343" s="3891"/>
      <c r="L343" s="3891"/>
      <c r="M343" s="3891"/>
      <c r="N343" s="3891"/>
      <c r="O343" s="3891"/>
      <c r="P343" s="3891"/>
      <c r="Q343" s="3891"/>
      <c r="R343" s="3891"/>
      <c r="S343" s="3891"/>
      <c r="T343" s="3891"/>
      <c r="U343" s="3891"/>
      <c r="V343" s="3891"/>
      <c r="W343" s="3891"/>
      <c r="X343" s="3891"/>
      <c r="Y343" s="3891"/>
      <c r="Z343" s="3891"/>
      <c r="AA343" s="3891"/>
      <c r="AB343" s="3891"/>
      <c r="AC343" s="389">
        <f t="shared" si="183"/>
        <v>0</v>
      </c>
      <c r="AD343" s="5"/>
      <c r="AE343" s="5"/>
      <c r="AF343" s="5"/>
      <c r="AG343" s="5"/>
      <c r="AH343" s="5"/>
      <c r="AI343" s="5"/>
      <c r="AJ343" s="5"/>
      <c r="AK343" s="5"/>
      <c r="AL343" s="5"/>
      <c r="AM343" s="5"/>
      <c r="AN343" s="5"/>
      <c r="AO343" s="5"/>
      <c r="AP343" s="5"/>
      <c r="AQ343" s="5"/>
      <c r="AR343" s="5"/>
      <c r="AS343" s="5"/>
      <c r="AT343" s="20"/>
      <c r="AU343" s="1182"/>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81"/>
      <c r="E344" s="389">
        <f t="shared" si="206"/>
        <v>0</v>
      </c>
      <c r="F344" s="20"/>
      <c r="G344" s="3890">
        <f t="shared" si="181"/>
        <v>0</v>
      </c>
      <c r="H344" s="1282">
        <f t="shared" si="182"/>
        <v>0</v>
      </c>
      <c r="I344" s="3891"/>
      <c r="J344" s="3891"/>
      <c r="K344" s="3891"/>
      <c r="L344" s="3891"/>
      <c r="M344" s="3891"/>
      <c r="N344" s="3891"/>
      <c r="O344" s="3891"/>
      <c r="P344" s="3891"/>
      <c r="Q344" s="3891"/>
      <c r="R344" s="3891"/>
      <c r="S344" s="3891"/>
      <c r="T344" s="3891"/>
      <c r="U344" s="3891"/>
      <c r="V344" s="3891"/>
      <c r="W344" s="3891"/>
      <c r="X344" s="3891"/>
      <c r="Y344" s="3891"/>
      <c r="Z344" s="3891"/>
      <c r="AA344" s="3891"/>
      <c r="AB344" s="3891"/>
      <c r="AC344" s="389">
        <f t="shared" si="183"/>
        <v>0</v>
      </c>
      <c r="AD344" s="5"/>
      <c r="AE344" s="5"/>
      <c r="AF344" s="5"/>
      <c r="AG344" s="5"/>
      <c r="AH344" s="5"/>
      <c r="AI344" s="5"/>
      <c r="AJ344" s="5"/>
      <c r="AK344" s="5"/>
      <c r="AL344" s="5"/>
      <c r="AM344" s="5"/>
      <c r="AN344" s="5"/>
      <c r="AO344" s="5"/>
      <c r="AP344" s="5"/>
      <c r="AQ344" s="5"/>
      <c r="AR344" s="5"/>
      <c r="AS344" s="5"/>
      <c r="AT344" s="20"/>
      <c r="AU344" s="1182"/>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81"/>
      <c r="E345" s="389">
        <f t="shared" si="206"/>
        <v>0</v>
      </c>
      <c r="F345" s="20"/>
      <c r="G345" s="3890">
        <f t="shared" si="181"/>
        <v>0</v>
      </c>
      <c r="H345" s="1282">
        <f t="shared" si="182"/>
        <v>0</v>
      </c>
      <c r="I345" s="3891"/>
      <c r="J345" s="3891"/>
      <c r="K345" s="3891"/>
      <c r="L345" s="3891"/>
      <c r="M345" s="3891"/>
      <c r="N345" s="3891"/>
      <c r="O345" s="3891"/>
      <c r="P345" s="3891"/>
      <c r="Q345" s="3891"/>
      <c r="R345" s="3891"/>
      <c r="S345" s="3891"/>
      <c r="T345" s="3891"/>
      <c r="U345" s="3891"/>
      <c r="V345" s="3891"/>
      <c r="W345" s="3891"/>
      <c r="X345" s="3891"/>
      <c r="Y345" s="3891"/>
      <c r="Z345" s="3891"/>
      <c r="AA345" s="3891"/>
      <c r="AB345" s="3891"/>
      <c r="AC345" s="389">
        <f t="shared" si="183"/>
        <v>0</v>
      </c>
      <c r="AD345" s="5"/>
      <c r="AE345" s="5"/>
      <c r="AF345" s="5"/>
      <c r="AG345" s="5"/>
      <c r="AH345" s="5"/>
      <c r="AI345" s="5"/>
      <c r="AJ345" s="5"/>
      <c r="AK345" s="5"/>
      <c r="AL345" s="5"/>
      <c r="AM345" s="5"/>
      <c r="AN345" s="5"/>
      <c r="AO345" s="5"/>
      <c r="AP345" s="5"/>
      <c r="AQ345" s="5"/>
      <c r="AR345" s="5"/>
      <c r="AS345" s="5"/>
      <c r="AT345" s="20"/>
      <c r="AU345" s="1182"/>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81"/>
      <c r="E346" s="389">
        <f t="shared" si="206"/>
        <v>0</v>
      </c>
      <c r="F346" s="20"/>
      <c r="G346" s="3890">
        <f t="shared" si="181"/>
        <v>0</v>
      </c>
      <c r="H346" s="1282">
        <f t="shared" si="182"/>
        <v>0</v>
      </c>
      <c r="I346" s="3891"/>
      <c r="J346" s="3891"/>
      <c r="K346" s="3891"/>
      <c r="L346" s="3891"/>
      <c r="M346" s="3891"/>
      <c r="N346" s="3891"/>
      <c r="O346" s="3891"/>
      <c r="P346" s="3891"/>
      <c r="Q346" s="3891"/>
      <c r="R346" s="3891"/>
      <c r="S346" s="3891"/>
      <c r="T346" s="3891"/>
      <c r="U346" s="3891"/>
      <c r="V346" s="3891"/>
      <c r="W346" s="3891"/>
      <c r="X346" s="3891"/>
      <c r="Y346" s="3891"/>
      <c r="Z346" s="3891"/>
      <c r="AA346" s="3891"/>
      <c r="AB346" s="3891"/>
      <c r="AC346" s="389">
        <f t="shared" si="183"/>
        <v>0</v>
      </c>
      <c r="AD346" s="5"/>
      <c r="AE346" s="5"/>
      <c r="AF346" s="5"/>
      <c r="AG346" s="5"/>
      <c r="AH346" s="5"/>
      <c r="AI346" s="5"/>
      <c r="AJ346" s="5"/>
      <c r="AK346" s="5"/>
      <c r="AL346" s="5"/>
      <c r="AM346" s="5"/>
      <c r="AN346" s="5"/>
      <c r="AO346" s="5"/>
      <c r="AP346" s="5"/>
      <c r="AQ346" s="5"/>
      <c r="AR346" s="5"/>
      <c r="AS346" s="5"/>
      <c r="AT346" s="20"/>
      <c r="AU346" s="1182"/>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81"/>
      <c r="E347" s="389">
        <f t="shared" si="206"/>
        <v>0</v>
      </c>
      <c r="F347" s="20"/>
      <c r="G347" s="3890">
        <f t="shared" si="181"/>
        <v>0</v>
      </c>
      <c r="H347" s="1282">
        <f t="shared" si="182"/>
        <v>0</v>
      </c>
      <c r="I347" s="3891"/>
      <c r="J347" s="3891"/>
      <c r="K347" s="3891"/>
      <c r="L347" s="3891"/>
      <c r="M347" s="3891"/>
      <c r="N347" s="3891"/>
      <c r="O347" s="3891"/>
      <c r="P347" s="3891"/>
      <c r="Q347" s="3891"/>
      <c r="R347" s="3891"/>
      <c r="S347" s="3891"/>
      <c r="T347" s="3891"/>
      <c r="U347" s="3891"/>
      <c r="V347" s="3891"/>
      <c r="W347" s="3891"/>
      <c r="X347" s="3891"/>
      <c r="Y347" s="3891"/>
      <c r="Z347" s="3891"/>
      <c r="AA347" s="3891"/>
      <c r="AB347" s="3891"/>
      <c r="AC347" s="389">
        <f t="shared" si="183"/>
        <v>0</v>
      </c>
      <c r="AD347" s="5"/>
      <c r="AE347" s="5"/>
      <c r="AF347" s="5"/>
      <c r="AG347" s="5"/>
      <c r="AH347" s="5"/>
      <c r="AI347" s="5"/>
      <c r="AJ347" s="5"/>
      <c r="AK347" s="5"/>
      <c r="AL347" s="5"/>
      <c r="AM347" s="5"/>
      <c r="AN347" s="5"/>
      <c r="AO347" s="5"/>
      <c r="AP347" s="5"/>
      <c r="AQ347" s="5"/>
      <c r="AR347" s="5"/>
      <c r="AS347" s="5"/>
      <c r="AT347" s="20"/>
      <c r="AU347" s="1182"/>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81"/>
      <c r="E348" s="389">
        <f t="shared" si="206"/>
        <v>0</v>
      </c>
      <c r="F348" s="20"/>
      <c r="G348" s="3890">
        <f t="shared" si="181"/>
        <v>0</v>
      </c>
      <c r="H348" s="1282">
        <f t="shared" si="182"/>
        <v>0</v>
      </c>
      <c r="I348" s="3891"/>
      <c r="J348" s="3891"/>
      <c r="K348" s="3891"/>
      <c r="L348" s="3891"/>
      <c r="M348" s="3891"/>
      <c r="N348" s="3891"/>
      <c r="O348" s="3891"/>
      <c r="P348" s="3891"/>
      <c r="Q348" s="3891"/>
      <c r="R348" s="3891"/>
      <c r="S348" s="3891"/>
      <c r="T348" s="3891"/>
      <c r="U348" s="3891"/>
      <c r="V348" s="3891"/>
      <c r="W348" s="3891"/>
      <c r="X348" s="3891"/>
      <c r="Y348" s="3891"/>
      <c r="Z348" s="3891"/>
      <c r="AA348" s="3891"/>
      <c r="AB348" s="3891"/>
      <c r="AC348" s="389">
        <f t="shared" si="183"/>
        <v>0</v>
      </c>
      <c r="AD348" s="5"/>
      <c r="AE348" s="5"/>
      <c r="AF348" s="5"/>
      <c r="AG348" s="5"/>
      <c r="AH348" s="5"/>
      <c r="AI348" s="5"/>
      <c r="AJ348" s="5"/>
      <c r="AK348" s="5"/>
      <c r="AL348" s="5"/>
      <c r="AM348" s="5"/>
      <c r="AN348" s="5"/>
      <c r="AO348" s="5"/>
      <c r="AP348" s="5"/>
      <c r="AQ348" s="5"/>
      <c r="AR348" s="5"/>
      <c r="AS348" s="5"/>
      <c r="AT348" s="20"/>
      <c r="AU348" s="1182"/>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81"/>
      <c r="E349" s="389">
        <f t="shared" si="206"/>
        <v>0</v>
      </c>
      <c r="F349" s="20"/>
      <c r="G349" s="3890">
        <f t="shared" si="181"/>
        <v>0</v>
      </c>
      <c r="H349" s="1282">
        <f t="shared" si="182"/>
        <v>0</v>
      </c>
      <c r="I349" s="3891"/>
      <c r="J349" s="3891"/>
      <c r="K349" s="3891"/>
      <c r="L349" s="3891"/>
      <c r="M349" s="3891"/>
      <c r="N349" s="3891"/>
      <c r="O349" s="3891"/>
      <c r="P349" s="3891"/>
      <c r="Q349" s="3891"/>
      <c r="R349" s="3891"/>
      <c r="S349" s="3891"/>
      <c r="T349" s="3891"/>
      <c r="U349" s="3891"/>
      <c r="V349" s="3891"/>
      <c r="W349" s="3891"/>
      <c r="X349" s="3891"/>
      <c r="Y349" s="3891"/>
      <c r="Z349" s="3891"/>
      <c r="AA349" s="3891"/>
      <c r="AB349" s="3891"/>
      <c r="AC349" s="389">
        <f t="shared" si="183"/>
        <v>0</v>
      </c>
      <c r="AD349" s="5"/>
      <c r="AE349" s="5"/>
      <c r="AF349" s="5"/>
      <c r="AG349" s="5"/>
      <c r="AH349" s="5"/>
      <c r="AI349" s="5"/>
      <c r="AJ349" s="5"/>
      <c r="AK349" s="5"/>
      <c r="AL349" s="5"/>
      <c r="AM349" s="5"/>
      <c r="AN349" s="5"/>
      <c r="AO349" s="5"/>
      <c r="AP349" s="5"/>
      <c r="AQ349" s="5"/>
      <c r="AR349" s="5"/>
      <c r="AS349" s="5"/>
      <c r="AT349" s="20"/>
      <c r="AU349" s="1182"/>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81"/>
      <c r="E350" s="389">
        <f t="shared" si="206"/>
        <v>0</v>
      </c>
      <c r="F350" s="20"/>
      <c r="G350" s="3890">
        <f t="shared" si="181"/>
        <v>0</v>
      </c>
      <c r="H350" s="1282">
        <f t="shared" si="182"/>
        <v>0</v>
      </c>
      <c r="I350" s="3891"/>
      <c r="J350" s="3891"/>
      <c r="K350" s="3891"/>
      <c r="L350" s="3891"/>
      <c r="M350" s="3891"/>
      <c r="N350" s="3891"/>
      <c r="O350" s="3891"/>
      <c r="P350" s="3891"/>
      <c r="Q350" s="3891"/>
      <c r="R350" s="3891"/>
      <c r="S350" s="3891"/>
      <c r="T350" s="3891"/>
      <c r="U350" s="3891"/>
      <c r="V350" s="3891"/>
      <c r="W350" s="3891"/>
      <c r="X350" s="3891"/>
      <c r="Y350" s="3891"/>
      <c r="Z350" s="3891"/>
      <c r="AA350" s="3891"/>
      <c r="AB350" s="3891"/>
      <c r="AC350" s="389">
        <f t="shared" si="183"/>
        <v>0</v>
      </c>
      <c r="AD350" s="5"/>
      <c r="AE350" s="5"/>
      <c r="AF350" s="5"/>
      <c r="AG350" s="5"/>
      <c r="AH350" s="5"/>
      <c r="AI350" s="5"/>
      <c r="AJ350" s="5"/>
      <c r="AK350" s="5"/>
      <c r="AL350" s="5"/>
      <c r="AM350" s="5"/>
      <c r="AN350" s="5"/>
      <c r="AO350" s="5"/>
      <c r="AP350" s="5"/>
      <c r="AQ350" s="5"/>
      <c r="AR350" s="5"/>
      <c r="AS350" s="5"/>
      <c r="AT350" s="20"/>
      <c r="AU350" s="1182"/>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81"/>
      <c r="E351" s="389">
        <f t="shared" si="206"/>
        <v>0</v>
      </c>
      <c r="F351" s="20"/>
      <c r="G351" s="3890">
        <f t="shared" si="181"/>
        <v>0</v>
      </c>
      <c r="H351" s="1282">
        <f t="shared" si="182"/>
        <v>0</v>
      </c>
      <c r="I351" s="3891"/>
      <c r="J351" s="3891"/>
      <c r="K351" s="3891"/>
      <c r="L351" s="3891"/>
      <c r="M351" s="3891"/>
      <c r="N351" s="3891"/>
      <c r="O351" s="3891"/>
      <c r="P351" s="3891"/>
      <c r="Q351" s="3891"/>
      <c r="R351" s="3891"/>
      <c r="S351" s="3891"/>
      <c r="T351" s="3891"/>
      <c r="U351" s="3891"/>
      <c r="V351" s="3891"/>
      <c r="W351" s="3891"/>
      <c r="X351" s="3891"/>
      <c r="Y351" s="3891"/>
      <c r="Z351" s="3891"/>
      <c r="AA351" s="3891"/>
      <c r="AB351" s="3891"/>
      <c r="AC351" s="389">
        <f t="shared" si="183"/>
        <v>0</v>
      </c>
      <c r="AD351" s="5"/>
      <c r="AE351" s="5"/>
      <c r="AF351" s="5"/>
      <c r="AG351" s="5"/>
      <c r="AH351" s="5"/>
      <c r="AI351" s="5"/>
      <c r="AJ351" s="5"/>
      <c r="AK351" s="5"/>
      <c r="AL351" s="5"/>
      <c r="AM351" s="5"/>
      <c r="AN351" s="5"/>
      <c r="AO351" s="5"/>
      <c r="AP351" s="5"/>
      <c r="AQ351" s="5"/>
      <c r="AR351" s="5"/>
      <c r="AS351" s="5"/>
      <c r="AT351" s="20"/>
      <c r="AU351" s="1182"/>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81"/>
      <c r="E352" s="389">
        <f t="shared" si="206"/>
        <v>0</v>
      </c>
      <c r="F352" s="20"/>
      <c r="G352" s="3890">
        <f t="shared" si="181"/>
        <v>0</v>
      </c>
      <c r="H352" s="1282">
        <f t="shared" si="182"/>
        <v>0</v>
      </c>
      <c r="I352" s="3891"/>
      <c r="J352" s="3891"/>
      <c r="K352" s="3891"/>
      <c r="L352" s="3891"/>
      <c r="M352" s="3891"/>
      <c r="N352" s="3891"/>
      <c r="O352" s="3891"/>
      <c r="P352" s="3891"/>
      <c r="Q352" s="3891"/>
      <c r="R352" s="3891"/>
      <c r="S352" s="3891"/>
      <c r="T352" s="3891"/>
      <c r="U352" s="3891"/>
      <c r="V352" s="3891"/>
      <c r="W352" s="3891"/>
      <c r="X352" s="3891"/>
      <c r="Y352" s="3891"/>
      <c r="Z352" s="3891"/>
      <c r="AA352" s="3891"/>
      <c r="AB352" s="3891"/>
      <c r="AC352" s="389">
        <f t="shared" si="183"/>
        <v>0</v>
      </c>
      <c r="AD352" s="5"/>
      <c r="AE352" s="5"/>
      <c r="AF352" s="5"/>
      <c r="AG352" s="5"/>
      <c r="AH352" s="5"/>
      <c r="AI352" s="5"/>
      <c r="AJ352" s="5"/>
      <c r="AK352" s="5"/>
      <c r="AL352" s="5"/>
      <c r="AM352" s="5"/>
      <c r="AN352" s="5"/>
      <c r="AO352" s="5"/>
      <c r="AP352" s="5"/>
      <c r="AQ352" s="5"/>
      <c r="AR352" s="5"/>
      <c r="AS352" s="5"/>
      <c r="AT352" s="20"/>
      <c r="AU352" s="1182"/>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81"/>
      <c r="E353" s="389">
        <f t="shared" si="206"/>
        <v>0</v>
      </c>
      <c r="F353" s="20"/>
      <c r="G353" s="3890">
        <f t="shared" si="181"/>
        <v>0</v>
      </c>
      <c r="H353" s="1282">
        <f t="shared" si="182"/>
        <v>0</v>
      </c>
      <c r="I353" s="3891"/>
      <c r="J353" s="3891"/>
      <c r="K353" s="3891"/>
      <c r="L353" s="3891"/>
      <c r="M353" s="3891"/>
      <c r="N353" s="3891"/>
      <c r="O353" s="3891"/>
      <c r="P353" s="3891"/>
      <c r="Q353" s="3891"/>
      <c r="R353" s="3891"/>
      <c r="S353" s="3891"/>
      <c r="T353" s="3891"/>
      <c r="U353" s="3891"/>
      <c r="V353" s="3891"/>
      <c r="W353" s="3891"/>
      <c r="X353" s="3891"/>
      <c r="Y353" s="3891"/>
      <c r="Z353" s="3891"/>
      <c r="AA353" s="3891"/>
      <c r="AB353" s="3891"/>
      <c r="AC353" s="389">
        <f t="shared" si="183"/>
        <v>0</v>
      </c>
      <c r="AD353" s="5"/>
      <c r="AE353" s="5"/>
      <c r="AF353" s="5"/>
      <c r="AG353" s="5"/>
      <c r="AH353" s="5"/>
      <c r="AI353" s="5"/>
      <c r="AJ353" s="5"/>
      <c r="AK353" s="5"/>
      <c r="AL353" s="5"/>
      <c r="AM353" s="5"/>
      <c r="AN353" s="5"/>
      <c r="AO353" s="5"/>
      <c r="AP353" s="5"/>
      <c r="AQ353" s="5"/>
      <c r="AR353" s="5"/>
      <c r="AS353" s="5"/>
      <c r="AT353" s="20"/>
      <c r="AU353" s="1182"/>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81"/>
      <c r="E354" s="389">
        <f t="shared" si="206"/>
        <v>0</v>
      </c>
      <c r="F354" s="20"/>
      <c r="G354" s="3890">
        <f t="shared" si="181"/>
        <v>0</v>
      </c>
      <c r="H354" s="1282">
        <f t="shared" si="182"/>
        <v>0</v>
      </c>
      <c r="I354" s="3891"/>
      <c r="J354" s="3891"/>
      <c r="K354" s="3891"/>
      <c r="L354" s="3891"/>
      <c r="M354" s="3891"/>
      <c r="N354" s="3891"/>
      <c r="O354" s="3891"/>
      <c r="P354" s="3891"/>
      <c r="Q354" s="3891"/>
      <c r="R354" s="3891"/>
      <c r="S354" s="3891"/>
      <c r="T354" s="3891"/>
      <c r="U354" s="3891"/>
      <c r="V354" s="3891"/>
      <c r="W354" s="3891"/>
      <c r="X354" s="3891"/>
      <c r="Y354" s="3891"/>
      <c r="Z354" s="3891"/>
      <c r="AA354" s="3891"/>
      <c r="AB354" s="3891"/>
      <c r="AC354" s="389">
        <f t="shared" si="183"/>
        <v>0</v>
      </c>
      <c r="AD354" s="5"/>
      <c r="AE354" s="5"/>
      <c r="AF354" s="5"/>
      <c r="AG354" s="5"/>
      <c r="AH354" s="5"/>
      <c r="AI354" s="5"/>
      <c r="AJ354" s="5"/>
      <c r="AK354" s="5"/>
      <c r="AL354" s="5"/>
      <c r="AM354" s="5"/>
      <c r="AN354" s="5"/>
      <c r="AO354" s="5"/>
      <c r="AP354" s="5"/>
      <c r="AQ354" s="5"/>
      <c r="AR354" s="5"/>
      <c r="AS354" s="5"/>
      <c r="AT354" s="20"/>
      <c r="AU354" s="1182"/>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81"/>
      <c r="E355" s="389">
        <f t="shared" si="206"/>
        <v>0</v>
      </c>
      <c r="F355" s="20"/>
      <c r="G355" s="3890">
        <f t="shared" si="181"/>
        <v>0</v>
      </c>
      <c r="H355" s="1282">
        <f t="shared" si="182"/>
        <v>0</v>
      </c>
      <c r="I355" s="3891"/>
      <c r="J355" s="3891"/>
      <c r="K355" s="3891"/>
      <c r="L355" s="3891"/>
      <c r="M355" s="3891"/>
      <c r="N355" s="3891"/>
      <c r="O355" s="3891"/>
      <c r="P355" s="3891"/>
      <c r="Q355" s="3891"/>
      <c r="R355" s="3891"/>
      <c r="S355" s="3891"/>
      <c r="T355" s="3891"/>
      <c r="U355" s="3891"/>
      <c r="V355" s="3891"/>
      <c r="W355" s="3891"/>
      <c r="X355" s="3891"/>
      <c r="Y355" s="3891"/>
      <c r="Z355" s="3891"/>
      <c r="AA355" s="3891"/>
      <c r="AB355" s="3891"/>
      <c r="AC355" s="389">
        <f t="shared" si="183"/>
        <v>0</v>
      </c>
      <c r="AD355" s="5"/>
      <c r="AE355" s="5"/>
      <c r="AF355" s="5"/>
      <c r="AG355" s="5"/>
      <c r="AH355" s="5"/>
      <c r="AI355" s="5"/>
      <c r="AJ355" s="5"/>
      <c r="AK355" s="5"/>
      <c r="AL355" s="5"/>
      <c r="AM355" s="5"/>
      <c r="AN355" s="5"/>
      <c r="AO355" s="5"/>
      <c r="AP355" s="5"/>
      <c r="AQ355" s="5"/>
      <c r="AR355" s="5"/>
      <c r="AS355" s="5"/>
      <c r="AT355" s="20"/>
      <c r="AU355" s="1182"/>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81"/>
      <c r="E356" s="389">
        <f t="shared" si="206"/>
        <v>0</v>
      </c>
      <c r="F356" s="20"/>
      <c r="G356" s="3890">
        <f t="shared" si="181"/>
        <v>0</v>
      </c>
      <c r="H356" s="1282">
        <f t="shared" si="182"/>
        <v>0</v>
      </c>
      <c r="I356" s="3891"/>
      <c r="J356" s="3891"/>
      <c r="K356" s="3891"/>
      <c r="L356" s="3891"/>
      <c r="M356" s="3891"/>
      <c r="N356" s="3891"/>
      <c r="O356" s="3891"/>
      <c r="P356" s="3891"/>
      <c r="Q356" s="3891"/>
      <c r="R356" s="3891"/>
      <c r="S356" s="3891"/>
      <c r="T356" s="3891"/>
      <c r="U356" s="3891"/>
      <c r="V356" s="3891"/>
      <c r="W356" s="3891"/>
      <c r="X356" s="3891"/>
      <c r="Y356" s="3891"/>
      <c r="Z356" s="3891"/>
      <c r="AA356" s="3891"/>
      <c r="AB356" s="3891"/>
      <c r="AC356" s="389">
        <f t="shared" si="183"/>
        <v>0</v>
      </c>
      <c r="AD356" s="5"/>
      <c r="AE356" s="5"/>
      <c r="AF356" s="5"/>
      <c r="AG356" s="5"/>
      <c r="AH356" s="5"/>
      <c r="AI356" s="5"/>
      <c r="AJ356" s="5"/>
      <c r="AK356" s="5"/>
      <c r="AL356" s="5"/>
      <c r="AM356" s="5"/>
      <c r="AN356" s="5"/>
      <c r="AO356" s="5"/>
      <c r="AP356" s="5"/>
      <c r="AQ356" s="5"/>
      <c r="AR356" s="5"/>
      <c r="AS356" s="5"/>
      <c r="AT356" s="20"/>
      <c r="AU356" s="1182"/>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81"/>
      <c r="E357" s="389">
        <f t="shared" si="206"/>
        <v>0</v>
      </c>
      <c r="F357" s="20"/>
      <c r="G357" s="3890">
        <f t="shared" si="181"/>
        <v>0</v>
      </c>
      <c r="H357" s="1282">
        <f t="shared" si="182"/>
        <v>0</v>
      </c>
      <c r="I357" s="3891"/>
      <c r="J357" s="3891"/>
      <c r="K357" s="3891"/>
      <c r="L357" s="3891"/>
      <c r="M357" s="3891"/>
      <c r="N357" s="3891"/>
      <c r="O357" s="3891"/>
      <c r="P357" s="3891"/>
      <c r="Q357" s="3891"/>
      <c r="R357" s="3891"/>
      <c r="S357" s="3891"/>
      <c r="T357" s="3891"/>
      <c r="U357" s="3891"/>
      <c r="V357" s="3891"/>
      <c r="W357" s="3891"/>
      <c r="X357" s="3891"/>
      <c r="Y357" s="3891"/>
      <c r="Z357" s="3891"/>
      <c r="AA357" s="3891"/>
      <c r="AB357" s="3891"/>
      <c r="AC357" s="389">
        <f t="shared" si="183"/>
        <v>0</v>
      </c>
      <c r="AD357" s="5"/>
      <c r="AE357" s="5"/>
      <c r="AF357" s="5"/>
      <c r="AG357" s="5"/>
      <c r="AH357" s="5"/>
      <c r="AI357" s="5"/>
      <c r="AJ357" s="5"/>
      <c r="AK357" s="5"/>
      <c r="AL357" s="5"/>
      <c r="AM357" s="5"/>
      <c r="AN357" s="5"/>
      <c r="AO357" s="5"/>
      <c r="AP357" s="5"/>
      <c r="AQ357" s="5"/>
      <c r="AR357" s="5"/>
      <c r="AS357" s="5"/>
      <c r="AT357" s="20"/>
      <c r="AU357" s="1182"/>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81"/>
      <c r="E358" s="389">
        <f t="shared" si="206"/>
        <v>0</v>
      </c>
      <c r="F358" s="20"/>
      <c r="G358" s="3890">
        <f t="shared" si="181"/>
        <v>0</v>
      </c>
      <c r="H358" s="1282">
        <f t="shared" si="182"/>
        <v>0</v>
      </c>
      <c r="I358" s="3891"/>
      <c r="J358" s="3891"/>
      <c r="K358" s="3891"/>
      <c r="L358" s="3891"/>
      <c r="M358" s="3891"/>
      <c r="N358" s="3891"/>
      <c r="O358" s="3891"/>
      <c r="P358" s="3891"/>
      <c r="Q358" s="3891"/>
      <c r="R358" s="3891"/>
      <c r="S358" s="3891"/>
      <c r="T358" s="3891"/>
      <c r="U358" s="3891"/>
      <c r="V358" s="3891"/>
      <c r="W358" s="3891"/>
      <c r="X358" s="3891"/>
      <c r="Y358" s="3891"/>
      <c r="Z358" s="3891"/>
      <c r="AA358" s="3891"/>
      <c r="AB358" s="3891"/>
      <c r="AC358" s="389">
        <f t="shared" si="183"/>
        <v>0</v>
      </c>
      <c r="AD358" s="5"/>
      <c r="AE358" s="5"/>
      <c r="AF358" s="5"/>
      <c r="AG358" s="5"/>
      <c r="AH358" s="5"/>
      <c r="AI358" s="5"/>
      <c r="AJ358" s="5"/>
      <c r="AK358" s="5"/>
      <c r="AL358" s="5"/>
      <c r="AM358" s="5"/>
      <c r="AN358" s="5"/>
      <c r="AO358" s="5"/>
      <c r="AP358" s="5"/>
      <c r="AQ358" s="5"/>
      <c r="AR358" s="5"/>
      <c r="AS358" s="5"/>
      <c r="AT358" s="20"/>
      <c r="AU358" s="1182"/>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81"/>
      <c r="E359" s="389">
        <f t="shared" si="206"/>
        <v>0</v>
      </c>
      <c r="F359" s="20"/>
      <c r="G359" s="3890">
        <f t="shared" si="181"/>
        <v>0</v>
      </c>
      <c r="H359" s="1282">
        <f t="shared" si="182"/>
        <v>0</v>
      </c>
      <c r="I359" s="3891"/>
      <c r="J359" s="3891"/>
      <c r="K359" s="3891"/>
      <c r="L359" s="3891"/>
      <c r="M359" s="3891"/>
      <c r="N359" s="3891"/>
      <c r="O359" s="3891"/>
      <c r="P359" s="3891"/>
      <c r="Q359" s="3891"/>
      <c r="R359" s="3891"/>
      <c r="S359" s="3891"/>
      <c r="T359" s="3891"/>
      <c r="U359" s="3891"/>
      <c r="V359" s="3891"/>
      <c r="W359" s="3891"/>
      <c r="X359" s="3891"/>
      <c r="Y359" s="3891"/>
      <c r="Z359" s="3891"/>
      <c r="AA359" s="3891"/>
      <c r="AB359" s="3891"/>
      <c r="AC359" s="389">
        <f t="shared" si="183"/>
        <v>0</v>
      </c>
      <c r="AD359" s="5"/>
      <c r="AE359" s="5"/>
      <c r="AF359" s="5"/>
      <c r="AG359" s="5"/>
      <c r="AH359" s="5"/>
      <c r="AI359" s="5"/>
      <c r="AJ359" s="5"/>
      <c r="AK359" s="5"/>
      <c r="AL359" s="5"/>
      <c r="AM359" s="5"/>
      <c r="AN359" s="5"/>
      <c r="AO359" s="5"/>
      <c r="AP359" s="5"/>
      <c r="AQ359" s="5"/>
      <c r="AR359" s="5"/>
      <c r="AS359" s="5"/>
      <c r="AT359" s="20"/>
      <c r="AU359" s="1182"/>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81"/>
      <c r="E360" s="389">
        <f t="shared" si="206"/>
        <v>0</v>
      </c>
      <c r="F360" s="20"/>
      <c r="G360" s="3890">
        <f t="shared" si="181"/>
        <v>0</v>
      </c>
      <c r="H360" s="1282">
        <f t="shared" si="182"/>
        <v>0</v>
      </c>
      <c r="I360" s="3891"/>
      <c r="J360" s="3891"/>
      <c r="K360" s="3891"/>
      <c r="L360" s="3891"/>
      <c r="M360" s="3891"/>
      <c r="N360" s="3891"/>
      <c r="O360" s="3891"/>
      <c r="P360" s="3891"/>
      <c r="Q360" s="3891"/>
      <c r="R360" s="3891"/>
      <c r="S360" s="3891"/>
      <c r="T360" s="3891"/>
      <c r="U360" s="3891"/>
      <c r="V360" s="3891"/>
      <c r="W360" s="3891"/>
      <c r="X360" s="3891"/>
      <c r="Y360" s="3891"/>
      <c r="Z360" s="3891"/>
      <c r="AA360" s="3891"/>
      <c r="AB360" s="3891"/>
      <c r="AC360" s="389">
        <f t="shared" si="183"/>
        <v>0</v>
      </c>
      <c r="AD360" s="5"/>
      <c r="AE360" s="5"/>
      <c r="AF360" s="5"/>
      <c r="AG360" s="5"/>
      <c r="AH360" s="5"/>
      <c r="AI360" s="5"/>
      <c r="AJ360" s="5"/>
      <c r="AK360" s="5"/>
      <c r="AL360" s="5"/>
      <c r="AM360" s="5"/>
      <c r="AN360" s="5"/>
      <c r="AO360" s="5"/>
      <c r="AP360" s="5"/>
      <c r="AQ360" s="5"/>
      <c r="AR360" s="5"/>
      <c r="AS360" s="5"/>
      <c r="AT360" s="20"/>
      <c r="AU360" s="1182"/>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81"/>
      <c r="E361" s="389">
        <f t="shared" si="206"/>
        <v>0</v>
      </c>
      <c r="F361" s="20"/>
      <c r="G361" s="3890">
        <f t="shared" si="181"/>
        <v>0</v>
      </c>
      <c r="H361" s="1282">
        <f t="shared" si="182"/>
        <v>0</v>
      </c>
      <c r="I361" s="3891"/>
      <c r="J361" s="3891"/>
      <c r="K361" s="3891"/>
      <c r="L361" s="3891"/>
      <c r="M361" s="3891"/>
      <c r="N361" s="3891"/>
      <c r="O361" s="3891"/>
      <c r="P361" s="3891"/>
      <c r="Q361" s="3891"/>
      <c r="R361" s="3891"/>
      <c r="S361" s="3891"/>
      <c r="T361" s="3891"/>
      <c r="U361" s="3891"/>
      <c r="V361" s="3891"/>
      <c r="W361" s="3891"/>
      <c r="X361" s="3891"/>
      <c r="Y361" s="3891"/>
      <c r="Z361" s="3891"/>
      <c r="AA361" s="3891"/>
      <c r="AB361" s="3891"/>
      <c r="AC361" s="389">
        <f t="shared" si="183"/>
        <v>0</v>
      </c>
      <c r="AD361" s="5"/>
      <c r="AE361" s="5"/>
      <c r="AF361" s="5"/>
      <c r="AG361" s="5"/>
      <c r="AH361" s="5"/>
      <c r="AI361" s="5"/>
      <c r="AJ361" s="5"/>
      <c r="AK361" s="5"/>
      <c r="AL361" s="5"/>
      <c r="AM361" s="5"/>
      <c r="AN361" s="5"/>
      <c r="AO361" s="5"/>
      <c r="AP361" s="5"/>
      <c r="AQ361" s="5"/>
      <c r="AR361" s="5"/>
      <c r="AS361" s="5"/>
      <c r="AT361" s="20"/>
      <c r="AU361" s="1182"/>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81"/>
      <c r="E362" s="389">
        <f t="shared" si="206"/>
        <v>0</v>
      </c>
      <c r="F362" s="20"/>
      <c r="G362" s="3890">
        <f t="shared" si="181"/>
        <v>0</v>
      </c>
      <c r="H362" s="1282">
        <f t="shared" si="182"/>
        <v>0</v>
      </c>
      <c r="I362" s="3891"/>
      <c r="J362" s="3891"/>
      <c r="K362" s="3891"/>
      <c r="L362" s="3891"/>
      <c r="M362" s="3891"/>
      <c r="N362" s="3891"/>
      <c r="O362" s="3891"/>
      <c r="P362" s="3891"/>
      <c r="Q362" s="3891"/>
      <c r="R362" s="3891"/>
      <c r="S362" s="3891"/>
      <c r="T362" s="3891"/>
      <c r="U362" s="3891"/>
      <c r="V362" s="3891"/>
      <c r="W362" s="3891"/>
      <c r="X362" s="3891"/>
      <c r="Y362" s="3891"/>
      <c r="Z362" s="3891"/>
      <c r="AA362" s="3891"/>
      <c r="AB362" s="3891"/>
      <c r="AC362" s="389">
        <f t="shared" si="183"/>
        <v>0</v>
      </c>
      <c r="AD362" s="5"/>
      <c r="AE362" s="5"/>
      <c r="AF362" s="5"/>
      <c r="AG362" s="5"/>
      <c r="AH362" s="5"/>
      <c r="AI362" s="5"/>
      <c r="AJ362" s="5"/>
      <c r="AK362" s="5"/>
      <c r="AL362" s="5"/>
      <c r="AM362" s="5"/>
      <c r="AN362" s="5"/>
      <c r="AO362" s="5"/>
      <c r="AP362" s="5"/>
      <c r="AQ362" s="5"/>
      <c r="AR362" s="5"/>
      <c r="AS362" s="5"/>
      <c r="AT362" s="20"/>
      <c r="AU362" s="1182"/>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81"/>
      <c r="E363" s="389">
        <f t="shared" si="206"/>
        <v>0</v>
      </c>
      <c r="F363" s="20"/>
      <c r="G363" s="3890">
        <f t="shared" si="181"/>
        <v>0</v>
      </c>
      <c r="H363" s="1282">
        <f t="shared" si="182"/>
        <v>0</v>
      </c>
      <c r="I363" s="3891"/>
      <c r="J363" s="3891"/>
      <c r="K363" s="3891"/>
      <c r="L363" s="3891"/>
      <c r="M363" s="3891"/>
      <c r="N363" s="3891"/>
      <c r="O363" s="3891"/>
      <c r="P363" s="3891"/>
      <c r="Q363" s="3891"/>
      <c r="R363" s="3891"/>
      <c r="S363" s="3891"/>
      <c r="T363" s="3891"/>
      <c r="U363" s="3891"/>
      <c r="V363" s="3891"/>
      <c r="W363" s="3891"/>
      <c r="X363" s="3891"/>
      <c r="Y363" s="3891"/>
      <c r="Z363" s="3891"/>
      <c r="AA363" s="3891"/>
      <c r="AB363" s="3891"/>
      <c r="AC363" s="389">
        <f t="shared" si="183"/>
        <v>0</v>
      </c>
      <c r="AD363" s="5"/>
      <c r="AE363" s="5"/>
      <c r="AF363" s="5"/>
      <c r="AG363" s="5"/>
      <c r="AH363" s="5"/>
      <c r="AI363" s="5"/>
      <c r="AJ363" s="5"/>
      <c r="AK363" s="5"/>
      <c r="AL363" s="5"/>
      <c r="AM363" s="5"/>
      <c r="AN363" s="5"/>
      <c r="AO363" s="5"/>
      <c r="AP363" s="5"/>
      <c r="AQ363" s="5"/>
      <c r="AR363" s="5"/>
      <c r="AS363" s="5"/>
      <c r="AT363" s="20"/>
      <c r="AU363" s="1182"/>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81"/>
      <c r="E364" s="389">
        <f t="shared" si="206"/>
        <v>0</v>
      </c>
      <c r="F364" s="20"/>
      <c r="G364" s="3890">
        <f t="shared" ref="G364:G395" si="210">H364+AC364+AT364</f>
        <v>0</v>
      </c>
      <c r="H364" s="1282">
        <f t="shared" ref="H364:H395" si="211">SUMIF(I$12:AB$12,"总值",I364:AB364)</f>
        <v>0</v>
      </c>
      <c r="I364" s="3891"/>
      <c r="J364" s="3891"/>
      <c r="K364" s="3891"/>
      <c r="L364" s="3891"/>
      <c r="M364" s="3891"/>
      <c r="N364" s="3891"/>
      <c r="O364" s="3891"/>
      <c r="P364" s="3891"/>
      <c r="Q364" s="3891"/>
      <c r="R364" s="3891"/>
      <c r="S364" s="3891"/>
      <c r="T364" s="3891"/>
      <c r="U364" s="3891"/>
      <c r="V364" s="3891"/>
      <c r="W364" s="3891"/>
      <c r="X364" s="3891"/>
      <c r="Y364" s="3891"/>
      <c r="Z364" s="3891"/>
      <c r="AA364" s="3891"/>
      <c r="AB364" s="3891"/>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82"/>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81"/>
      <c r="E365" s="389">
        <f t="shared" si="206"/>
        <v>0</v>
      </c>
      <c r="F365" s="20"/>
      <c r="G365" s="3890">
        <f t="shared" si="210"/>
        <v>0</v>
      </c>
      <c r="H365" s="1282">
        <f t="shared" si="211"/>
        <v>0</v>
      </c>
      <c r="I365" s="3891"/>
      <c r="J365" s="3891"/>
      <c r="K365" s="3891"/>
      <c r="L365" s="3891"/>
      <c r="M365" s="3891"/>
      <c r="N365" s="3891"/>
      <c r="O365" s="3891"/>
      <c r="P365" s="3891"/>
      <c r="Q365" s="3891"/>
      <c r="R365" s="3891"/>
      <c r="S365" s="3891"/>
      <c r="T365" s="3891"/>
      <c r="U365" s="3891"/>
      <c r="V365" s="3891"/>
      <c r="W365" s="3891"/>
      <c r="X365" s="3891"/>
      <c r="Y365" s="3891"/>
      <c r="Z365" s="3891"/>
      <c r="AA365" s="3891"/>
      <c r="AB365" s="3891"/>
      <c r="AC365" s="389">
        <f t="shared" si="212"/>
        <v>0</v>
      </c>
      <c r="AD365" s="5"/>
      <c r="AE365" s="5"/>
      <c r="AF365" s="5"/>
      <c r="AG365" s="5"/>
      <c r="AH365" s="5"/>
      <c r="AI365" s="5"/>
      <c r="AJ365" s="5"/>
      <c r="AK365" s="5"/>
      <c r="AL365" s="5"/>
      <c r="AM365" s="5"/>
      <c r="AN365" s="5"/>
      <c r="AO365" s="5"/>
      <c r="AP365" s="5"/>
      <c r="AQ365" s="5"/>
      <c r="AR365" s="5"/>
      <c r="AS365" s="5"/>
      <c r="AT365" s="20"/>
      <c r="AU365" s="1182"/>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81"/>
      <c r="E366" s="389">
        <f t="shared" si="206"/>
        <v>0</v>
      </c>
      <c r="F366" s="20"/>
      <c r="G366" s="3890">
        <f t="shared" si="210"/>
        <v>0</v>
      </c>
      <c r="H366" s="1282">
        <f t="shared" si="211"/>
        <v>0</v>
      </c>
      <c r="I366" s="3891"/>
      <c r="J366" s="3891"/>
      <c r="K366" s="3891"/>
      <c r="L366" s="3891"/>
      <c r="M366" s="3891"/>
      <c r="N366" s="3891"/>
      <c r="O366" s="3891"/>
      <c r="P366" s="3891"/>
      <c r="Q366" s="3891"/>
      <c r="R366" s="3891"/>
      <c r="S366" s="3891"/>
      <c r="T366" s="3891"/>
      <c r="U366" s="3891"/>
      <c r="V366" s="3891"/>
      <c r="W366" s="3891"/>
      <c r="X366" s="3891"/>
      <c r="Y366" s="3891"/>
      <c r="Z366" s="3891"/>
      <c r="AA366" s="3891"/>
      <c r="AB366" s="3891"/>
      <c r="AC366" s="389">
        <f t="shared" si="212"/>
        <v>0</v>
      </c>
      <c r="AD366" s="5"/>
      <c r="AE366" s="5"/>
      <c r="AF366" s="5"/>
      <c r="AG366" s="5"/>
      <c r="AH366" s="5"/>
      <c r="AI366" s="5"/>
      <c r="AJ366" s="5"/>
      <c r="AK366" s="5"/>
      <c r="AL366" s="5"/>
      <c r="AM366" s="5"/>
      <c r="AN366" s="5"/>
      <c r="AO366" s="5"/>
      <c r="AP366" s="5"/>
      <c r="AQ366" s="5"/>
      <c r="AR366" s="5"/>
      <c r="AS366" s="5"/>
      <c r="AT366" s="20"/>
      <c r="AU366" s="1182"/>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81"/>
      <c r="E367" s="389">
        <f t="shared" ref="E367:E397" si="235">IF($C$3="是",ROUND($A$3*G367/$B$3,2),ROUND($A$3*(G367-AT367)/$B$3,2))</f>
        <v>0</v>
      </c>
      <c r="F367" s="20"/>
      <c r="G367" s="3890">
        <f t="shared" si="210"/>
        <v>0</v>
      </c>
      <c r="H367" s="1282">
        <f t="shared" si="211"/>
        <v>0</v>
      </c>
      <c r="I367" s="3891"/>
      <c r="J367" s="3891"/>
      <c r="K367" s="3891"/>
      <c r="L367" s="3891"/>
      <c r="M367" s="3891"/>
      <c r="N367" s="3891"/>
      <c r="O367" s="3891"/>
      <c r="P367" s="3891"/>
      <c r="Q367" s="3891"/>
      <c r="R367" s="3891"/>
      <c r="S367" s="3891"/>
      <c r="T367" s="3891"/>
      <c r="U367" s="3891"/>
      <c r="V367" s="3891"/>
      <c r="W367" s="3891"/>
      <c r="X367" s="3891"/>
      <c r="Y367" s="3891"/>
      <c r="Z367" s="3891"/>
      <c r="AA367" s="3891"/>
      <c r="AB367" s="3891"/>
      <c r="AC367" s="389">
        <f t="shared" si="212"/>
        <v>0</v>
      </c>
      <c r="AD367" s="5"/>
      <c r="AE367" s="5"/>
      <c r="AF367" s="5"/>
      <c r="AG367" s="5"/>
      <c r="AH367" s="5"/>
      <c r="AI367" s="5"/>
      <c r="AJ367" s="5"/>
      <c r="AK367" s="5"/>
      <c r="AL367" s="5"/>
      <c r="AM367" s="5"/>
      <c r="AN367" s="5"/>
      <c r="AO367" s="5"/>
      <c r="AP367" s="5"/>
      <c r="AQ367" s="5"/>
      <c r="AR367" s="5"/>
      <c r="AS367" s="5"/>
      <c r="AT367" s="20"/>
      <c r="AU367" s="1182"/>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81"/>
      <c r="E368" s="389">
        <f t="shared" si="235"/>
        <v>0</v>
      </c>
      <c r="F368" s="20"/>
      <c r="G368" s="3890">
        <f t="shared" si="210"/>
        <v>0</v>
      </c>
      <c r="H368" s="1282">
        <f t="shared" si="211"/>
        <v>0</v>
      </c>
      <c r="I368" s="3891"/>
      <c r="J368" s="3891"/>
      <c r="K368" s="3891"/>
      <c r="L368" s="3891"/>
      <c r="M368" s="3891"/>
      <c r="N368" s="3891"/>
      <c r="O368" s="3891"/>
      <c r="P368" s="3891"/>
      <c r="Q368" s="3891"/>
      <c r="R368" s="3891"/>
      <c r="S368" s="3891"/>
      <c r="T368" s="3891"/>
      <c r="U368" s="3891"/>
      <c r="V368" s="3891"/>
      <c r="W368" s="3891"/>
      <c r="X368" s="3891"/>
      <c r="Y368" s="3891"/>
      <c r="Z368" s="3891"/>
      <c r="AA368" s="3891"/>
      <c r="AB368" s="3891"/>
      <c r="AC368" s="389">
        <f t="shared" si="212"/>
        <v>0</v>
      </c>
      <c r="AD368" s="5"/>
      <c r="AE368" s="5"/>
      <c r="AF368" s="5"/>
      <c r="AG368" s="5"/>
      <c r="AH368" s="5"/>
      <c r="AI368" s="5"/>
      <c r="AJ368" s="5"/>
      <c r="AK368" s="5"/>
      <c r="AL368" s="5"/>
      <c r="AM368" s="5"/>
      <c r="AN368" s="5"/>
      <c r="AO368" s="5"/>
      <c r="AP368" s="5"/>
      <c r="AQ368" s="5"/>
      <c r="AR368" s="5"/>
      <c r="AS368" s="5"/>
      <c r="AT368" s="20"/>
      <c r="AU368" s="1182"/>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81"/>
      <c r="E369" s="389">
        <f t="shared" si="235"/>
        <v>0</v>
      </c>
      <c r="F369" s="20"/>
      <c r="G369" s="3890">
        <f t="shared" si="210"/>
        <v>0</v>
      </c>
      <c r="H369" s="1282">
        <f t="shared" si="211"/>
        <v>0</v>
      </c>
      <c r="I369" s="3891"/>
      <c r="J369" s="3891"/>
      <c r="K369" s="3891"/>
      <c r="L369" s="3891"/>
      <c r="M369" s="3891"/>
      <c r="N369" s="3891"/>
      <c r="O369" s="3891"/>
      <c r="P369" s="3891"/>
      <c r="Q369" s="3891"/>
      <c r="R369" s="3891"/>
      <c r="S369" s="3891"/>
      <c r="T369" s="3891"/>
      <c r="U369" s="3891"/>
      <c r="V369" s="3891"/>
      <c r="W369" s="3891"/>
      <c r="X369" s="3891"/>
      <c r="Y369" s="3891"/>
      <c r="Z369" s="3891"/>
      <c r="AA369" s="3891"/>
      <c r="AB369" s="3891"/>
      <c r="AC369" s="389">
        <f t="shared" si="212"/>
        <v>0</v>
      </c>
      <c r="AD369" s="5"/>
      <c r="AE369" s="5"/>
      <c r="AF369" s="5"/>
      <c r="AG369" s="5"/>
      <c r="AH369" s="5"/>
      <c r="AI369" s="5"/>
      <c r="AJ369" s="5"/>
      <c r="AK369" s="5"/>
      <c r="AL369" s="5"/>
      <c r="AM369" s="5"/>
      <c r="AN369" s="5"/>
      <c r="AO369" s="5"/>
      <c r="AP369" s="5"/>
      <c r="AQ369" s="5"/>
      <c r="AR369" s="5"/>
      <c r="AS369" s="5"/>
      <c r="AT369" s="20"/>
      <c r="AU369" s="1182"/>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81"/>
      <c r="E370" s="389">
        <f t="shared" si="235"/>
        <v>0</v>
      </c>
      <c r="F370" s="20"/>
      <c r="G370" s="3890">
        <f t="shared" si="210"/>
        <v>0</v>
      </c>
      <c r="H370" s="1282">
        <f t="shared" si="211"/>
        <v>0</v>
      </c>
      <c r="I370" s="3891"/>
      <c r="J370" s="3891"/>
      <c r="K370" s="3891"/>
      <c r="L370" s="3891"/>
      <c r="M370" s="3891"/>
      <c r="N370" s="3891"/>
      <c r="O370" s="3891"/>
      <c r="P370" s="3891"/>
      <c r="Q370" s="3891"/>
      <c r="R370" s="3891"/>
      <c r="S370" s="3891"/>
      <c r="T370" s="3891"/>
      <c r="U370" s="3891"/>
      <c r="V370" s="3891"/>
      <c r="W370" s="3891"/>
      <c r="X370" s="3891"/>
      <c r="Y370" s="3891"/>
      <c r="Z370" s="3891"/>
      <c r="AA370" s="3891"/>
      <c r="AB370" s="3891"/>
      <c r="AC370" s="389">
        <f t="shared" si="212"/>
        <v>0</v>
      </c>
      <c r="AD370" s="5"/>
      <c r="AE370" s="5"/>
      <c r="AF370" s="5"/>
      <c r="AG370" s="5"/>
      <c r="AH370" s="5"/>
      <c r="AI370" s="5"/>
      <c r="AJ370" s="5"/>
      <c r="AK370" s="5"/>
      <c r="AL370" s="5"/>
      <c r="AM370" s="5"/>
      <c r="AN370" s="5"/>
      <c r="AO370" s="5"/>
      <c r="AP370" s="5"/>
      <c r="AQ370" s="5"/>
      <c r="AR370" s="5"/>
      <c r="AS370" s="5"/>
      <c r="AT370" s="20"/>
      <c r="AU370" s="1182"/>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81"/>
      <c r="E371" s="389">
        <f t="shared" si="235"/>
        <v>0</v>
      </c>
      <c r="F371" s="20"/>
      <c r="G371" s="3890">
        <f t="shared" si="210"/>
        <v>0</v>
      </c>
      <c r="H371" s="1282">
        <f t="shared" si="211"/>
        <v>0</v>
      </c>
      <c r="I371" s="3891"/>
      <c r="J371" s="3891"/>
      <c r="K371" s="3891"/>
      <c r="L371" s="3891"/>
      <c r="M371" s="3891"/>
      <c r="N371" s="3891"/>
      <c r="O371" s="3891"/>
      <c r="P371" s="3891"/>
      <c r="Q371" s="3891"/>
      <c r="R371" s="3891"/>
      <c r="S371" s="3891"/>
      <c r="T371" s="3891"/>
      <c r="U371" s="3891"/>
      <c r="V371" s="3891"/>
      <c r="W371" s="3891"/>
      <c r="X371" s="3891"/>
      <c r="Y371" s="3891"/>
      <c r="Z371" s="3891"/>
      <c r="AA371" s="3891"/>
      <c r="AB371" s="3891"/>
      <c r="AC371" s="389">
        <f t="shared" si="212"/>
        <v>0</v>
      </c>
      <c r="AD371" s="5"/>
      <c r="AE371" s="5"/>
      <c r="AF371" s="5"/>
      <c r="AG371" s="5"/>
      <c r="AH371" s="5"/>
      <c r="AI371" s="5"/>
      <c r="AJ371" s="5"/>
      <c r="AK371" s="5"/>
      <c r="AL371" s="5"/>
      <c r="AM371" s="5"/>
      <c r="AN371" s="5"/>
      <c r="AO371" s="5"/>
      <c r="AP371" s="5"/>
      <c r="AQ371" s="5"/>
      <c r="AR371" s="5"/>
      <c r="AS371" s="5"/>
      <c r="AT371" s="20"/>
      <c r="AU371" s="1182"/>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81"/>
      <c r="E372" s="389">
        <f t="shared" si="235"/>
        <v>0</v>
      </c>
      <c r="F372" s="20"/>
      <c r="G372" s="3890">
        <f t="shared" si="210"/>
        <v>0</v>
      </c>
      <c r="H372" s="1282">
        <f t="shared" si="211"/>
        <v>0</v>
      </c>
      <c r="I372" s="3891"/>
      <c r="J372" s="3891"/>
      <c r="K372" s="3891"/>
      <c r="L372" s="3891"/>
      <c r="M372" s="3891"/>
      <c r="N372" s="3891"/>
      <c r="O372" s="3891"/>
      <c r="P372" s="3891"/>
      <c r="Q372" s="3891"/>
      <c r="R372" s="3891"/>
      <c r="S372" s="3891"/>
      <c r="T372" s="3891"/>
      <c r="U372" s="3891"/>
      <c r="V372" s="3891"/>
      <c r="W372" s="3891"/>
      <c r="X372" s="3891"/>
      <c r="Y372" s="3891"/>
      <c r="Z372" s="3891"/>
      <c r="AA372" s="3891"/>
      <c r="AB372" s="3891"/>
      <c r="AC372" s="389">
        <f t="shared" si="212"/>
        <v>0</v>
      </c>
      <c r="AD372" s="5"/>
      <c r="AE372" s="5"/>
      <c r="AF372" s="5"/>
      <c r="AG372" s="5"/>
      <c r="AH372" s="5"/>
      <c r="AI372" s="5"/>
      <c r="AJ372" s="5"/>
      <c r="AK372" s="5"/>
      <c r="AL372" s="5"/>
      <c r="AM372" s="5"/>
      <c r="AN372" s="5"/>
      <c r="AO372" s="5"/>
      <c r="AP372" s="5"/>
      <c r="AQ372" s="5"/>
      <c r="AR372" s="5"/>
      <c r="AS372" s="5"/>
      <c r="AT372" s="20"/>
      <c r="AU372" s="1182"/>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81"/>
      <c r="E373" s="389">
        <f t="shared" si="235"/>
        <v>0</v>
      </c>
      <c r="F373" s="20"/>
      <c r="G373" s="3890">
        <f t="shared" si="210"/>
        <v>0</v>
      </c>
      <c r="H373" s="1282">
        <f t="shared" si="211"/>
        <v>0</v>
      </c>
      <c r="I373" s="3891"/>
      <c r="J373" s="3891"/>
      <c r="K373" s="3891"/>
      <c r="L373" s="3891"/>
      <c r="M373" s="3891"/>
      <c r="N373" s="3891"/>
      <c r="O373" s="3891"/>
      <c r="P373" s="3891"/>
      <c r="Q373" s="3891"/>
      <c r="R373" s="3891"/>
      <c r="S373" s="3891"/>
      <c r="T373" s="3891"/>
      <c r="U373" s="3891"/>
      <c r="V373" s="3891"/>
      <c r="W373" s="3891"/>
      <c r="X373" s="3891"/>
      <c r="Y373" s="3891"/>
      <c r="Z373" s="3891"/>
      <c r="AA373" s="3891"/>
      <c r="AB373" s="3891"/>
      <c r="AC373" s="389">
        <f t="shared" si="212"/>
        <v>0</v>
      </c>
      <c r="AD373" s="5"/>
      <c r="AE373" s="5"/>
      <c r="AF373" s="5"/>
      <c r="AG373" s="5"/>
      <c r="AH373" s="5"/>
      <c r="AI373" s="5"/>
      <c r="AJ373" s="5"/>
      <c r="AK373" s="5"/>
      <c r="AL373" s="5"/>
      <c r="AM373" s="5"/>
      <c r="AN373" s="5"/>
      <c r="AO373" s="5"/>
      <c r="AP373" s="5"/>
      <c r="AQ373" s="5"/>
      <c r="AR373" s="5"/>
      <c r="AS373" s="5"/>
      <c r="AT373" s="20"/>
      <c r="AU373" s="1182"/>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81"/>
      <c r="E374" s="389">
        <f t="shared" si="235"/>
        <v>0</v>
      </c>
      <c r="F374" s="20"/>
      <c r="G374" s="3890">
        <f t="shared" si="210"/>
        <v>0</v>
      </c>
      <c r="H374" s="1282">
        <f t="shared" si="211"/>
        <v>0</v>
      </c>
      <c r="I374" s="3891"/>
      <c r="J374" s="3891"/>
      <c r="K374" s="3891"/>
      <c r="L374" s="3891"/>
      <c r="M374" s="3891"/>
      <c r="N374" s="3891"/>
      <c r="O374" s="3891"/>
      <c r="P374" s="3891"/>
      <c r="Q374" s="3891"/>
      <c r="R374" s="3891"/>
      <c r="S374" s="3891"/>
      <c r="T374" s="3891"/>
      <c r="U374" s="3891"/>
      <c r="V374" s="3891"/>
      <c r="W374" s="3891"/>
      <c r="X374" s="3891"/>
      <c r="Y374" s="3891"/>
      <c r="Z374" s="3891"/>
      <c r="AA374" s="3891"/>
      <c r="AB374" s="3891"/>
      <c r="AC374" s="389">
        <f t="shared" si="212"/>
        <v>0</v>
      </c>
      <c r="AD374" s="5"/>
      <c r="AE374" s="5"/>
      <c r="AF374" s="5"/>
      <c r="AG374" s="5"/>
      <c r="AH374" s="5"/>
      <c r="AI374" s="5"/>
      <c r="AJ374" s="5"/>
      <c r="AK374" s="5"/>
      <c r="AL374" s="5"/>
      <c r="AM374" s="5"/>
      <c r="AN374" s="5"/>
      <c r="AO374" s="5"/>
      <c r="AP374" s="5"/>
      <c r="AQ374" s="5"/>
      <c r="AR374" s="5"/>
      <c r="AS374" s="5"/>
      <c r="AT374" s="20"/>
      <c r="AU374" s="1182"/>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81"/>
      <c r="E375" s="389">
        <f t="shared" si="235"/>
        <v>0</v>
      </c>
      <c r="F375" s="20"/>
      <c r="G375" s="3890">
        <f t="shared" si="210"/>
        <v>0</v>
      </c>
      <c r="H375" s="1282">
        <f t="shared" si="211"/>
        <v>0</v>
      </c>
      <c r="I375" s="3891"/>
      <c r="J375" s="3891"/>
      <c r="K375" s="3891"/>
      <c r="L375" s="3891"/>
      <c r="M375" s="3891"/>
      <c r="N375" s="3891"/>
      <c r="O375" s="3891"/>
      <c r="P375" s="3891"/>
      <c r="Q375" s="3891"/>
      <c r="R375" s="3891"/>
      <c r="S375" s="3891"/>
      <c r="T375" s="3891"/>
      <c r="U375" s="3891"/>
      <c r="V375" s="3891"/>
      <c r="W375" s="3891"/>
      <c r="X375" s="3891"/>
      <c r="Y375" s="3891"/>
      <c r="Z375" s="3891"/>
      <c r="AA375" s="3891"/>
      <c r="AB375" s="3891"/>
      <c r="AC375" s="389">
        <f t="shared" si="212"/>
        <v>0</v>
      </c>
      <c r="AD375" s="5"/>
      <c r="AE375" s="5"/>
      <c r="AF375" s="5"/>
      <c r="AG375" s="5"/>
      <c r="AH375" s="5"/>
      <c r="AI375" s="5"/>
      <c r="AJ375" s="5"/>
      <c r="AK375" s="5"/>
      <c r="AL375" s="5"/>
      <c r="AM375" s="5"/>
      <c r="AN375" s="5"/>
      <c r="AO375" s="5"/>
      <c r="AP375" s="5"/>
      <c r="AQ375" s="5"/>
      <c r="AR375" s="5"/>
      <c r="AS375" s="5"/>
      <c r="AT375" s="20"/>
      <c r="AU375" s="1182"/>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81"/>
      <c r="E376" s="389">
        <f t="shared" si="235"/>
        <v>0</v>
      </c>
      <c r="F376" s="20"/>
      <c r="G376" s="3890">
        <f t="shared" si="210"/>
        <v>0</v>
      </c>
      <c r="H376" s="1282">
        <f t="shared" si="211"/>
        <v>0</v>
      </c>
      <c r="I376" s="3891"/>
      <c r="J376" s="3891"/>
      <c r="K376" s="3891"/>
      <c r="L376" s="3891"/>
      <c r="M376" s="3891"/>
      <c r="N376" s="3891"/>
      <c r="O376" s="3891"/>
      <c r="P376" s="3891"/>
      <c r="Q376" s="3891"/>
      <c r="R376" s="3891"/>
      <c r="S376" s="3891"/>
      <c r="T376" s="3891"/>
      <c r="U376" s="3891"/>
      <c r="V376" s="3891"/>
      <c r="W376" s="3891"/>
      <c r="X376" s="3891"/>
      <c r="Y376" s="3891"/>
      <c r="Z376" s="3891"/>
      <c r="AA376" s="3891"/>
      <c r="AB376" s="3891"/>
      <c r="AC376" s="389">
        <f t="shared" si="212"/>
        <v>0</v>
      </c>
      <c r="AD376" s="5"/>
      <c r="AE376" s="5"/>
      <c r="AF376" s="5"/>
      <c r="AG376" s="5"/>
      <c r="AH376" s="5"/>
      <c r="AI376" s="5"/>
      <c r="AJ376" s="5"/>
      <c r="AK376" s="5"/>
      <c r="AL376" s="5"/>
      <c r="AM376" s="5"/>
      <c r="AN376" s="5"/>
      <c r="AO376" s="5"/>
      <c r="AP376" s="5"/>
      <c r="AQ376" s="5"/>
      <c r="AR376" s="5"/>
      <c r="AS376" s="5"/>
      <c r="AT376" s="20"/>
      <c r="AU376" s="1182"/>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81"/>
      <c r="E377" s="389">
        <f t="shared" si="235"/>
        <v>0</v>
      </c>
      <c r="F377" s="20"/>
      <c r="G377" s="3890">
        <f t="shared" si="210"/>
        <v>0</v>
      </c>
      <c r="H377" s="1282">
        <f t="shared" si="211"/>
        <v>0</v>
      </c>
      <c r="I377" s="3891"/>
      <c r="J377" s="3891"/>
      <c r="K377" s="3891"/>
      <c r="L377" s="3891"/>
      <c r="M377" s="3891"/>
      <c r="N377" s="3891"/>
      <c r="O377" s="3891"/>
      <c r="P377" s="3891"/>
      <c r="Q377" s="3891"/>
      <c r="R377" s="3891"/>
      <c r="S377" s="3891"/>
      <c r="T377" s="3891"/>
      <c r="U377" s="3891"/>
      <c r="V377" s="3891"/>
      <c r="W377" s="3891"/>
      <c r="X377" s="3891"/>
      <c r="Y377" s="3891"/>
      <c r="Z377" s="3891"/>
      <c r="AA377" s="3891"/>
      <c r="AB377" s="3891"/>
      <c r="AC377" s="389">
        <f t="shared" si="212"/>
        <v>0</v>
      </c>
      <c r="AD377" s="5"/>
      <c r="AE377" s="5"/>
      <c r="AF377" s="5"/>
      <c r="AG377" s="5"/>
      <c r="AH377" s="5"/>
      <c r="AI377" s="5"/>
      <c r="AJ377" s="5"/>
      <c r="AK377" s="5"/>
      <c r="AL377" s="5"/>
      <c r="AM377" s="5"/>
      <c r="AN377" s="5"/>
      <c r="AO377" s="5"/>
      <c r="AP377" s="5"/>
      <c r="AQ377" s="5"/>
      <c r="AR377" s="5"/>
      <c r="AS377" s="5"/>
      <c r="AT377" s="20"/>
      <c r="AU377" s="1182"/>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81"/>
      <c r="E378" s="389">
        <f t="shared" si="235"/>
        <v>0</v>
      </c>
      <c r="F378" s="20"/>
      <c r="G378" s="3890">
        <f t="shared" si="210"/>
        <v>0</v>
      </c>
      <c r="H378" s="1282">
        <f t="shared" si="211"/>
        <v>0</v>
      </c>
      <c r="I378" s="3891"/>
      <c r="J378" s="3891"/>
      <c r="K378" s="3891"/>
      <c r="L378" s="3891"/>
      <c r="M378" s="3891"/>
      <c r="N378" s="3891"/>
      <c r="O378" s="3891"/>
      <c r="P378" s="3891"/>
      <c r="Q378" s="3891"/>
      <c r="R378" s="3891"/>
      <c r="S378" s="3891"/>
      <c r="T378" s="3891"/>
      <c r="U378" s="3891"/>
      <c r="V378" s="3891"/>
      <c r="W378" s="3891"/>
      <c r="X378" s="3891"/>
      <c r="Y378" s="3891"/>
      <c r="Z378" s="3891"/>
      <c r="AA378" s="3891"/>
      <c r="AB378" s="3891"/>
      <c r="AC378" s="389">
        <f t="shared" si="212"/>
        <v>0</v>
      </c>
      <c r="AD378" s="5"/>
      <c r="AE378" s="5"/>
      <c r="AF378" s="5"/>
      <c r="AG378" s="5"/>
      <c r="AH378" s="5"/>
      <c r="AI378" s="5"/>
      <c r="AJ378" s="5"/>
      <c r="AK378" s="5"/>
      <c r="AL378" s="5"/>
      <c r="AM378" s="5"/>
      <c r="AN378" s="5"/>
      <c r="AO378" s="5"/>
      <c r="AP378" s="5"/>
      <c r="AQ378" s="5"/>
      <c r="AR378" s="5"/>
      <c r="AS378" s="5"/>
      <c r="AT378" s="20"/>
      <c r="AU378" s="1182"/>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81"/>
      <c r="E379" s="389">
        <f t="shared" si="235"/>
        <v>0</v>
      </c>
      <c r="F379" s="20"/>
      <c r="G379" s="3890">
        <f t="shared" si="210"/>
        <v>0</v>
      </c>
      <c r="H379" s="1282">
        <f t="shared" si="211"/>
        <v>0</v>
      </c>
      <c r="I379" s="3891"/>
      <c r="J379" s="3891"/>
      <c r="K379" s="3891"/>
      <c r="L379" s="3891"/>
      <c r="M379" s="3891"/>
      <c r="N379" s="3891"/>
      <c r="O379" s="3891"/>
      <c r="P379" s="3891"/>
      <c r="Q379" s="3891"/>
      <c r="R379" s="3891"/>
      <c r="S379" s="3891"/>
      <c r="T379" s="3891"/>
      <c r="U379" s="3891"/>
      <c r="V379" s="3891"/>
      <c r="W379" s="3891"/>
      <c r="X379" s="3891"/>
      <c r="Y379" s="3891"/>
      <c r="Z379" s="3891"/>
      <c r="AA379" s="3891"/>
      <c r="AB379" s="3891"/>
      <c r="AC379" s="389">
        <f t="shared" si="212"/>
        <v>0</v>
      </c>
      <c r="AD379" s="5"/>
      <c r="AE379" s="5"/>
      <c r="AF379" s="5"/>
      <c r="AG379" s="5"/>
      <c r="AH379" s="5"/>
      <c r="AI379" s="5"/>
      <c r="AJ379" s="5"/>
      <c r="AK379" s="5"/>
      <c r="AL379" s="5"/>
      <c r="AM379" s="5"/>
      <c r="AN379" s="5"/>
      <c r="AO379" s="5"/>
      <c r="AP379" s="5"/>
      <c r="AQ379" s="5"/>
      <c r="AR379" s="5"/>
      <c r="AS379" s="5"/>
      <c r="AT379" s="20"/>
      <c r="AU379" s="1182"/>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81"/>
      <c r="E380" s="389">
        <f t="shared" si="235"/>
        <v>0</v>
      </c>
      <c r="F380" s="20"/>
      <c r="G380" s="3890">
        <f t="shared" si="210"/>
        <v>0</v>
      </c>
      <c r="H380" s="1282">
        <f t="shared" si="211"/>
        <v>0</v>
      </c>
      <c r="I380" s="3891"/>
      <c r="J380" s="3891"/>
      <c r="K380" s="3891"/>
      <c r="L380" s="3891"/>
      <c r="M380" s="3891"/>
      <c r="N380" s="3891"/>
      <c r="O380" s="3891"/>
      <c r="P380" s="3891"/>
      <c r="Q380" s="3891"/>
      <c r="R380" s="3891"/>
      <c r="S380" s="3891"/>
      <c r="T380" s="3891"/>
      <c r="U380" s="3891"/>
      <c r="V380" s="3891"/>
      <c r="W380" s="3891"/>
      <c r="X380" s="3891"/>
      <c r="Y380" s="3891"/>
      <c r="Z380" s="3891"/>
      <c r="AA380" s="3891"/>
      <c r="AB380" s="3891"/>
      <c r="AC380" s="389">
        <f t="shared" si="212"/>
        <v>0</v>
      </c>
      <c r="AD380" s="5"/>
      <c r="AE380" s="5"/>
      <c r="AF380" s="5"/>
      <c r="AG380" s="5"/>
      <c r="AH380" s="5"/>
      <c r="AI380" s="5"/>
      <c r="AJ380" s="5"/>
      <c r="AK380" s="5"/>
      <c r="AL380" s="5"/>
      <c r="AM380" s="5"/>
      <c r="AN380" s="5"/>
      <c r="AO380" s="5"/>
      <c r="AP380" s="5"/>
      <c r="AQ380" s="5"/>
      <c r="AR380" s="5"/>
      <c r="AS380" s="5"/>
      <c r="AT380" s="20"/>
      <c r="AU380" s="1182"/>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81"/>
      <c r="E381" s="389">
        <f t="shared" si="235"/>
        <v>0</v>
      </c>
      <c r="F381" s="20"/>
      <c r="G381" s="3890">
        <f t="shared" si="210"/>
        <v>0</v>
      </c>
      <c r="H381" s="1282">
        <f t="shared" si="211"/>
        <v>0</v>
      </c>
      <c r="I381" s="3891"/>
      <c r="J381" s="3891"/>
      <c r="K381" s="3891"/>
      <c r="L381" s="3891"/>
      <c r="M381" s="3891"/>
      <c r="N381" s="3891"/>
      <c r="O381" s="3891"/>
      <c r="P381" s="3891"/>
      <c r="Q381" s="3891"/>
      <c r="R381" s="3891"/>
      <c r="S381" s="3891"/>
      <c r="T381" s="3891"/>
      <c r="U381" s="3891"/>
      <c r="V381" s="3891"/>
      <c r="W381" s="3891"/>
      <c r="X381" s="3891"/>
      <c r="Y381" s="3891"/>
      <c r="Z381" s="3891"/>
      <c r="AA381" s="3891"/>
      <c r="AB381" s="3891"/>
      <c r="AC381" s="389">
        <f t="shared" si="212"/>
        <v>0</v>
      </c>
      <c r="AD381" s="5"/>
      <c r="AE381" s="5"/>
      <c r="AF381" s="5"/>
      <c r="AG381" s="5"/>
      <c r="AH381" s="5"/>
      <c r="AI381" s="5"/>
      <c r="AJ381" s="5"/>
      <c r="AK381" s="5"/>
      <c r="AL381" s="5"/>
      <c r="AM381" s="5"/>
      <c r="AN381" s="5"/>
      <c r="AO381" s="5"/>
      <c r="AP381" s="5"/>
      <c r="AQ381" s="5"/>
      <c r="AR381" s="5"/>
      <c r="AS381" s="5"/>
      <c r="AT381" s="20"/>
      <c r="AU381" s="1182"/>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81"/>
      <c r="E382" s="389">
        <f t="shared" si="235"/>
        <v>0</v>
      </c>
      <c r="F382" s="20"/>
      <c r="G382" s="3890">
        <f t="shared" si="210"/>
        <v>0</v>
      </c>
      <c r="H382" s="1282">
        <f t="shared" si="211"/>
        <v>0</v>
      </c>
      <c r="I382" s="3891"/>
      <c r="J382" s="3891"/>
      <c r="K382" s="3891"/>
      <c r="L382" s="3891"/>
      <c r="M382" s="3891"/>
      <c r="N382" s="3891"/>
      <c r="O382" s="3891"/>
      <c r="P382" s="3891"/>
      <c r="Q382" s="3891"/>
      <c r="R382" s="3891"/>
      <c r="S382" s="3891"/>
      <c r="T382" s="3891"/>
      <c r="U382" s="3891"/>
      <c r="V382" s="3891"/>
      <c r="W382" s="3891"/>
      <c r="X382" s="3891"/>
      <c r="Y382" s="3891"/>
      <c r="Z382" s="3891"/>
      <c r="AA382" s="3891"/>
      <c r="AB382" s="3891"/>
      <c r="AC382" s="389">
        <f t="shared" si="212"/>
        <v>0</v>
      </c>
      <c r="AD382" s="5"/>
      <c r="AE382" s="5"/>
      <c r="AF382" s="5"/>
      <c r="AG382" s="5"/>
      <c r="AH382" s="5"/>
      <c r="AI382" s="5"/>
      <c r="AJ382" s="5"/>
      <c r="AK382" s="5"/>
      <c r="AL382" s="5"/>
      <c r="AM382" s="5"/>
      <c r="AN382" s="5"/>
      <c r="AO382" s="5"/>
      <c r="AP382" s="5"/>
      <c r="AQ382" s="5"/>
      <c r="AR382" s="5"/>
      <c r="AS382" s="5"/>
      <c r="AT382" s="20"/>
      <c r="AU382" s="1182"/>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81"/>
      <c r="E383" s="389">
        <f t="shared" si="235"/>
        <v>0</v>
      </c>
      <c r="F383" s="20"/>
      <c r="G383" s="3890">
        <f t="shared" si="210"/>
        <v>0</v>
      </c>
      <c r="H383" s="1282">
        <f t="shared" si="211"/>
        <v>0</v>
      </c>
      <c r="I383" s="3891"/>
      <c r="J383" s="3891"/>
      <c r="K383" s="3891"/>
      <c r="L383" s="3891"/>
      <c r="M383" s="3891"/>
      <c r="N383" s="3891"/>
      <c r="O383" s="3891"/>
      <c r="P383" s="3891"/>
      <c r="Q383" s="3891"/>
      <c r="R383" s="3891"/>
      <c r="S383" s="3891"/>
      <c r="T383" s="3891"/>
      <c r="U383" s="3891"/>
      <c r="V383" s="3891"/>
      <c r="W383" s="3891"/>
      <c r="X383" s="3891"/>
      <c r="Y383" s="3891"/>
      <c r="Z383" s="3891"/>
      <c r="AA383" s="3891"/>
      <c r="AB383" s="3891"/>
      <c r="AC383" s="389">
        <f t="shared" si="212"/>
        <v>0</v>
      </c>
      <c r="AD383" s="5"/>
      <c r="AE383" s="5"/>
      <c r="AF383" s="5"/>
      <c r="AG383" s="5"/>
      <c r="AH383" s="5"/>
      <c r="AI383" s="5"/>
      <c r="AJ383" s="5"/>
      <c r="AK383" s="5"/>
      <c r="AL383" s="5"/>
      <c r="AM383" s="5"/>
      <c r="AN383" s="5"/>
      <c r="AO383" s="5"/>
      <c r="AP383" s="5"/>
      <c r="AQ383" s="5"/>
      <c r="AR383" s="5"/>
      <c r="AS383" s="5"/>
      <c r="AT383" s="20"/>
      <c r="AU383" s="1182"/>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81"/>
      <c r="E384" s="389">
        <f t="shared" si="235"/>
        <v>0</v>
      </c>
      <c r="F384" s="20"/>
      <c r="G384" s="3890">
        <f t="shared" si="210"/>
        <v>0</v>
      </c>
      <c r="H384" s="1282">
        <f t="shared" si="211"/>
        <v>0</v>
      </c>
      <c r="I384" s="3891"/>
      <c r="J384" s="3891"/>
      <c r="K384" s="3891"/>
      <c r="L384" s="3891"/>
      <c r="M384" s="3891"/>
      <c r="N384" s="3891"/>
      <c r="O384" s="3891"/>
      <c r="P384" s="3891"/>
      <c r="Q384" s="3891"/>
      <c r="R384" s="3891"/>
      <c r="S384" s="3891"/>
      <c r="T384" s="3891"/>
      <c r="U384" s="3891"/>
      <c r="V384" s="3891"/>
      <c r="W384" s="3891"/>
      <c r="X384" s="3891"/>
      <c r="Y384" s="3891"/>
      <c r="Z384" s="3891"/>
      <c r="AA384" s="3891"/>
      <c r="AB384" s="3891"/>
      <c r="AC384" s="389">
        <f t="shared" si="212"/>
        <v>0</v>
      </c>
      <c r="AD384" s="5"/>
      <c r="AE384" s="5"/>
      <c r="AF384" s="5"/>
      <c r="AG384" s="5"/>
      <c r="AH384" s="5"/>
      <c r="AI384" s="5"/>
      <c r="AJ384" s="5"/>
      <c r="AK384" s="5"/>
      <c r="AL384" s="5"/>
      <c r="AM384" s="5"/>
      <c r="AN384" s="5"/>
      <c r="AO384" s="5"/>
      <c r="AP384" s="5"/>
      <c r="AQ384" s="5"/>
      <c r="AR384" s="5"/>
      <c r="AS384" s="5"/>
      <c r="AT384" s="20"/>
      <c r="AU384" s="1182"/>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81"/>
      <c r="E385" s="389">
        <f t="shared" si="235"/>
        <v>0</v>
      </c>
      <c r="F385" s="20"/>
      <c r="G385" s="3890">
        <f t="shared" si="210"/>
        <v>0</v>
      </c>
      <c r="H385" s="1282">
        <f t="shared" si="211"/>
        <v>0</v>
      </c>
      <c r="I385" s="3891"/>
      <c r="J385" s="3891"/>
      <c r="K385" s="3891"/>
      <c r="L385" s="3891"/>
      <c r="M385" s="3891"/>
      <c r="N385" s="3891"/>
      <c r="O385" s="3891"/>
      <c r="P385" s="3891"/>
      <c r="Q385" s="3891"/>
      <c r="R385" s="3891"/>
      <c r="S385" s="3891"/>
      <c r="T385" s="3891"/>
      <c r="U385" s="3891"/>
      <c r="V385" s="3891"/>
      <c r="W385" s="3891"/>
      <c r="X385" s="3891"/>
      <c r="Y385" s="3891"/>
      <c r="Z385" s="3891"/>
      <c r="AA385" s="3891"/>
      <c r="AB385" s="3891"/>
      <c r="AC385" s="389">
        <f t="shared" si="212"/>
        <v>0</v>
      </c>
      <c r="AD385" s="5"/>
      <c r="AE385" s="5"/>
      <c r="AF385" s="5"/>
      <c r="AG385" s="5"/>
      <c r="AH385" s="5"/>
      <c r="AI385" s="5"/>
      <c r="AJ385" s="5"/>
      <c r="AK385" s="5"/>
      <c r="AL385" s="5"/>
      <c r="AM385" s="5"/>
      <c r="AN385" s="5"/>
      <c r="AO385" s="5"/>
      <c r="AP385" s="5"/>
      <c r="AQ385" s="5"/>
      <c r="AR385" s="5"/>
      <c r="AS385" s="5"/>
      <c r="AT385" s="20"/>
      <c r="AU385" s="1182"/>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81"/>
      <c r="E386" s="389">
        <f t="shared" si="235"/>
        <v>0</v>
      </c>
      <c r="F386" s="20"/>
      <c r="G386" s="3890">
        <f t="shared" si="210"/>
        <v>0</v>
      </c>
      <c r="H386" s="1282">
        <f t="shared" si="211"/>
        <v>0</v>
      </c>
      <c r="I386" s="3891"/>
      <c r="J386" s="3891"/>
      <c r="K386" s="3891"/>
      <c r="L386" s="3891"/>
      <c r="M386" s="3891"/>
      <c r="N386" s="3891"/>
      <c r="O386" s="3891"/>
      <c r="P386" s="3891"/>
      <c r="Q386" s="3891"/>
      <c r="R386" s="3891"/>
      <c r="S386" s="3891"/>
      <c r="T386" s="3891"/>
      <c r="U386" s="3891"/>
      <c r="V386" s="3891"/>
      <c r="W386" s="3891"/>
      <c r="X386" s="3891"/>
      <c r="Y386" s="3891"/>
      <c r="Z386" s="3891"/>
      <c r="AA386" s="3891"/>
      <c r="AB386" s="3891"/>
      <c r="AC386" s="389">
        <f t="shared" si="212"/>
        <v>0</v>
      </c>
      <c r="AD386" s="5"/>
      <c r="AE386" s="5"/>
      <c r="AF386" s="5"/>
      <c r="AG386" s="5"/>
      <c r="AH386" s="5"/>
      <c r="AI386" s="5"/>
      <c r="AJ386" s="5"/>
      <c r="AK386" s="5"/>
      <c r="AL386" s="5"/>
      <c r="AM386" s="5"/>
      <c r="AN386" s="5"/>
      <c r="AO386" s="5"/>
      <c r="AP386" s="5"/>
      <c r="AQ386" s="5"/>
      <c r="AR386" s="5"/>
      <c r="AS386" s="5"/>
      <c r="AT386" s="20"/>
      <c r="AU386" s="1182"/>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81"/>
      <c r="E387" s="389">
        <f t="shared" si="235"/>
        <v>0</v>
      </c>
      <c r="F387" s="20"/>
      <c r="G387" s="3890">
        <f t="shared" si="210"/>
        <v>0</v>
      </c>
      <c r="H387" s="1282">
        <f t="shared" si="211"/>
        <v>0</v>
      </c>
      <c r="I387" s="3891"/>
      <c r="J387" s="3891"/>
      <c r="K387" s="3891"/>
      <c r="L387" s="3891"/>
      <c r="M387" s="3891"/>
      <c r="N387" s="3891"/>
      <c r="O387" s="3891"/>
      <c r="P387" s="3891"/>
      <c r="Q387" s="3891"/>
      <c r="R387" s="3891"/>
      <c r="S387" s="3891"/>
      <c r="T387" s="3891"/>
      <c r="U387" s="3891"/>
      <c r="V387" s="3891"/>
      <c r="W387" s="3891"/>
      <c r="X387" s="3891"/>
      <c r="Y387" s="3891"/>
      <c r="Z387" s="3891"/>
      <c r="AA387" s="3891"/>
      <c r="AB387" s="3891"/>
      <c r="AC387" s="389">
        <f t="shared" si="212"/>
        <v>0</v>
      </c>
      <c r="AD387" s="5"/>
      <c r="AE387" s="5"/>
      <c r="AF387" s="5"/>
      <c r="AG387" s="5"/>
      <c r="AH387" s="5"/>
      <c r="AI387" s="5"/>
      <c r="AJ387" s="5"/>
      <c r="AK387" s="5"/>
      <c r="AL387" s="5"/>
      <c r="AM387" s="5"/>
      <c r="AN387" s="5"/>
      <c r="AO387" s="5"/>
      <c r="AP387" s="5"/>
      <c r="AQ387" s="5"/>
      <c r="AR387" s="5"/>
      <c r="AS387" s="5"/>
      <c r="AT387" s="20"/>
      <c r="AU387" s="1182"/>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81"/>
      <c r="E388" s="389">
        <f t="shared" si="235"/>
        <v>0</v>
      </c>
      <c r="F388" s="20"/>
      <c r="G388" s="3890">
        <f t="shared" si="210"/>
        <v>0</v>
      </c>
      <c r="H388" s="1282">
        <f t="shared" si="211"/>
        <v>0</v>
      </c>
      <c r="I388" s="3891"/>
      <c r="J388" s="3891"/>
      <c r="K388" s="3891"/>
      <c r="L388" s="3891"/>
      <c r="M388" s="3891"/>
      <c r="N388" s="3891"/>
      <c r="O388" s="3891"/>
      <c r="P388" s="3891"/>
      <c r="Q388" s="3891"/>
      <c r="R388" s="3891"/>
      <c r="S388" s="3891"/>
      <c r="T388" s="3891"/>
      <c r="U388" s="3891"/>
      <c r="V388" s="3891"/>
      <c r="W388" s="3891"/>
      <c r="X388" s="3891"/>
      <c r="Y388" s="3891"/>
      <c r="Z388" s="3891"/>
      <c r="AA388" s="3891"/>
      <c r="AB388" s="3891"/>
      <c r="AC388" s="389">
        <f t="shared" si="212"/>
        <v>0</v>
      </c>
      <c r="AD388" s="5"/>
      <c r="AE388" s="5"/>
      <c r="AF388" s="5"/>
      <c r="AG388" s="5"/>
      <c r="AH388" s="5"/>
      <c r="AI388" s="5"/>
      <c r="AJ388" s="5"/>
      <c r="AK388" s="5"/>
      <c r="AL388" s="5"/>
      <c r="AM388" s="5"/>
      <c r="AN388" s="5"/>
      <c r="AO388" s="5"/>
      <c r="AP388" s="5"/>
      <c r="AQ388" s="5"/>
      <c r="AR388" s="5"/>
      <c r="AS388" s="5"/>
      <c r="AT388" s="20"/>
      <c r="AU388" s="1182"/>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81"/>
      <c r="E389" s="389">
        <f t="shared" si="235"/>
        <v>0</v>
      </c>
      <c r="F389" s="20"/>
      <c r="G389" s="3890">
        <f t="shared" si="210"/>
        <v>0</v>
      </c>
      <c r="H389" s="1282">
        <f t="shared" si="211"/>
        <v>0</v>
      </c>
      <c r="I389" s="3891"/>
      <c r="J389" s="3891"/>
      <c r="K389" s="3891"/>
      <c r="L389" s="3891"/>
      <c r="M389" s="3891"/>
      <c r="N389" s="3891"/>
      <c r="O389" s="3891"/>
      <c r="P389" s="3891"/>
      <c r="Q389" s="3891"/>
      <c r="R389" s="3891"/>
      <c r="S389" s="3891"/>
      <c r="T389" s="3891"/>
      <c r="U389" s="3891"/>
      <c r="V389" s="3891"/>
      <c r="W389" s="3891"/>
      <c r="X389" s="3891"/>
      <c r="Y389" s="3891"/>
      <c r="Z389" s="3891"/>
      <c r="AA389" s="3891"/>
      <c r="AB389" s="3891"/>
      <c r="AC389" s="389">
        <f t="shared" si="212"/>
        <v>0</v>
      </c>
      <c r="AD389" s="5"/>
      <c r="AE389" s="5"/>
      <c r="AF389" s="5"/>
      <c r="AG389" s="5"/>
      <c r="AH389" s="5"/>
      <c r="AI389" s="5"/>
      <c r="AJ389" s="5"/>
      <c r="AK389" s="5"/>
      <c r="AL389" s="5"/>
      <c r="AM389" s="5"/>
      <c r="AN389" s="5"/>
      <c r="AO389" s="5"/>
      <c r="AP389" s="5"/>
      <c r="AQ389" s="5"/>
      <c r="AR389" s="5"/>
      <c r="AS389" s="5"/>
      <c r="AT389" s="20"/>
      <c r="AU389" s="1182"/>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81"/>
      <c r="E390" s="389">
        <f t="shared" si="235"/>
        <v>0</v>
      </c>
      <c r="F390" s="20"/>
      <c r="G390" s="3890">
        <f t="shared" si="210"/>
        <v>0</v>
      </c>
      <c r="H390" s="1282">
        <f t="shared" si="211"/>
        <v>0</v>
      </c>
      <c r="I390" s="3891"/>
      <c r="J390" s="3891"/>
      <c r="K390" s="3891"/>
      <c r="L390" s="3891"/>
      <c r="M390" s="3891"/>
      <c r="N390" s="3891"/>
      <c r="O390" s="3891"/>
      <c r="P390" s="3891"/>
      <c r="Q390" s="3891"/>
      <c r="R390" s="3891"/>
      <c r="S390" s="3891"/>
      <c r="T390" s="3891"/>
      <c r="U390" s="3891"/>
      <c r="V390" s="3891"/>
      <c r="W390" s="3891"/>
      <c r="X390" s="3891"/>
      <c r="Y390" s="3891"/>
      <c r="Z390" s="3891"/>
      <c r="AA390" s="3891"/>
      <c r="AB390" s="3891"/>
      <c r="AC390" s="389">
        <f t="shared" si="212"/>
        <v>0</v>
      </c>
      <c r="AD390" s="5"/>
      <c r="AE390" s="5"/>
      <c r="AF390" s="5"/>
      <c r="AG390" s="5"/>
      <c r="AH390" s="5"/>
      <c r="AI390" s="5"/>
      <c r="AJ390" s="5"/>
      <c r="AK390" s="5"/>
      <c r="AL390" s="5"/>
      <c r="AM390" s="5"/>
      <c r="AN390" s="5"/>
      <c r="AO390" s="5"/>
      <c r="AP390" s="5"/>
      <c r="AQ390" s="5"/>
      <c r="AR390" s="5"/>
      <c r="AS390" s="5"/>
      <c r="AT390" s="20"/>
      <c r="AU390" s="1182"/>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81"/>
      <c r="E391" s="389">
        <f t="shared" si="235"/>
        <v>0</v>
      </c>
      <c r="F391" s="20"/>
      <c r="G391" s="3890">
        <f t="shared" si="210"/>
        <v>0</v>
      </c>
      <c r="H391" s="1282">
        <f t="shared" si="211"/>
        <v>0</v>
      </c>
      <c r="I391" s="3891"/>
      <c r="J391" s="3891"/>
      <c r="K391" s="3891"/>
      <c r="L391" s="3891"/>
      <c r="M391" s="3891"/>
      <c r="N391" s="3891"/>
      <c r="O391" s="3891"/>
      <c r="P391" s="3891"/>
      <c r="Q391" s="3891"/>
      <c r="R391" s="3891"/>
      <c r="S391" s="3891"/>
      <c r="T391" s="3891"/>
      <c r="U391" s="3891"/>
      <c r="V391" s="3891"/>
      <c r="W391" s="3891"/>
      <c r="X391" s="3891"/>
      <c r="Y391" s="3891"/>
      <c r="Z391" s="3891"/>
      <c r="AA391" s="3891"/>
      <c r="AB391" s="3891"/>
      <c r="AC391" s="389">
        <f t="shared" si="212"/>
        <v>0</v>
      </c>
      <c r="AD391" s="5"/>
      <c r="AE391" s="5"/>
      <c r="AF391" s="5"/>
      <c r="AG391" s="5"/>
      <c r="AH391" s="5"/>
      <c r="AI391" s="5"/>
      <c r="AJ391" s="5"/>
      <c r="AK391" s="5"/>
      <c r="AL391" s="5"/>
      <c r="AM391" s="5"/>
      <c r="AN391" s="5"/>
      <c r="AO391" s="5"/>
      <c r="AP391" s="5"/>
      <c r="AQ391" s="5"/>
      <c r="AR391" s="5"/>
      <c r="AS391" s="5"/>
      <c r="AT391" s="20"/>
      <c r="AU391" s="1182"/>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81"/>
      <c r="E392" s="389">
        <f t="shared" si="235"/>
        <v>0</v>
      </c>
      <c r="F392" s="20"/>
      <c r="G392" s="3890">
        <f t="shared" si="210"/>
        <v>0</v>
      </c>
      <c r="H392" s="1282">
        <f t="shared" si="211"/>
        <v>0</v>
      </c>
      <c r="I392" s="3891"/>
      <c r="J392" s="3891"/>
      <c r="K392" s="3891"/>
      <c r="L392" s="3891"/>
      <c r="M392" s="3891"/>
      <c r="N392" s="3891"/>
      <c r="O392" s="3891"/>
      <c r="P392" s="3891"/>
      <c r="Q392" s="3891"/>
      <c r="R392" s="3891"/>
      <c r="S392" s="3891"/>
      <c r="T392" s="3891"/>
      <c r="U392" s="3891"/>
      <c r="V392" s="3891"/>
      <c r="W392" s="3891"/>
      <c r="X392" s="3891"/>
      <c r="Y392" s="3891"/>
      <c r="Z392" s="3891"/>
      <c r="AA392" s="3891"/>
      <c r="AB392" s="3891"/>
      <c r="AC392" s="389">
        <f t="shared" si="212"/>
        <v>0</v>
      </c>
      <c r="AD392" s="5"/>
      <c r="AE392" s="5"/>
      <c r="AF392" s="5"/>
      <c r="AG392" s="5"/>
      <c r="AH392" s="5"/>
      <c r="AI392" s="5"/>
      <c r="AJ392" s="5"/>
      <c r="AK392" s="5"/>
      <c r="AL392" s="5"/>
      <c r="AM392" s="5"/>
      <c r="AN392" s="5"/>
      <c r="AO392" s="5"/>
      <c r="AP392" s="5"/>
      <c r="AQ392" s="5"/>
      <c r="AR392" s="5"/>
      <c r="AS392" s="5"/>
      <c r="AT392" s="20"/>
      <c r="AU392" s="1182"/>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81"/>
      <c r="E393" s="389">
        <f t="shared" si="235"/>
        <v>0</v>
      </c>
      <c r="F393" s="20"/>
      <c r="G393" s="3890">
        <f t="shared" si="210"/>
        <v>0</v>
      </c>
      <c r="H393" s="1282">
        <f t="shared" si="211"/>
        <v>0</v>
      </c>
      <c r="I393" s="3891"/>
      <c r="J393" s="3891"/>
      <c r="K393" s="3891"/>
      <c r="L393" s="3891"/>
      <c r="M393" s="3891"/>
      <c r="N393" s="3891"/>
      <c r="O393" s="3891"/>
      <c r="P393" s="3891"/>
      <c r="Q393" s="3891"/>
      <c r="R393" s="3891"/>
      <c r="S393" s="3891"/>
      <c r="T393" s="3891"/>
      <c r="U393" s="3891"/>
      <c r="V393" s="3891"/>
      <c r="W393" s="3891"/>
      <c r="X393" s="3891"/>
      <c r="Y393" s="3891"/>
      <c r="Z393" s="3891"/>
      <c r="AA393" s="3891"/>
      <c r="AB393" s="3891"/>
      <c r="AC393" s="389">
        <f t="shared" si="212"/>
        <v>0</v>
      </c>
      <c r="AD393" s="5"/>
      <c r="AE393" s="5"/>
      <c r="AF393" s="5"/>
      <c r="AG393" s="5"/>
      <c r="AH393" s="5"/>
      <c r="AI393" s="5"/>
      <c r="AJ393" s="5"/>
      <c r="AK393" s="5"/>
      <c r="AL393" s="5"/>
      <c r="AM393" s="5"/>
      <c r="AN393" s="5"/>
      <c r="AO393" s="5"/>
      <c r="AP393" s="5"/>
      <c r="AQ393" s="5"/>
      <c r="AR393" s="5"/>
      <c r="AS393" s="5"/>
      <c r="AT393" s="20"/>
      <c r="AU393" s="1182"/>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81"/>
      <c r="E394" s="389">
        <f t="shared" si="235"/>
        <v>0</v>
      </c>
      <c r="F394" s="20"/>
      <c r="G394" s="3890">
        <f t="shared" si="210"/>
        <v>0</v>
      </c>
      <c r="H394" s="1282">
        <f t="shared" si="211"/>
        <v>0</v>
      </c>
      <c r="I394" s="3891"/>
      <c r="J394" s="3891"/>
      <c r="K394" s="3891"/>
      <c r="L394" s="3891"/>
      <c r="M394" s="3891"/>
      <c r="N394" s="3891"/>
      <c r="O394" s="3891"/>
      <c r="P394" s="3891"/>
      <c r="Q394" s="3891"/>
      <c r="R394" s="3891"/>
      <c r="S394" s="3891"/>
      <c r="T394" s="3891"/>
      <c r="U394" s="3891"/>
      <c r="V394" s="3891"/>
      <c r="W394" s="3891"/>
      <c r="X394" s="3891"/>
      <c r="Y394" s="3891"/>
      <c r="Z394" s="3891"/>
      <c r="AA394" s="3891"/>
      <c r="AB394" s="3891"/>
      <c r="AC394" s="389">
        <f t="shared" si="212"/>
        <v>0</v>
      </c>
      <c r="AD394" s="5"/>
      <c r="AE394" s="5"/>
      <c r="AF394" s="5"/>
      <c r="AG394" s="5"/>
      <c r="AH394" s="5"/>
      <c r="AI394" s="5"/>
      <c r="AJ394" s="5"/>
      <c r="AK394" s="5"/>
      <c r="AL394" s="5"/>
      <c r="AM394" s="5"/>
      <c r="AN394" s="5"/>
      <c r="AO394" s="5"/>
      <c r="AP394" s="5"/>
      <c r="AQ394" s="5"/>
      <c r="AR394" s="5"/>
      <c r="AS394" s="5"/>
      <c r="AT394" s="20"/>
      <c r="AU394" s="1182"/>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81"/>
      <c r="E395" s="389">
        <f t="shared" si="235"/>
        <v>0</v>
      </c>
      <c r="F395" s="5"/>
      <c r="G395" s="3890">
        <f t="shared" si="210"/>
        <v>0</v>
      </c>
      <c r="H395" s="1282">
        <f t="shared" si="211"/>
        <v>0</v>
      </c>
      <c r="I395" s="3891"/>
      <c r="J395" s="3891"/>
      <c r="K395" s="3891"/>
      <c r="L395" s="3891"/>
      <c r="M395" s="3891"/>
      <c r="N395" s="3891"/>
      <c r="O395" s="3891"/>
      <c r="P395" s="3891"/>
      <c r="Q395" s="3891"/>
      <c r="R395" s="3891"/>
      <c r="S395" s="3891"/>
      <c r="T395" s="3891"/>
      <c r="U395" s="3891"/>
      <c r="V395" s="3891"/>
      <c r="W395" s="3891"/>
      <c r="X395" s="3891"/>
      <c r="Y395" s="3891"/>
      <c r="Z395" s="3891"/>
      <c r="AA395" s="3891"/>
      <c r="AB395" s="3891"/>
      <c r="AC395" s="389">
        <f t="shared" si="212"/>
        <v>0</v>
      </c>
      <c r="AD395" s="5"/>
      <c r="AE395" s="5"/>
      <c r="AF395" s="5"/>
      <c r="AG395" s="5"/>
      <c r="AH395" s="5"/>
      <c r="AI395" s="5"/>
      <c r="AJ395" s="5"/>
      <c r="AK395" s="5"/>
      <c r="AL395" s="5"/>
      <c r="AM395" s="5"/>
      <c r="AN395" s="5"/>
      <c r="AO395" s="5"/>
      <c r="AP395" s="5"/>
      <c r="AQ395" s="5"/>
      <c r="AR395" s="5"/>
      <c r="AS395" s="5"/>
      <c r="AT395" s="5"/>
      <c r="AU395" s="783"/>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81"/>
      <c r="E396" s="389">
        <f t="shared" si="235"/>
        <v>0</v>
      </c>
      <c r="F396" s="5"/>
      <c r="G396" s="3890">
        <f>H396+AC396+AT396</f>
        <v>0</v>
      </c>
      <c r="H396" s="1282">
        <f>SUMIF(I$12:AB$12,"总值",I396:AB396)</f>
        <v>0</v>
      </c>
      <c r="I396" s="3891"/>
      <c r="J396" s="3891"/>
      <c r="K396" s="3891"/>
      <c r="L396" s="3891"/>
      <c r="M396" s="3891"/>
      <c r="N396" s="3891"/>
      <c r="O396" s="3891"/>
      <c r="P396" s="3891"/>
      <c r="Q396" s="3891"/>
      <c r="R396" s="3891"/>
      <c r="S396" s="3891"/>
      <c r="T396" s="3891"/>
      <c r="U396" s="3891"/>
      <c r="V396" s="3891"/>
      <c r="W396" s="3891"/>
      <c r="X396" s="3891"/>
      <c r="Y396" s="3891"/>
      <c r="Z396" s="3891"/>
      <c r="AA396" s="3891"/>
      <c r="AB396" s="3891"/>
      <c r="AC396" s="389">
        <f>SUMIF(AD$12:AS$12,"总值",AD396:AS396)</f>
        <v>0</v>
      </c>
      <c r="AD396" s="5"/>
      <c r="AE396" s="5"/>
      <c r="AF396" s="5"/>
      <c r="AG396" s="5"/>
      <c r="AH396" s="5"/>
      <c r="AI396" s="5"/>
      <c r="AJ396" s="5"/>
      <c r="AK396" s="5"/>
      <c r="AL396" s="5"/>
      <c r="AM396" s="5"/>
      <c r="AN396" s="5"/>
      <c r="AO396" s="5"/>
      <c r="AP396" s="5"/>
      <c r="AQ396" s="5"/>
      <c r="AR396" s="5"/>
      <c r="AS396" s="5"/>
      <c r="AT396" s="5"/>
      <c r="AU396" s="783"/>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81"/>
      <c r="E397" s="389">
        <f t="shared" si="235"/>
        <v>0</v>
      </c>
      <c r="F397" s="5"/>
      <c r="G397" s="3890">
        <f>H397+AC397+AT397</f>
        <v>0</v>
      </c>
      <c r="H397" s="1282">
        <f>SUMIF(I$12:AB$12,"总值",I397:AB397)</f>
        <v>0</v>
      </c>
      <c r="I397" s="3891"/>
      <c r="J397" s="3891"/>
      <c r="K397" s="3891"/>
      <c r="L397" s="3891"/>
      <c r="M397" s="3891"/>
      <c r="N397" s="3891"/>
      <c r="O397" s="3891"/>
      <c r="P397" s="3891"/>
      <c r="Q397" s="3891"/>
      <c r="R397" s="3891"/>
      <c r="S397" s="3891"/>
      <c r="T397" s="3891"/>
      <c r="U397" s="3891"/>
      <c r="V397" s="3891"/>
      <c r="W397" s="3891"/>
      <c r="X397" s="3891"/>
      <c r="Y397" s="3891"/>
      <c r="Z397" s="3891"/>
      <c r="AA397" s="3891"/>
      <c r="AB397" s="3891"/>
      <c r="AC397" s="389">
        <f>SUMIF(AD$12:AS$12,"总值",AD397:AS397)</f>
        <v>0</v>
      </c>
      <c r="AD397" s="5"/>
      <c r="AE397" s="5"/>
      <c r="AF397" s="5"/>
      <c r="AG397" s="5"/>
      <c r="AH397" s="5"/>
      <c r="AI397" s="5"/>
      <c r="AJ397" s="5"/>
      <c r="AK397" s="5"/>
      <c r="AL397" s="5"/>
      <c r="AM397" s="5"/>
      <c r="AN397" s="5"/>
      <c r="AO397" s="5"/>
      <c r="AP397" s="5"/>
      <c r="AQ397" s="5"/>
      <c r="AR397" s="5"/>
      <c r="AS397" s="5"/>
      <c r="AT397" s="5"/>
      <c r="AU397" s="783"/>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81"/>
      <c r="E398" s="389">
        <f t="shared" ref="E398:E492" si="239">IF($C$3="是",ROUND($A$3*G398/$B$3,2),ROUND($A$3*(G398-AT398)/$B$3,2))</f>
        <v>0</v>
      </c>
      <c r="F398" s="20"/>
      <c r="G398" s="3890">
        <f t="shared" ref="G398:G489" si="240">H398+AC398+AT398</f>
        <v>0</v>
      </c>
      <c r="H398" s="1282">
        <f t="shared" ref="H398:H489" si="241">SUMIF(I$12:AB$12,"总值",I398:AB398)</f>
        <v>0</v>
      </c>
      <c r="I398" s="3891"/>
      <c r="J398" s="3891"/>
      <c r="K398" s="3891"/>
      <c r="L398" s="3891"/>
      <c r="M398" s="3891"/>
      <c r="N398" s="3891"/>
      <c r="O398" s="3891"/>
      <c r="P398" s="3891"/>
      <c r="Q398" s="3891"/>
      <c r="R398" s="3891"/>
      <c r="S398" s="3891"/>
      <c r="T398" s="3891"/>
      <c r="U398" s="3891"/>
      <c r="V398" s="3891"/>
      <c r="W398" s="3891"/>
      <c r="X398" s="3891"/>
      <c r="Y398" s="3891"/>
      <c r="Z398" s="3891"/>
      <c r="AA398" s="3891"/>
      <c r="AB398" s="3891"/>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82"/>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81"/>
      <c r="E399" s="389">
        <f t="shared" si="239"/>
        <v>0</v>
      </c>
      <c r="F399" s="20"/>
      <c r="G399" s="3890">
        <f t="shared" si="240"/>
        <v>0</v>
      </c>
      <c r="H399" s="1282">
        <f t="shared" si="241"/>
        <v>0</v>
      </c>
      <c r="I399" s="3891"/>
      <c r="J399" s="3891"/>
      <c r="K399" s="3891"/>
      <c r="L399" s="3891"/>
      <c r="M399" s="3891"/>
      <c r="N399" s="3891"/>
      <c r="O399" s="3891"/>
      <c r="P399" s="3891"/>
      <c r="Q399" s="3891"/>
      <c r="R399" s="3891"/>
      <c r="S399" s="3891"/>
      <c r="T399" s="3891"/>
      <c r="U399" s="3891"/>
      <c r="V399" s="3891"/>
      <c r="W399" s="3891"/>
      <c r="X399" s="3891"/>
      <c r="Y399" s="3891"/>
      <c r="Z399" s="3891"/>
      <c r="AA399" s="3891"/>
      <c r="AB399" s="3891"/>
      <c r="AC399" s="389">
        <f t="shared" si="242"/>
        <v>0</v>
      </c>
      <c r="AD399" s="5"/>
      <c r="AE399" s="5"/>
      <c r="AF399" s="5"/>
      <c r="AG399" s="5"/>
      <c r="AH399" s="5"/>
      <c r="AI399" s="5"/>
      <c r="AJ399" s="5"/>
      <c r="AK399" s="5"/>
      <c r="AL399" s="5"/>
      <c r="AM399" s="5"/>
      <c r="AN399" s="5"/>
      <c r="AO399" s="5"/>
      <c r="AP399" s="5"/>
      <c r="AQ399" s="5"/>
      <c r="AR399" s="5"/>
      <c r="AS399" s="5"/>
      <c r="AT399" s="20"/>
      <c r="AU399" s="1182"/>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81"/>
      <c r="E400" s="389">
        <f t="shared" si="239"/>
        <v>0</v>
      </c>
      <c r="F400" s="20"/>
      <c r="G400" s="3890">
        <f t="shared" si="240"/>
        <v>0</v>
      </c>
      <c r="H400" s="1282">
        <f t="shared" si="241"/>
        <v>0</v>
      </c>
      <c r="I400" s="3891"/>
      <c r="J400" s="3891"/>
      <c r="K400" s="3891"/>
      <c r="L400" s="3891"/>
      <c r="M400" s="3891"/>
      <c r="N400" s="3891"/>
      <c r="O400" s="3891"/>
      <c r="P400" s="3891"/>
      <c r="Q400" s="3891"/>
      <c r="R400" s="3891"/>
      <c r="S400" s="3891"/>
      <c r="T400" s="3891"/>
      <c r="U400" s="3891"/>
      <c r="V400" s="3891"/>
      <c r="W400" s="3891"/>
      <c r="X400" s="3891"/>
      <c r="Y400" s="3891"/>
      <c r="Z400" s="3891"/>
      <c r="AA400" s="3891"/>
      <c r="AB400" s="3891"/>
      <c r="AC400" s="389">
        <f t="shared" si="242"/>
        <v>0</v>
      </c>
      <c r="AD400" s="5"/>
      <c r="AE400" s="5"/>
      <c r="AF400" s="5"/>
      <c r="AG400" s="5"/>
      <c r="AH400" s="5"/>
      <c r="AI400" s="5"/>
      <c r="AJ400" s="5"/>
      <c r="AK400" s="5"/>
      <c r="AL400" s="5"/>
      <c r="AM400" s="5"/>
      <c r="AN400" s="5"/>
      <c r="AO400" s="5"/>
      <c r="AP400" s="5"/>
      <c r="AQ400" s="5"/>
      <c r="AR400" s="5"/>
      <c r="AS400" s="5"/>
      <c r="AT400" s="20"/>
      <c r="AU400" s="1182"/>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81"/>
      <c r="E401" s="389">
        <f t="shared" si="239"/>
        <v>0</v>
      </c>
      <c r="F401" s="20"/>
      <c r="G401" s="3890">
        <f t="shared" si="240"/>
        <v>0</v>
      </c>
      <c r="H401" s="1282">
        <f t="shared" si="241"/>
        <v>0</v>
      </c>
      <c r="I401" s="3891"/>
      <c r="J401" s="3891"/>
      <c r="K401" s="3891"/>
      <c r="L401" s="3891"/>
      <c r="M401" s="3891"/>
      <c r="N401" s="3891"/>
      <c r="O401" s="3891"/>
      <c r="P401" s="3891"/>
      <c r="Q401" s="3891"/>
      <c r="R401" s="3891"/>
      <c r="S401" s="3891"/>
      <c r="T401" s="3891"/>
      <c r="U401" s="3891"/>
      <c r="V401" s="3891"/>
      <c r="W401" s="3891"/>
      <c r="X401" s="3891"/>
      <c r="Y401" s="3891"/>
      <c r="Z401" s="3891"/>
      <c r="AA401" s="3891"/>
      <c r="AB401" s="3891"/>
      <c r="AC401" s="389">
        <f t="shared" si="242"/>
        <v>0</v>
      </c>
      <c r="AD401" s="5"/>
      <c r="AE401" s="5"/>
      <c r="AF401" s="5"/>
      <c r="AG401" s="5"/>
      <c r="AH401" s="5"/>
      <c r="AI401" s="5"/>
      <c r="AJ401" s="5"/>
      <c r="AK401" s="5"/>
      <c r="AL401" s="5"/>
      <c r="AM401" s="5"/>
      <c r="AN401" s="5"/>
      <c r="AO401" s="5"/>
      <c r="AP401" s="5"/>
      <c r="AQ401" s="5"/>
      <c r="AR401" s="5"/>
      <c r="AS401" s="5"/>
      <c r="AT401" s="20"/>
      <c r="AU401" s="1182"/>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81"/>
      <c r="E402" s="389">
        <f t="shared" si="239"/>
        <v>0</v>
      </c>
      <c r="F402" s="20"/>
      <c r="G402" s="3890">
        <f t="shared" si="240"/>
        <v>0</v>
      </c>
      <c r="H402" s="1282">
        <f t="shared" si="241"/>
        <v>0</v>
      </c>
      <c r="I402" s="3891"/>
      <c r="J402" s="3891"/>
      <c r="K402" s="3891"/>
      <c r="L402" s="3891"/>
      <c r="M402" s="3891"/>
      <c r="N402" s="3891"/>
      <c r="O402" s="3891"/>
      <c r="P402" s="3891"/>
      <c r="Q402" s="3891"/>
      <c r="R402" s="3891"/>
      <c r="S402" s="3891"/>
      <c r="T402" s="3891"/>
      <c r="U402" s="3891"/>
      <c r="V402" s="3891"/>
      <c r="W402" s="3891"/>
      <c r="X402" s="3891"/>
      <c r="Y402" s="3891"/>
      <c r="Z402" s="3891"/>
      <c r="AA402" s="3891"/>
      <c r="AB402" s="3891"/>
      <c r="AC402" s="389">
        <f t="shared" si="242"/>
        <v>0</v>
      </c>
      <c r="AD402" s="5"/>
      <c r="AE402" s="5"/>
      <c r="AF402" s="5"/>
      <c r="AG402" s="5"/>
      <c r="AH402" s="5"/>
      <c r="AI402" s="5"/>
      <c r="AJ402" s="5"/>
      <c r="AK402" s="5"/>
      <c r="AL402" s="5"/>
      <c r="AM402" s="5"/>
      <c r="AN402" s="5"/>
      <c r="AO402" s="5"/>
      <c r="AP402" s="5"/>
      <c r="AQ402" s="5"/>
      <c r="AR402" s="5"/>
      <c r="AS402" s="5"/>
      <c r="AT402" s="20"/>
      <c r="AU402" s="1182"/>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81"/>
      <c r="E403" s="389">
        <f t="shared" si="239"/>
        <v>0</v>
      </c>
      <c r="F403" s="20"/>
      <c r="G403" s="3890">
        <f t="shared" si="240"/>
        <v>0</v>
      </c>
      <c r="H403" s="1282">
        <f t="shared" si="241"/>
        <v>0</v>
      </c>
      <c r="I403" s="3891"/>
      <c r="J403" s="3891"/>
      <c r="K403" s="3891"/>
      <c r="L403" s="3891"/>
      <c r="M403" s="3891"/>
      <c r="N403" s="3891"/>
      <c r="O403" s="3891"/>
      <c r="P403" s="3891"/>
      <c r="Q403" s="3891"/>
      <c r="R403" s="3891"/>
      <c r="S403" s="3891"/>
      <c r="T403" s="3891"/>
      <c r="U403" s="3891"/>
      <c r="V403" s="3891"/>
      <c r="W403" s="3891"/>
      <c r="X403" s="3891"/>
      <c r="Y403" s="3891"/>
      <c r="Z403" s="3891"/>
      <c r="AA403" s="3891"/>
      <c r="AB403" s="3891"/>
      <c r="AC403" s="389">
        <f t="shared" si="242"/>
        <v>0</v>
      </c>
      <c r="AD403" s="5"/>
      <c r="AE403" s="5"/>
      <c r="AF403" s="5"/>
      <c r="AG403" s="5"/>
      <c r="AH403" s="5"/>
      <c r="AI403" s="5"/>
      <c r="AJ403" s="5"/>
      <c r="AK403" s="5"/>
      <c r="AL403" s="5"/>
      <c r="AM403" s="5"/>
      <c r="AN403" s="5"/>
      <c r="AO403" s="5"/>
      <c r="AP403" s="5"/>
      <c r="AQ403" s="5"/>
      <c r="AR403" s="5"/>
      <c r="AS403" s="5"/>
      <c r="AT403" s="20"/>
      <c r="AU403" s="1182"/>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81"/>
      <c r="E404" s="389">
        <f t="shared" si="239"/>
        <v>0</v>
      </c>
      <c r="F404" s="20"/>
      <c r="G404" s="3890">
        <f t="shared" si="240"/>
        <v>0</v>
      </c>
      <c r="H404" s="1282">
        <f t="shared" si="241"/>
        <v>0</v>
      </c>
      <c r="I404" s="3891"/>
      <c r="J404" s="3891"/>
      <c r="K404" s="3891"/>
      <c r="L404" s="3891"/>
      <c r="M404" s="3891"/>
      <c r="N404" s="3891"/>
      <c r="O404" s="3891"/>
      <c r="P404" s="3891"/>
      <c r="Q404" s="3891"/>
      <c r="R404" s="3891"/>
      <c r="S404" s="3891"/>
      <c r="T404" s="3891"/>
      <c r="U404" s="3891"/>
      <c r="V404" s="3891"/>
      <c r="W404" s="3891"/>
      <c r="X404" s="3891"/>
      <c r="Y404" s="3891"/>
      <c r="Z404" s="3891"/>
      <c r="AA404" s="3891"/>
      <c r="AB404" s="3891"/>
      <c r="AC404" s="389">
        <f t="shared" si="242"/>
        <v>0</v>
      </c>
      <c r="AD404" s="5"/>
      <c r="AE404" s="5"/>
      <c r="AF404" s="5"/>
      <c r="AG404" s="5"/>
      <c r="AH404" s="5"/>
      <c r="AI404" s="5"/>
      <c r="AJ404" s="5"/>
      <c r="AK404" s="5"/>
      <c r="AL404" s="5"/>
      <c r="AM404" s="5"/>
      <c r="AN404" s="5"/>
      <c r="AO404" s="5"/>
      <c r="AP404" s="5"/>
      <c r="AQ404" s="5"/>
      <c r="AR404" s="5"/>
      <c r="AS404" s="5"/>
      <c r="AT404" s="20"/>
      <c r="AU404" s="1182"/>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81"/>
      <c r="E405" s="389">
        <f t="shared" si="239"/>
        <v>0</v>
      </c>
      <c r="F405" s="20"/>
      <c r="G405" s="3890">
        <f t="shared" si="240"/>
        <v>0</v>
      </c>
      <c r="H405" s="1282">
        <f t="shared" si="241"/>
        <v>0</v>
      </c>
      <c r="I405" s="3891"/>
      <c r="J405" s="3891"/>
      <c r="K405" s="3891"/>
      <c r="L405" s="3891"/>
      <c r="M405" s="3891"/>
      <c r="N405" s="3891"/>
      <c r="O405" s="3891"/>
      <c r="P405" s="3891"/>
      <c r="Q405" s="3891"/>
      <c r="R405" s="3891"/>
      <c r="S405" s="3891"/>
      <c r="T405" s="3891"/>
      <c r="U405" s="3891"/>
      <c r="V405" s="3891"/>
      <c r="W405" s="3891"/>
      <c r="X405" s="3891"/>
      <c r="Y405" s="3891"/>
      <c r="Z405" s="3891"/>
      <c r="AA405" s="3891"/>
      <c r="AB405" s="3891"/>
      <c r="AC405" s="389">
        <f t="shared" si="242"/>
        <v>0</v>
      </c>
      <c r="AD405" s="5"/>
      <c r="AE405" s="5"/>
      <c r="AF405" s="5"/>
      <c r="AG405" s="5"/>
      <c r="AH405" s="5"/>
      <c r="AI405" s="5"/>
      <c r="AJ405" s="5"/>
      <c r="AK405" s="5"/>
      <c r="AL405" s="5"/>
      <c r="AM405" s="5"/>
      <c r="AN405" s="5"/>
      <c r="AO405" s="5"/>
      <c r="AP405" s="5"/>
      <c r="AQ405" s="5"/>
      <c r="AR405" s="5"/>
      <c r="AS405" s="5"/>
      <c r="AT405" s="20"/>
      <c r="AU405" s="1182"/>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81"/>
      <c r="E406" s="389">
        <f t="shared" si="239"/>
        <v>0</v>
      </c>
      <c r="F406" s="20"/>
      <c r="G406" s="3890">
        <f t="shared" si="240"/>
        <v>0</v>
      </c>
      <c r="H406" s="1282">
        <f t="shared" si="241"/>
        <v>0</v>
      </c>
      <c r="I406" s="3891"/>
      <c r="J406" s="3891"/>
      <c r="K406" s="3891"/>
      <c r="L406" s="3891"/>
      <c r="M406" s="3891"/>
      <c r="N406" s="3891"/>
      <c r="O406" s="3891"/>
      <c r="P406" s="3891"/>
      <c r="Q406" s="3891"/>
      <c r="R406" s="3891"/>
      <c r="S406" s="3891"/>
      <c r="T406" s="3891"/>
      <c r="U406" s="3891"/>
      <c r="V406" s="3891"/>
      <c r="W406" s="3891"/>
      <c r="X406" s="3891"/>
      <c r="Y406" s="3891"/>
      <c r="Z406" s="3891"/>
      <c r="AA406" s="3891"/>
      <c r="AB406" s="3891"/>
      <c r="AC406" s="389">
        <f t="shared" si="242"/>
        <v>0</v>
      </c>
      <c r="AD406" s="5"/>
      <c r="AE406" s="5"/>
      <c r="AF406" s="5"/>
      <c r="AG406" s="5"/>
      <c r="AH406" s="5"/>
      <c r="AI406" s="5"/>
      <c r="AJ406" s="5"/>
      <c r="AK406" s="5"/>
      <c r="AL406" s="5"/>
      <c r="AM406" s="5"/>
      <c r="AN406" s="5"/>
      <c r="AO406" s="5"/>
      <c r="AP406" s="5"/>
      <c r="AQ406" s="5"/>
      <c r="AR406" s="5"/>
      <c r="AS406" s="5"/>
      <c r="AT406" s="20"/>
      <c r="AU406" s="1182"/>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81"/>
      <c r="E407" s="389">
        <f t="shared" si="239"/>
        <v>0</v>
      </c>
      <c r="F407" s="20"/>
      <c r="G407" s="3890">
        <f t="shared" si="240"/>
        <v>0</v>
      </c>
      <c r="H407" s="1282">
        <f t="shared" si="241"/>
        <v>0</v>
      </c>
      <c r="I407" s="3891"/>
      <c r="J407" s="3891"/>
      <c r="K407" s="3891"/>
      <c r="L407" s="3891"/>
      <c r="M407" s="3891"/>
      <c r="N407" s="3891"/>
      <c r="O407" s="3891"/>
      <c r="P407" s="3891"/>
      <c r="Q407" s="3891"/>
      <c r="R407" s="3891"/>
      <c r="S407" s="3891"/>
      <c r="T407" s="3891"/>
      <c r="U407" s="3891"/>
      <c r="V407" s="3891"/>
      <c r="W407" s="3891"/>
      <c r="X407" s="3891"/>
      <c r="Y407" s="3891"/>
      <c r="Z407" s="3891"/>
      <c r="AA407" s="3891"/>
      <c r="AB407" s="3891"/>
      <c r="AC407" s="389">
        <f t="shared" si="242"/>
        <v>0</v>
      </c>
      <c r="AD407" s="5"/>
      <c r="AE407" s="5"/>
      <c r="AF407" s="5"/>
      <c r="AG407" s="5"/>
      <c r="AH407" s="5"/>
      <c r="AI407" s="5"/>
      <c r="AJ407" s="5"/>
      <c r="AK407" s="5"/>
      <c r="AL407" s="5"/>
      <c r="AM407" s="5"/>
      <c r="AN407" s="5"/>
      <c r="AO407" s="5"/>
      <c r="AP407" s="5"/>
      <c r="AQ407" s="5"/>
      <c r="AR407" s="5"/>
      <c r="AS407" s="5"/>
      <c r="AT407" s="20"/>
      <c r="AU407" s="1182"/>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81"/>
      <c r="E408" s="389">
        <f t="shared" si="239"/>
        <v>0</v>
      </c>
      <c r="F408" s="20"/>
      <c r="G408" s="3890">
        <f t="shared" si="240"/>
        <v>0</v>
      </c>
      <c r="H408" s="1282">
        <f t="shared" si="241"/>
        <v>0</v>
      </c>
      <c r="I408" s="3891"/>
      <c r="J408" s="3891"/>
      <c r="K408" s="3891"/>
      <c r="L408" s="3891"/>
      <c r="M408" s="3891"/>
      <c r="N408" s="3891"/>
      <c r="O408" s="3891"/>
      <c r="P408" s="3891"/>
      <c r="Q408" s="3891"/>
      <c r="R408" s="3891"/>
      <c r="S408" s="3891"/>
      <c r="T408" s="3891"/>
      <c r="U408" s="3891"/>
      <c r="V408" s="3891"/>
      <c r="W408" s="3891"/>
      <c r="X408" s="3891"/>
      <c r="Y408" s="3891"/>
      <c r="Z408" s="3891"/>
      <c r="AA408" s="3891"/>
      <c r="AB408" s="3891"/>
      <c r="AC408" s="389">
        <f t="shared" si="242"/>
        <v>0</v>
      </c>
      <c r="AD408" s="5"/>
      <c r="AE408" s="5"/>
      <c r="AF408" s="5"/>
      <c r="AG408" s="5"/>
      <c r="AH408" s="5"/>
      <c r="AI408" s="5"/>
      <c r="AJ408" s="5"/>
      <c r="AK408" s="5"/>
      <c r="AL408" s="5"/>
      <c r="AM408" s="5"/>
      <c r="AN408" s="5"/>
      <c r="AO408" s="5"/>
      <c r="AP408" s="5"/>
      <c r="AQ408" s="5"/>
      <c r="AR408" s="5"/>
      <c r="AS408" s="5"/>
      <c r="AT408" s="20"/>
      <c r="AU408" s="1182"/>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81"/>
      <c r="E409" s="389">
        <f t="shared" si="239"/>
        <v>0</v>
      </c>
      <c r="F409" s="20"/>
      <c r="G409" s="3890">
        <f t="shared" si="240"/>
        <v>0</v>
      </c>
      <c r="H409" s="1282">
        <f t="shared" si="241"/>
        <v>0</v>
      </c>
      <c r="I409" s="3891"/>
      <c r="J409" s="3891"/>
      <c r="K409" s="3891"/>
      <c r="L409" s="3891"/>
      <c r="M409" s="3891"/>
      <c r="N409" s="3891"/>
      <c r="O409" s="3891"/>
      <c r="P409" s="3891"/>
      <c r="Q409" s="3891"/>
      <c r="R409" s="3891"/>
      <c r="S409" s="3891"/>
      <c r="T409" s="3891"/>
      <c r="U409" s="3891"/>
      <c r="V409" s="3891"/>
      <c r="W409" s="3891"/>
      <c r="X409" s="3891"/>
      <c r="Y409" s="3891"/>
      <c r="Z409" s="3891"/>
      <c r="AA409" s="3891"/>
      <c r="AB409" s="3891"/>
      <c r="AC409" s="389">
        <f t="shared" si="242"/>
        <v>0</v>
      </c>
      <c r="AD409" s="5"/>
      <c r="AE409" s="5"/>
      <c r="AF409" s="5"/>
      <c r="AG409" s="5"/>
      <c r="AH409" s="5"/>
      <c r="AI409" s="5"/>
      <c r="AJ409" s="5"/>
      <c r="AK409" s="5"/>
      <c r="AL409" s="5"/>
      <c r="AM409" s="5"/>
      <c r="AN409" s="5"/>
      <c r="AO409" s="5"/>
      <c r="AP409" s="5"/>
      <c r="AQ409" s="5"/>
      <c r="AR409" s="5"/>
      <c r="AS409" s="5"/>
      <c r="AT409" s="20"/>
      <c r="AU409" s="1182"/>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81"/>
      <c r="E410" s="389">
        <f t="shared" si="239"/>
        <v>0</v>
      </c>
      <c r="F410" s="20"/>
      <c r="G410" s="3890">
        <f t="shared" si="240"/>
        <v>0</v>
      </c>
      <c r="H410" s="1282">
        <f t="shared" si="241"/>
        <v>0</v>
      </c>
      <c r="I410" s="3891"/>
      <c r="J410" s="3891"/>
      <c r="K410" s="3891"/>
      <c r="L410" s="3891"/>
      <c r="M410" s="3891"/>
      <c r="N410" s="3891"/>
      <c r="O410" s="3891"/>
      <c r="P410" s="3891"/>
      <c r="Q410" s="3891"/>
      <c r="R410" s="3891"/>
      <c r="S410" s="3891"/>
      <c r="T410" s="3891"/>
      <c r="U410" s="3891"/>
      <c r="V410" s="3891"/>
      <c r="W410" s="3891"/>
      <c r="X410" s="3891"/>
      <c r="Y410" s="3891"/>
      <c r="Z410" s="3891"/>
      <c r="AA410" s="3891"/>
      <c r="AB410" s="3891"/>
      <c r="AC410" s="389">
        <f t="shared" si="242"/>
        <v>0</v>
      </c>
      <c r="AD410" s="5"/>
      <c r="AE410" s="5"/>
      <c r="AF410" s="5"/>
      <c r="AG410" s="5"/>
      <c r="AH410" s="5"/>
      <c r="AI410" s="5"/>
      <c r="AJ410" s="5"/>
      <c r="AK410" s="5"/>
      <c r="AL410" s="5"/>
      <c r="AM410" s="5"/>
      <c r="AN410" s="5"/>
      <c r="AO410" s="5"/>
      <c r="AP410" s="5"/>
      <c r="AQ410" s="5"/>
      <c r="AR410" s="5"/>
      <c r="AS410" s="5"/>
      <c r="AT410" s="20"/>
      <c r="AU410" s="1182"/>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81"/>
      <c r="E411" s="389">
        <f t="shared" si="239"/>
        <v>0</v>
      </c>
      <c r="F411" s="20"/>
      <c r="G411" s="3890">
        <f t="shared" si="240"/>
        <v>0</v>
      </c>
      <c r="H411" s="1282">
        <f t="shared" si="241"/>
        <v>0</v>
      </c>
      <c r="I411" s="3891"/>
      <c r="J411" s="3891"/>
      <c r="K411" s="3891"/>
      <c r="L411" s="3891"/>
      <c r="M411" s="3891"/>
      <c r="N411" s="3891"/>
      <c r="O411" s="3891"/>
      <c r="P411" s="3891"/>
      <c r="Q411" s="3891"/>
      <c r="R411" s="3891"/>
      <c r="S411" s="3891"/>
      <c r="T411" s="3891"/>
      <c r="U411" s="3891"/>
      <c r="V411" s="3891"/>
      <c r="W411" s="3891"/>
      <c r="X411" s="3891"/>
      <c r="Y411" s="3891"/>
      <c r="Z411" s="3891"/>
      <c r="AA411" s="3891"/>
      <c r="AB411" s="3891"/>
      <c r="AC411" s="389">
        <f t="shared" si="242"/>
        <v>0</v>
      </c>
      <c r="AD411" s="5"/>
      <c r="AE411" s="5"/>
      <c r="AF411" s="5"/>
      <c r="AG411" s="5"/>
      <c r="AH411" s="5"/>
      <c r="AI411" s="5"/>
      <c r="AJ411" s="5"/>
      <c r="AK411" s="5"/>
      <c r="AL411" s="5"/>
      <c r="AM411" s="5"/>
      <c r="AN411" s="5"/>
      <c r="AO411" s="5"/>
      <c r="AP411" s="5"/>
      <c r="AQ411" s="5"/>
      <c r="AR411" s="5"/>
      <c r="AS411" s="5"/>
      <c r="AT411" s="20"/>
      <c r="AU411" s="1182"/>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81"/>
      <c r="E412" s="389">
        <f t="shared" si="239"/>
        <v>0</v>
      </c>
      <c r="F412" s="20"/>
      <c r="G412" s="3890">
        <f t="shared" si="240"/>
        <v>0</v>
      </c>
      <c r="H412" s="1282">
        <f t="shared" si="241"/>
        <v>0</v>
      </c>
      <c r="I412" s="3891"/>
      <c r="J412" s="3891"/>
      <c r="K412" s="3891"/>
      <c r="L412" s="3891"/>
      <c r="M412" s="3891"/>
      <c r="N412" s="3891"/>
      <c r="O412" s="3891"/>
      <c r="P412" s="3891"/>
      <c r="Q412" s="3891"/>
      <c r="R412" s="3891"/>
      <c r="S412" s="3891"/>
      <c r="T412" s="3891"/>
      <c r="U412" s="3891"/>
      <c r="V412" s="3891"/>
      <c r="W412" s="3891"/>
      <c r="X412" s="3891"/>
      <c r="Y412" s="3891"/>
      <c r="Z412" s="3891"/>
      <c r="AA412" s="3891"/>
      <c r="AB412" s="3891"/>
      <c r="AC412" s="389">
        <f t="shared" si="242"/>
        <v>0</v>
      </c>
      <c r="AD412" s="5"/>
      <c r="AE412" s="5"/>
      <c r="AF412" s="5"/>
      <c r="AG412" s="5"/>
      <c r="AH412" s="5"/>
      <c r="AI412" s="5"/>
      <c r="AJ412" s="5"/>
      <c r="AK412" s="5"/>
      <c r="AL412" s="5"/>
      <c r="AM412" s="5"/>
      <c r="AN412" s="5"/>
      <c r="AO412" s="5"/>
      <c r="AP412" s="5"/>
      <c r="AQ412" s="5"/>
      <c r="AR412" s="5"/>
      <c r="AS412" s="5"/>
      <c r="AT412" s="20"/>
      <c r="AU412" s="1182"/>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81"/>
      <c r="E413" s="389">
        <f t="shared" si="239"/>
        <v>0</v>
      </c>
      <c r="F413" s="20"/>
      <c r="G413" s="3890">
        <f t="shared" si="240"/>
        <v>0</v>
      </c>
      <c r="H413" s="1282">
        <f t="shared" si="241"/>
        <v>0</v>
      </c>
      <c r="I413" s="3891"/>
      <c r="J413" s="3891"/>
      <c r="K413" s="3891"/>
      <c r="L413" s="3891"/>
      <c r="M413" s="3891"/>
      <c r="N413" s="3891"/>
      <c r="O413" s="3891"/>
      <c r="P413" s="3891"/>
      <c r="Q413" s="3891"/>
      <c r="R413" s="3891"/>
      <c r="S413" s="3891"/>
      <c r="T413" s="3891"/>
      <c r="U413" s="3891"/>
      <c r="V413" s="3891"/>
      <c r="W413" s="3891"/>
      <c r="X413" s="3891"/>
      <c r="Y413" s="3891"/>
      <c r="Z413" s="3891"/>
      <c r="AA413" s="3891"/>
      <c r="AB413" s="3891"/>
      <c r="AC413" s="389">
        <f t="shared" si="242"/>
        <v>0</v>
      </c>
      <c r="AD413" s="5"/>
      <c r="AE413" s="5"/>
      <c r="AF413" s="5"/>
      <c r="AG413" s="5"/>
      <c r="AH413" s="5"/>
      <c r="AI413" s="5"/>
      <c r="AJ413" s="5"/>
      <c r="AK413" s="5"/>
      <c r="AL413" s="5"/>
      <c r="AM413" s="5"/>
      <c r="AN413" s="5"/>
      <c r="AO413" s="5"/>
      <c r="AP413" s="5"/>
      <c r="AQ413" s="5"/>
      <c r="AR413" s="5"/>
      <c r="AS413" s="5"/>
      <c r="AT413" s="20"/>
      <c r="AU413" s="1182"/>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81"/>
      <c r="E414" s="389">
        <f t="shared" si="239"/>
        <v>0</v>
      </c>
      <c r="F414" s="20"/>
      <c r="G414" s="3890">
        <f t="shared" si="240"/>
        <v>0</v>
      </c>
      <c r="H414" s="1282">
        <f t="shared" si="241"/>
        <v>0</v>
      </c>
      <c r="I414" s="3891"/>
      <c r="J414" s="3891"/>
      <c r="K414" s="3891"/>
      <c r="L414" s="3891"/>
      <c r="M414" s="3891"/>
      <c r="N414" s="3891"/>
      <c r="O414" s="3891"/>
      <c r="P414" s="3891"/>
      <c r="Q414" s="3891"/>
      <c r="R414" s="3891"/>
      <c r="S414" s="3891"/>
      <c r="T414" s="3891"/>
      <c r="U414" s="3891"/>
      <c r="V414" s="3891"/>
      <c r="W414" s="3891"/>
      <c r="X414" s="3891"/>
      <c r="Y414" s="3891"/>
      <c r="Z414" s="3891"/>
      <c r="AA414" s="3891"/>
      <c r="AB414" s="3891"/>
      <c r="AC414" s="389">
        <f t="shared" si="242"/>
        <v>0</v>
      </c>
      <c r="AD414" s="5"/>
      <c r="AE414" s="5"/>
      <c r="AF414" s="5"/>
      <c r="AG414" s="5"/>
      <c r="AH414" s="5"/>
      <c r="AI414" s="5"/>
      <c r="AJ414" s="5"/>
      <c r="AK414" s="5"/>
      <c r="AL414" s="5"/>
      <c r="AM414" s="5"/>
      <c r="AN414" s="5"/>
      <c r="AO414" s="5"/>
      <c r="AP414" s="5"/>
      <c r="AQ414" s="5"/>
      <c r="AR414" s="5"/>
      <c r="AS414" s="5"/>
      <c r="AT414" s="20"/>
      <c r="AU414" s="1182"/>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81"/>
      <c r="E415" s="389">
        <f t="shared" si="239"/>
        <v>0</v>
      </c>
      <c r="F415" s="20"/>
      <c r="G415" s="3890">
        <f t="shared" si="240"/>
        <v>0</v>
      </c>
      <c r="H415" s="1282">
        <f t="shared" si="241"/>
        <v>0</v>
      </c>
      <c r="I415" s="3891"/>
      <c r="J415" s="3891"/>
      <c r="K415" s="3891"/>
      <c r="L415" s="3891"/>
      <c r="M415" s="3891"/>
      <c r="N415" s="3891"/>
      <c r="O415" s="3891"/>
      <c r="P415" s="3891"/>
      <c r="Q415" s="3891"/>
      <c r="R415" s="3891"/>
      <c r="S415" s="3891"/>
      <c r="T415" s="3891"/>
      <c r="U415" s="3891"/>
      <c r="V415" s="3891"/>
      <c r="W415" s="3891"/>
      <c r="X415" s="3891"/>
      <c r="Y415" s="3891"/>
      <c r="Z415" s="3891"/>
      <c r="AA415" s="3891"/>
      <c r="AB415" s="3891"/>
      <c r="AC415" s="389">
        <f t="shared" si="242"/>
        <v>0</v>
      </c>
      <c r="AD415" s="5"/>
      <c r="AE415" s="5"/>
      <c r="AF415" s="5"/>
      <c r="AG415" s="5"/>
      <c r="AH415" s="5"/>
      <c r="AI415" s="5"/>
      <c r="AJ415" s="5"/>
      <c r="AK415" s="5"/>
      <c r="AL415" s="5"/>
      <c r="AM415" s="5"/>
      <c r="AN415" s="5"/>
      <c r="AO415" s="5"/>
      <c r="AP415" s="5"/>
      <c r="AQ415" s="5"/>
      <c r="AR415" s="5"/>
      <c r="AS415" s="5"/>
      <c r="AT415" s="20"/>
      <c r="AU415" s="1182"/>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81"/>
      <c r="E416" s="389">
        <f t="shared" si="239"/>
        <v>0</v>
      </c>
      <c r="F416" s="20"/>
      <c r="G416" s="3890">
        <f t="shared" si="240"/>
        <v>0</v>
      </c>
      <c r="H416" s="1282">
        <f t="shared" si="241"/>
        <v>0</v>
      </c>
      <c r="I416" s="3891"/>
      <c r="J416" s="3891"/>
      <c r="K416" s="3891"/>
      <c r="L416" s="3891"/>
      <c r="M416" s="3891"/>
      <c r="N416" s="3891"/>
      <c r="O416" s="3891"/>
      <c r="P416" s="3891"/>
      <c r="Q416" s="3891"/>
      <c r="R416" s="3891"/>
      <c r="S416" s="3891"/>
      <c r="T416" s="3891"/>
      <c r="U416" s="3891"/>
      <c r="V416" s="3891"/>
      <c r="W416" s="3891"/>
      <c r="X416" s="3891"/>
      <c r="Y416" s="3891"/>
      <c r="Z416" s="3891"/>
      <c r="AA416" s="3891"/>
      <c r="AB416" s="3891"/>
      <c r="AC416" s="389">
        <f t="shared" si="242"/>
        <v>0</v>
      </c>
      <c r="AD416" s="5"/>
      <c r="AE416" s="5"/>
      <c r="AF416" s="5"/>
      <c r="AG416" s="5"/>
      <c r="AH416" s="5"/>
      <c r="AI416" s="5"/>
      <c r="AJ416" s="5"/>
      <c r="AK416" s="5"/>
      <c r="AL416" s="5"/>
      <c r="AM416" s="5"/>
      <c r="AN416" s="5"/>
      <c r="AO416" s="5"/>
      <c r="AP416" s="5"/>
      <c r="AQ416" s="5"/>
      <c r="AR416" s="5"/>
      <c r="AS416" s="5"/>
      <c r="AT416" s="20"/>
      <c r="AU416" s="1182"/>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81"/>
      <c r="E417" s="389">
        <f t="shared" si="239"/>
        <v>0</v>
      </c>
      <c r="F417" s="20"/>
      <c r="G417" s="3890">
        <f t="shared" si="240"/>
        <v>0</v>
      </c>
      <c r="H417" s="1282">
        <f t="shared" si="241"/>
        <v>0</v>
      </c>
      <c r="I417" s="3891"/>
      <c r="J417" s="3891"/>
      <c r="K417" s="3891"/>
      <c r="L417" s="3891"/>
      <c r="M417" s="3891"/>
      <c r="N417" s="3891"/>
      <c r="O417" s="3891"/>
      <c r="P417" s="3891"/>
      <c r="Q417" s="3891"/>
      <c r="R417" s="3891"/>
      <c r="S417" s="3891"/>
      <c r="T417" s="3891"/>
      <c r="U417" s="3891"/>
      <c r="V417" s="3891"/>
      <c r="W417" s="3891"/>
      <c r="X417" s="3891"/>
      <c r="Y417" s="3891"/>
      <c r="Z417" s="3891"/>
      <c r="AA417" s="3891"/>
      <c r="AB417" s="3891"/>
      <c r="AC417" s="389">
        <f t="shared" si="242"/>
        <v>0</v>
      </c>
      <c r="AD417" s="5"/>
      <c r="AE417" s="5"/>
      <c r="AF417" s="5"/>
      <c r="AG417" s="5"/>
      <c r="AH417" s="5"/>
      <c r="AI417" s="5"/>
      <c r="AJ417" s="5"/>
      <c r="AK417" s="5"/>
      <c r="AL417" s="5"/>
      <c r="AM417" s="5"/>
      <c r="AN417" s="5"/>
      <c r="AO417" s="5"/>
      <c r="AP417" s="5"/>
      <c r="AQ417" s="5"/>
      <c r="AR417" s="5"/>
      <c r="AS417" s="5"/>
      <c r="AT417" s="20"/>
      <c r="AU417" s="1182"/>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81"/>
      <c r="E418" s="389">
        <f t="shared" si="239"/>
        <v>0</v>
      </c>
      <c r="F418" s="20"/>
      <c r="G418" s="3890">
        <f t="shared" si="240"/>
        <v>0</v>
      </c>
      <c r="H418" s="1282">
        <f t="shared" si="241"/>
        <v>0</v>
      </c>
      <c r="I418" s="3891"/>
      <c r="J418" s="3891"/>
      <c r="K418" s="3891"/>
      <c r="L418" s="3891"/>
      <c r="M418" s="3891"/>
      <c r="N418" s="3891"/>
      <c r="O418" s="3891"/>
      <c r="P418" s="3891"/>
      <c r="Q418" s="3891"/>
      <c r="R418" s="3891"/>
      <c r="S418" s="3891"/>
      <c r="T418" s="3891"/>
      <c r="U418" s="3891"/>
      <c r="V418" s="3891"/>
      <c r="W418" s="3891"/>
      <c r="X418" s="3891"/>
      <c r="Y418" s="3891"/>
      <c r="Z418" s="3891"/>
      <c r="AA418" s="3891"/>
      <c r="AB418" s="3891"/>
      <c r="AC418" s="389">
        <f t="shared" si="242"/>
        <v>0</v>
      </c>
      <c r="AD418" s="5"/>
      <c r="AE418" s="5"/>
      <c r="AF418" s="5"/>
      <c r="AG418" s="5"/>
      <c r="AH418" s="5"/>
      <c r="AI418" s="5"/>
      <c r="AJ418" s="5"/>
      <c r="AK418" s="5"/>
      <c r="AL418" s="5"/>
      <c r="AM418" s="5"/>
      <c r="AN418" s="5"/>
      <c r="AO418" s="5"/>
      <c r="AP418" s="5"/>
      <c r="AQ418" s="5"/>
      <c r="AR418" s="5"/>
      <c r="AS418" s="5"/>
      <c r="AT418" s="20"/>
      <c r="AU418" s="1182"/>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81"/>
      <c r="E419" s="389">
        <f t="shared" si="239"/>
        <v>0</v>
      </c>
      <c r="F419" s="20"/>
      <c r="G419" s="3890">
        <f t="shared" si="240"/>
        <v>0</v>
      </c>
      <c r="H419" s="1282">
        <f t="shared" si="241"/>
        <v>0</v>
      </c>
      <c r="I419" s="3891"/>
      <c r="J419" s="3891"/>
      <c r="K419" s="3891"/>
      <c r="L419" s="3891"/>
      <c r="M419" s="3891"/>
      <c r="N419" s="3891"/>
      <c r="O419" s="3891"/>
      <c r="P419" s="3891"/>
      <c r="Q419" s="3891"/>
      <c r="R419" s="3891"/>
      <c r="S419" s="3891"/>
      <c r="T419" s="3891"/>
      <c r="U419" s="3891"/>
      <c r="V419" s="3891"/>
      <c r="W419" s="3891"/>
      <c r="X419" s="3891"/>
      <c r="Y419" s="3891"/>
      <c r="Z419" s="3891"/>
      <c r="AA419" s="3891"/>
      <c r="AB419" s="3891"/>
      <c r="AC419" s="389">
        <f t="shared" si="242"/>
        <v>0</v>
      </c>
      <c r="AD419" s="5"/>
      <c r="AE419" s="5"/>
      <c r="AF419" s="5"/>
      <c r="AG419" s="5"/>
      <c r="AH419" s="5"/>
      <c r="AI419" s="5"/>
      <c r="AJ419" s="5"/>
      <c r="AK419" s="5"/>
      <c r="AL419" s="5"/>
      <c r="AM419" s="5"/>
      <c r="AN419" s="5"/>
      <c r="AO419" s="5"/>
      <c r="AP419" s="5"/>
      <c r="AQ419" s="5"/>
      <c r="AR419" s="5"/>
      <c r="AS419" s="5"/>
      <c r="AT419" s="20"/>
      <c r="AU419" s="1182"/>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81"/>
      <c r="E420" s="389">
        <f t="shared" si="239"/>
        <v>0</v>
      </c>
      <c r="F420" s="20"/>
      <c r="G420" s="3890">
        <f t="shared" si="240"/>
        <v>0</v>
      </c>
      <c r="H420" s="1282">
        <f t="shared" si="241"/>
        <v>0</v>
      </c>
      <c r="I420" s="3891"/>
      <c r="J420" s="3891"/>
      <c r="K420" s="3891"/>
      <c r="L420" s="3891"/>
      <c r="M420" s="3891"/>
      <c r="N420" s="3891"/>
      <c r="O420" s="3891"/>
      <c r="P420" s="3891"/>
      <c r="Q420" s="3891"/>
      <c r="R420" s="3891"/>
      <c r="S420" s="3891"/>
      <c r="T420" s="3891"/>
      <c r="U420" s="3891"/>
      <c r="V420" s="3891"/>
      <c r="W420" s="3891"/>
      <c r="X420" s="3891"/>
      <c r="Y420" s="3891"/>
      <c r="Z420" s="3891"/>
      <c r="AA420" s="3891"/>
      <c r="AB420" s="3891"/>
      <c r="AC420" s="389">
        <f t="shared" si="242"/>
        <v>0</v>
      </c>
      <c r="AD420" s="5"/>
      <c r="AE420" s="5"/>
      <c r="AF420" s="5"/>
      <c r="AG420" s="5"/>
      <c r="AH420" s="5"/>
      <c r="AI420" s="5"/>
      <c r="AJ420" s="5"/>
      <c r="AK420" s="5"/>
      <c r="AL420" s="5"/>
      <c r="AM420" s="5"/>
      <c r="AN420" s="5"/>
      <c r="AO420" s="5"/>
      <c r="AP420" s="5"/>
      <c r="AQ420" s="5"/>
      <c r="AR420" s="5"/>
      <c r="AS420" s="5"/>
      <c r="AT420" s="20"/>
      <c r="AU420" s="1182"/>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81"/>
      <c r="E421" s="389">
        <f t="shared" si="239"/>
        <v>0</v>
      </c>
      <c r="F421" s="20"/>
      <c r="G421" s="3890">
        <f t="shared" si="240"/>
        <v>0</v>
      </c>
      <c r="H421" s="1282">
        <f t="shared" si="241"/>
        <v>0</v>
      </c>
      <c r="I421" s="3891"/>
      <c r="J421" s="3891"/>
      <c r="K421" s="3891"/>
      <c r="L421" s="3891"/>
      <c r="M421" s="3891"/>
      <c r="N421" s="3891"/>
      <c r="O421" s="3891"/>
      <c r="P421" s="3891"/>
      <c r="Q421" s="3891"/>
      <c r="R421" s="3891"/>
      <c r="S421" s="3891"/>
      <c r="T421" s="3891"/>
      <c r="U421" s="3891"/>
      <c r="V421" s="3891"/>
      <c r="W421" s="3891"/>
      <c r="X421" s="3891"/>
      <c r="Y421" s="3891"/>
      <c r="Z421" s="3891"/>
      <c r="AA421" s="3891"/>
      <c r="AB421" s="3891"/>
      <c r="AC421" s="389">
        <f t="shared" si="242"/>
        <v>0</v>
      </c>
      <c r="AD421" s="5"/>
      <c r="AE421" s="5"/>
      <c r="AF421" s="5"/>
      <c r="AG421" s="5"/>
      <c r="AH421" s="5"/>
      <c r="AI421" s="5"/>
      <c r="AJ421" s="5"/>
      <c r="AK421" s="5"/>
      <c r="AL421" s="5"/>
      <c r="AM421" s="5"/>
      <c r="AN421" s="5"/>
      <c r="AO421" s="5"/>
      <c r="AP421" s="5"/>
      <c r="AQ421" s="5"/>
      <c r="AR421" s="5"/>
      <c r="AS421" s="5"/>
      <c r="AT421" s="20"/>
      <c r="AU421" s="1182"/>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81"/>
      <c r="E422" s="389">
        <f t="shared" si="239"/>
        <v>0</v>
      </c>
      <c r="F422" s="20"/>
      <c r="G422" s="3890">
        <f t="shared" si="240"/>
        <v>0</v>
      </c>
      <c r="H422" s="1282">
        <f t="shared" si="241"/>
        <v>0</v>
      </c>
      <c r="I422" s="3891"/>
      <c r="J422" s="3891"/>
      <c r="K422" s="3891"/>
      <c r="L422" s="3891"/>
      <c r="M422" s="3891"/>
      <c r="N422" s="3891"/>
      <c r="O422" s="3891"/>
      <c r="P422" s="3891"/>
      <c r="Q422" s="3891"/>
      <c r="R422" s="3891"/>
      <c r="S422" s="3891"/>
      <c r="T422" s="3891"/>
      <c r="U422" s="3891"/>
      <c r="V422" s="3891"/>
      <c r="W422" s="3891"/>
      <c r="X422" s="3891"/>
      <c r="Y422" s="3891"/>
      <c r="Z422" s="3891"/>
      <c r="AA422" s="3891"/>
      <c r="AB422" s="3891"/>
      <c r="AC422" s="389">
        <f t="shared" si="242"/>
        <v>0</v>
      </c>
      <c r="AD422" s="5"/>
      <c r="AE422" s="5"/>
      <c r="AF422" s="5"/>
      <c r="AG422" s="5"/>
      <c r="AH422" s="5"/>
      <c r="AI422" s="5"/>
      <c r="AJ422" s="5"/>
      <c r="AK422" s="5"/>
      <c r="AL422" s="5"/>
      <c r="AM422" s="5"/>
      <c r="AN422" s="5"/>
      <c r="AO422" s="5"/>
      <c r="AP422" s="5"/>
      <c r="AQ422" s="5"/>
      <c r="AR422" s="5"/>
      <c r="AS422" s="5"/>
      <c r="AT422" s="20"/>
      <c r="AU422" s="1182"/>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81"/>
      <c r="E423" s="389">
        <f t="shared" si="239"/>
        <v>0</v>
      </c>
      <c r="F423" s="20"/>
      <c r="G423" s="3890">
        <f t="shared" si="240"/>
        <v>0</v>
      </c>
      <c r="H423" s="1282">
        <f t="shared" si="241"/>
        <v>0</v>
      </c>
      <c r="I423" s="3891"/>
      <c r="J423" s="3891"/>
      <c r="K423" s="3891"/>
      <c r="L423" s="3891"/>
      <c r="M423" s="3891"/>
      <c r="N423" s="3891"/>
      <c r="O423" s="3891"/>
      <c r="P423" s="3891"/>
      <c r="Q423" s="3891"/>
      <c r="R423" s="3891"/>
      <c r="S423" s="3891"/>
      <c r="T423" s="3891"/>
      <c r="U423" s="3891"/>
      <c r="V423" s="3891"/>
      <c r="W423" s="3891"/>
      <c r="X423" s="3891"/>
      <c r="Y423" s="3891"/>
      <c r="Z423" s="3891"/>
      <c r="AA423" s="3891"/>
      <c r="AB423" s="3891"/>
      <c r="AC423" s="389">
        <f t="shared" si="242"/>
        <v>0</v>
      </c>
      <c r="AD423" s="5"/>
      <c r="AE423" s="5"/>
      <c r="AF423" s="5"/>
      <c r="AG423" s="5"/>
      <c r="AH423" s="5"/>
      <c r="AI423" s="5"/>
      <c r="AJ423" s="5"/>
      <c r="AK423" s="5"/>
      <c r="AL423" s="5"/>
      <c r="AM423" s="5"/>
      <c r="AN423" s="5"/>
      <c r="AO423" s="5"/>
      <c r="AP423" s="5"/>
      <c r="AQ423" s="5"/>
      <c r="AR423" s="5"/>
      <c r="AS423" s="5"/>
      <c r="AT423" s="20"/>
      <c r="AU423" s="1182"/>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81"/>
      <c r="E424" s="389">
        <f t="shared" si="239"/>
        <v>0</v>
      </c>
      <c r="F424" s="20"/>
      <c r="G424" s="3890">
        <f t="shared" si="240"/>
        <v>0</v>
      </c>
      <c r="H424" s="1282">
        <f t="shared" si="241"/>
        <v>0</v>
      </c>
      <c r="I424" s="3891"/>
      <c r="J424" s="3891"/>
      <c r="K424" s="3891"/>
      <c r="L424" s="3891"/>
      <c r="M424" s="3891"/>
      <c r="N424" s="3891"/>
      <c r="O424" s="3891"/>
      <c r="P424" s="3891"/>
      <c r="Q424" s="3891"/>
      <c r="R424" s="3891"/>
      <c r="S424" s="3891"/>
      <c r="T424" s="3891"/>
      <c r="U424" s="3891"/>
      <c r="V424" s="3891"/>
      <c r="W424" s="3891"/>
      <c r="X424" s="3891"/>
      <c r="Y424" s="3891"/>
      <c r="Z424" s="3891"/>
      <c r="AA424" s="3891"/>
      <c r="AB424" s="3891"/>
      <c r="AC424" s="389">
        <f t="shared" si="242"/>
        <v>0</v>
      </c>
      <c r="AD424" s="5"/>
      <c r="AE424" s="5"/>
      <c r="AF424" s="5"/>
      <c r="AG424" s="5"/>
      <c r="AH424" s="5"/>
      <c r="AI424" s="5"/>
      <c r="AJ424" s="5"/>
      <c r="AK424" s="5"/>
      <c r="AL424" s="5"/>
      <c r="AM424" s="5"/>
      <c r="AN424" s="5"/>
      <c r="AO424" s="5"/>
      <c r="AP424" s="5"/>
      <c r="AQ424" s="5"/>
      <c r="AR424" s="5"/>
      <c r="AS424" s="5"/>
      <c r="AT424" s="20"/>
      <c r="AU424" s="1182"/>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81"/>
      <c r="E425" s="389">
        <f t="shared" si="239"/>
        <v>0</v>
      </c>
      <c r="F425" s="20"/>
      <c r="G425" s="3890">
        <f t="shared" si="240"/>
        <v>0</v>
      </c>
      <c r="H425" s="1282">
        <f t="shared" si="241"/>
        <v>0</v>
      </c>
      <c r="I425" s="3891"/>
      <c r="J425" s="3891"/>
      <c r="K425" s="3891"/>
      <c r="L425" s="3891"/>
      <c r="M425" s="3891"/>
      <c r="N425" s="3891"/>
      <c r="O425" s="3891"/>
      <c r="P425" s="3891"/>
      <c r="Q425" s="3891"/>
      <c r="R425" s="3891"/>
      <c r="S425" s="3891"/>
      <c r="T425" s="3891"/>
      <c r="U425" s="3891"/>
      <c r="V425" s="3891"/>
      <c r="W425" s="3891"/>
      <c r="X425" s="3891"/>
      <c r="Y425" s="3891"/>
      <c r="Z425" s="3891"/>
      <c r="AA425" s="3891"/>
      <c r="AB425" s="3891"/>
      <c r="AC425" s="389">
        <f t="shared" si="242"/>
        <v>0</v>
      </c>
      <c r="AD425" s="5"/>
      <c r="AE425" s="5"/>
      <c r="AF425" s="5"/>
      <c r="AG425" s="5"/>
      <c r="AH425" s="5"/>
      <c r="AI425" s="5"/>
      <c r="AJ425" s="5"/>
      <c r="AK425" s="5"/>
      <c r="AL425" s="5"/>
      <c r="AM425" s="5"/>
      <c r="AN425" s="5"/>
      <c r="AO425" s="5"/>
      <c r="AP425" s="5"/>
      <c r="AQ425" s="5"/>
      <c r="AR425" s="5"/>
      <c r="AS425" s="5"/>
      <c r="AT425" s="20"/>
      <c r="AU425" s="1182"/>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81"/>
      <c r="E426" s="389">
        <f t="shared" si="239"/>
        <v>0</v>
      </c>
      <c r="F426" s="20"/>
      <c r="G426" s="3890">
        <f t="shared" si="240"/>
        <v>0</v>
      </c>
      <c r="H426" s="1282">
        <f t="shared" si="241"/>
        <v>0</v>
      </c>
      <c r="I426" s="3891"/>
      <c r="J426" s="3891"/>
      <c r="K426" s="3891"/>
      <c r="L426" s="3891"/>
      <c r="M426" s="3891"/>
      <c r="N426" s="3891"/>
      <c r="O426" s="3891"/>
      <c r="P426" s="3891"/>
      <c r="Q426" s="3891"/>
      <c r="R426" s="3891"/>
      <c r="S426" s="3891"/>
      <c r="T426" s="3891"/>
      <c r="U426" s="3891"/>
      <c r="V426" s="3891"/>
      <c r="W426" s="3891"/>
      <c r="X426" s="3891"/>
      <c r="Y426" s="3891"/>
      <c r="Z426" s="3891"/>
      <c r="AA426" s="3891"/>
      <c r="AB426" s="3891"/>
      <c r="AC426" s="389">
        <f t="shared" si="242"/>
        <v>0</v>
      </c>
      <c r="AD426" s="5"/>
      <c r="AE426" s="5"/>
      <c r="AF426" s="5"/>
      <c r="AG426" s="5"/>
      <c r="AH426" s="5"/>
      <c r="AI426" s="5"/>
      <c r="AJ426" s="5"/>
      <c r="AK426" s="5"/>
      <c r="AL426" s="5"/>
      <c r="AM426" s="5"/>
      <c r="AN426" s="5"/>
      <c r="AO426" s="5"/>
      <c r="AP426" s="5"/>
      <c r="AQ426" s="5"/>
      <c r="AR426" s="5"/>
      <c r="AS426" s="5"/>
      <c r="AT426" s="20"/>
      <c r="AU426" s="1182"/>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81"/>
      <c r="E427" s="389">
        <f t="shared" si="239"/>
        <v>0</v>
      </c>
      <c r="F427" s="20"/>
      <c r="G427" s="3890">
        <f t="shared" si="240"/>
        <v>0</v>
      </c>
      <c r="H427" s="1282">
        <f t="shared" si="241"/>
        <v>0</v>
      </c>
      <c r="I427" s="3891"/>
      <c r="J427" s="3891"/>
      <c r="K427" s="3891"/>
      <c r="L427" s="3891"/>
      <c r="M427" s="3891"/>
      <c r="N427" s="3891"/>
      <c r="O427" s="3891"/>
      <c r="P427" s="3891"/>
      <c r="Q427" s="3891"/>
      <c r="R427" s="3891"/>
      <c r="S427" s="3891"/>
      <c r="T427" s="3891"/>
      <c r="U427" s="3891"/>
      <c r="V427" s="3891"/>
      <c r="W427" s="3891"/>
      <c r="X427" s="3891"/>
      <c r="Y427" s="3891"/>
      <c r="Z427" s="3891"/>
      <c r="AA427" s="3891"/>
      <c r="AB427" s="3891"/>
      <c r="AC427" s="389">
        <f t="shared" si="242"/>
        <v>0</v>
      </c>
      <c r="AD427" s="5"/>
      <c r="AE427" s="5"/>
      <c r="AF427" s="5"/>
      <c r="AG427" s="5"/>
      <c r="AH427" s="5"/>
      <c r="AI427" s="5"/>
      <c r="AJ427" s="5"/>
      <c r="AK427" s="5"/>
      <c r="AL427" s="5"/>
      <c r="AM427" s="5"/>
      <c r="AN427" s="5"/>
      <c r="AO427" s="5"/>
      <c r="AP427" s="5"/>
      <c r="AQ427" s="5"/>
      <c r="AR427" s="5"/>
      <c r="AS427" s="5"/>
      <c r="AT427" s="20"/>
      <c r="AU427" s="1182"/>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81"/>
      <c r="E428" s="389">
        <f t="shared" si="239"/>
        <v>0</v>
      </c>
      <c r="F428" s="20"/>
      <c r="G428" s="3890">
        <f t="shared" si="240"/>
        <v>0</v>
      </c>
      <c r="H428" s="1282">
        <f t="shared" si="241"/>
        <v>0</v>
      </c>
      <c r="I428" s="3891"/>
      <c r="J428" s="3891"/>
      <c r="K428" s="3891"/>
      <c r="L428" s="3891"/>
      <c r="M428" s="3891"/>
      <c r="N428" s="3891"/>
      <c r="O428" s="3891"/>
      <c r="P428" s="3891"/>
      <c r="Q428" s="3891"/>
      <c r="R428" s="3891"/>
      <c r="S428" s="3891"/>
      <c r="T428" s="3891"/>
      <c r="U428" s="3891"/>
      <c r="V428" s="3891"/>
      <c r="W428" s="3891"/>
      <c r="X428" s="3891"/>
      <c r="Y428" s="3891"/>
      <c r="Z428" s="3891"/>
      <c r="AA428" s="3891"/>
      <c r="AB428" s="3891"/>
      <c r="AC428" s="389">
        <f t="shared" si="242"/>
        <v>0</v>
      </c>
      <c r="AD428" s="5"/>
      <c r="AE428" s="5"/>
      <c r="AF428" s="5"/>
      <c r="AG428" s="5"/>
      <c r="AH428" s="5"/>
      <c r="AI428" s="5"/>
      <c r="AJ428" s="5"/>
      <c r="AK428" s="5"/>
      <c r="AL428" s="5"/>
      <c r="AM428" s="5"/>
      <c r="AN428" s="5"/>
      <c r="AO428" s="5"/>
      <c r="AP428" s="5"/>
      <c r="AQ428" s="5"/>
      <c r="AR428" s="5"/>
      <c r="AS428" s="5"/>
      <c r="AT428" s="20"/>
      <c r="AU428" s="1182"/>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81"/>
      <c r="E429" s="389">
        <f t="shared" si="239"/>
        <v>0</v>
      </c>
      <c r="F429" s="20"/>
      <c r="G429" s="3890">
        <f t="shared" si="240"/>
        <v>0</v>
      </c>
      <c r="H429" s="1282">
        <f t="shared" si="241"/>
        <v>0</v>
      </c>
      <c r="I429" s="3891"/>
      <c r="J429" s="3891"/>
      <c r="K429" s="3891"/>
      <c r="L429" s="3891"/>
      <c r="M429" s="3891"/>
      <c r="N429" s="3891"/>
      <c r="O429" s="3891"/>
      <c r="P429" s="3891"/>
      <c r="Q429" s="3891"/>
      <c r="R429" s="3891"/>
      <c r="S429" s="3891"/>
      <c r="T429" s="3891"/>
      <c r="U429" s="3891"/>
      <c r="V429" s="3891"/>
      <c r="W429" s="3891"/>
      <c r="X429" s="3891"/>
      <c r="Y429" s="3891"/>
      <c r="Z429" s="3891"/>
      <c r="AA429" s="3891"/>
      <c r="AB429" s="3891"/>
      <c r="AC429" s="389">
        <f t="shared" si="242"/>
        <v>0</v>
      </c>
      <c r="AD429" s="5"/>
      <c r="AE429" s="5"/>
      <c r="AF429" s="5"/>
      <c r="AG429" s="5"/>
      <c r="AH429" s="5"/>
      <c r="AI429" s="5"/>
      <c r="AJ429" s="5"/>
      <c r="AK429" s="5"/>
      <c r="AL429" s="5"/>
      <c r="AM429" s="5"/>
      <c r="AN429" s="5"/>
      <c r="AO429" s="5"/>
      <c r="AP429" s="5"/>
      <c r="AQ429" s="5"/>
      <c r="AR429" s="5"/>
      <c r="AS429" s="5"/>
      <c r="AT429" s="20"/>
      <c r="AU429" s="1182"/>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81"/>
      <c r="E430" s="389">
        <f t="shared" si="239"/>
        <v>0</v>
      </c>
      <c r="F430" s="20"/>
      <c r="G430" s="3890">
        <f t="shared" si="240"/>
        <v>0</v>
      </c>
      <c r="H430" s="1282">
        <f t="shared" si="241"/>
        <v>0</v>
      </c>
      <c r="I430" s="3891"/>
      <c r="J430" s="3891"/>
      <c r="K430" s="3891"/>
      <c r="L430" s="3891"/>
      <c r="M430" s="3891"/>
      <c r="N430" s="3891"/>
      <c r="O430" s="3891"/>
      <c r="P430" s="3891"/>
      <c r="Q430" s="3891"/>
      <c r="R430" s="3891"/>
      <c r="S430" s="3891"/>
      <c r="T430" s="3891"/>
      <c r="U430" s="3891"/>
      <c r="V430" s="3891"/>
      <c r="W430" s="3891"/>
      <c r="X430" s="3891"/>
      <c r="Y430" s="3891"/>
      <c r="Z430" s="3891"/>
      <c r="AA430" s="3891"/>
      <c r="AB430" s="3891"/>
      <c r="AC430" s="389">
        <f t="shared" si="242"/>
        <v>0</v>
      </c>
      <c r="AD430" s="5"/>
      <c r="AE430" s="5"/>
      <c r="AF430" s="5"/>
      <c r="AG430" s="5"/>
      <c r="AH430" s="5"/>
      <c r="AI430" s="5"/>
      <c r="AJ430" s="5"/>
      <c r="AK430" s="5"/>
      <c r="AL430" s="5"/>
      <c r="AM430" s="5"/>
      <c r="AN430" s="5"/>
      <c r="AO430" s="5"/>
      <c r="AP430" s="5"/>
      <c r="AQ430" s="5"/>
      <c r="AR430" s="5"/>
      <c r="AS430" s="5"/>
      <c r="AT430" s="20"/>
      <c r="AU430" s="1182"/>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81"/>
      <c r="E431" s="389">
        <f t="shared" si="239"/>
        <v>0</v>
      </c>
      <c r="F431" s="20"/>
      <c r="G431" s="3890">
        <f t="shared" si="240"/>
        <v>0</v>
      </c>
      <c r="H431" s="1282">
        <f t="shared" si="241"/>
        <v>0</v>
      </c>
      <c r="I431" s="3891"/>
      <c r="J431" s="3891"/>
      <c r="K431" s="3891"/>
      <c r="L431" s="3891"/>
      <c r="M431" s="3891"/>
      <c r="N431" s="3891"/>
      <c r="O431" s="3891"/>
      <c r="P431" s="3891"/>
      <c r="Q431" s="3891"/>
      <c r="R431" s="3891"/>
      <c r="S431" s="3891"/>
      <c r="T431" s="3891"/>
      <c r="U431" s="3891"/>
      <c r="V431" s="3891"/>
      <c r="W431" s="3891"/>
      <c r="X431" s="3891"/>
      <c r="Y431" s="3891"/>
      <c r="Z431" s="3891"/>
      <c r="AA431" s="3891"/>
      <c r="AB431" s="3891"/>
      <c r="AC431" s="389">
        <f t="shared" si="242"/>
        <v>0</v>
      </c>
      <c r="AD431" s="5"/>
      <c r="AE431" s="5"/>
      <c r="AF431" s="5"/>
      <c r="AG431" s="5"/>
      <c r="AH431" s="5"/>
      <c r="AI431" s="5"/>
      <c r="AJ431" s="5"/>
      <c r="AK431" s="5"/>
      <c r="AL431" s="5"/>
      <c r="AM431" s="5"/>
      <c r="AN431" s="5"/>
      <c r="AO431" s="5"/>
      <c r="AP431" s="5"/>
      <c r="AQ431" s="5"/>
      <c r="AR431" s="5"/>
      <c r="AS431" s="5"/>
      <c r="AT431" s="20"/>
      <c r="AU431" s="1182"/>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81"/>
      <c r="E432" s="389">
        <f t="shared" si="239"/>
        <v>0</v>
      </c>
      <c r="F432" s="20"/>
      <c r="G432" s="3890">
        <f t="shared" si="240"/>
        <v>0</v>
      </c>
      <c r="H432" s="1282">
        <f t="shared" si="241"/>
        <v>0</v>
      </c>
      <c r="I432" s="3891"/>
      <c r="J432" s="3891"/>
      <c r="K432" s="3891"/>
      <c r="L432" s="3891"/>
      <c r="M432" s="3891"/>
      <c r="N432" s="3891"/>
      <c r="O432" s="3891"/>
      <c r="P432" s="3891"/>
      <c r="Q432" s="3891"/>
      <c r="R432" s="3891"/>
      <c r="S432" s="3891"/>
      <c r="T432" s="3891"/>
      <c r="U432" s="3891"/>
      <c r="V432" s="3891"/>
      <c r="W432" s="3891"/>
      <c r="X432" s="3891"/>
      <c r="Y432" s="3891"/>
      <c r="Z432" s="3891"/>
      <c r="AA432" s="3891"/>
      <c r="AB432" s="3891"/>
      <c r="AC432" s="389">
        <f t="shared" si="242"/>
        <v>0</v>
      </c>
      <c r="AD432" s="5"/>
      <c r="AE432" s="5"/>
      <c r="AF432" s="5"/>
      <c r="AG432" s="5"/>
      <c r="AH432" s="5"/>
      <c r="AI432" s="5"/>
      <c r="AJ432" s="5"/>
      <c r="AK432" s="5"/>
      <c r="AL432" s="5"/>
      <c r="AM432" s="5"/>
      <c r="AN432" s="5"/>
      <c r="AO432" s="5"/>
      <c r="AP432" s="5"/>
      <c r="AQ432" s="5"/>
      <c r="AR432" s="5"/>
      <c r="AS432" s="5"/>
      <c r="AT432" s="20"/>
      <c r="AU432" s="1182"/>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81"/>
      <c r="E433" s="389">
        <f t="shared" si="239"/>
        <v>0</v>
      </c>
      <c r="F433" s="20"/>
      <c r="G433" s="3890">
        <f t="shared" si="240"/>
        <v>0</v>
      </c>
      <c r="H433" s="1282">
        <f t="shared" si="241"/>
        <v>0</v>
      </c>
      <c r="I433" s="3891"/>
      <c r="J433" s="3891"/>
      <c r="K433" s="3891"/>
      <c r="L433" s="3891"/>
      <c r="M433" s="3891"/>
      <c r="N433" s="3891"/>
      <c r="O433" s="3891"/>
      <c r="P433" s="3891"/>
      <c r="Q433" s="3891"/>
      <c r="R433" s="3891"/>
      <c r="S433" s="3891"/>
      <c r="T433" s="3891"/>
      <c r="U433" s="3891"/>
      <c r="V433" s="3891"/>
      <c r="W433" s="3891"/>
      <c r="X433" s="3891"/>
      <c r="Y433" s="3891"/>
      <c r="Z433" s="3891"/>
      <c r="AA433" s="3891"/>
      <c r="AB433" s="3891"/>
      <c r="AC433" s="389">
        <f t="shared" si="242"/>
        <v>0</v>
      </c>
      <c r="AD433" s="5"/>
      <c r="AE433" s="5"/>
      <c r="AF433" s="5"/>
      <c r="AG433" s="5"/>
      <c r="AH433" s="5"/>
      <c r="AI433" s="5"/>
      <c r="AJ433" s="5"/>
      <c r="AK433" s="5"/>
      <c r="AL433" s="5"/>
      <c r="AM433" s="5"/>
      <c r="AN433" s="5"/>
      <c r="AO433" s="5"/>
      <c r="AP433" s="5"/>
      <c r="AQ433" s="5"/>
      <c r="AR433" s="5"/>
      <c r="AS433" s="5"/>
      <c r="AT433" s="20"/>
      <c r="AU433" s="1182"/>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81"/>
      <c r="E434" s="389">
        <f t="shared" si="239"/>
        <v>0</v>
      </c>
      <c r="F434" s="20"/>
      <c r="G434" s="3890">
        <f t="shared" si="240"/>
        <v>0</v>
      </c>
      <c r="H434" s="1282">
        <f t="shared" si="241"/>
        <v>0</v>
      </c>
      <c r="I434" s="3891"/>
      <c r="J434" s="3891"/>
      <c r="K434" s="3891"/>
      <c r="L434" s="3891"/>
      <c r="M434" s="3891"/>
      <c r="N434" s="3891"/>
      <c r="O434" s="3891"/>
      <c r="P434" s="3891"/>
      <c r="Q434" s="3891"/>
      <c r="R434" s="3891"/>
      <c r="S434" s="3891"/>
      <c r="T434" s="3891"/>
      <c r="U434" s="3891"/>
      <c r="V434" s="3891"/>
      <c r="W434" s="3891"/>
      <c r="X434" s="3891"/>
      <c r="Y434" s="3891"/>
      <c r="Z434" s="3891"/>
      <c r="AA434" s="3891"/>
      <c r="AB434" s="3891"/>
      <c r="AC434" s="389">
        <f t="shared" si="242"/>
        <v>0</v>
      </c>
      <c r="AD434" s="5"/>
      <c r="AE434" s="5"/>
      <c r="AF434" s="5"/>
      <c r="AG434" s="5"/>
      <c r="AH434" s="5"/>
      <c r="AI434" s="5"/>
      <c r="AJ434" s="5"/>
      <c r="AK434" s="5"/>
      <c r="AL434" s="5"/>
      <c r="AM434" s="5"/>
      <c r="AN434" s="5"/>
      <c r="AO434" s="5"/>
      <c r="AP434" s="5"/>
      <c r="AQ434" s="5"/>
      <c r="AR434" s="5"/>
      <c r="AS434" s="5"/>
      <c r="AT434" s="20"/>
      <c r="AU434" s="1182"/>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81"/>
      <c r="E435" s="389">
        <f t="shared" si="239"/>
        <v>0</v>
      </c>
      <c r="F435" s="20"/>
      <c r="G435" s="3890">
        <f t="shared" si="240"/>
        <v>0</v>
      </c>
      <c r="H435" s="1282">
        <f t="shared" si="241"/>
        <v>0</v>
      </c>
      <c r="I435" s="3891"/>
      <c r="J435" s="3891"/>
      <c r="K435" s="3891"/>
      <c r="L435" s="3891"/>
      <c r="M435" s="3891"/>
      <c r="N435" s="3891"/>
      <c r="O435" s="3891"/>
      <c r="P435" s="3891"/>
      <c r="Q435" s="3891"/>
      <c r="R435" s="3891"/>
      <c r="S435" s="3891"/>
      <c r="T435" s="3891"/>
      <c r="U435" s="3891"/>
      <c r="V435" s="3891"/>
      <c r="W435" s="3891"/>
      <c r="X435" s="3891"/>
      <c r="Y435" s="3891"/>
      <c r="Z435" s="3891"/>
      <c r="AA435" s="3891"/>
      <c r="AB435" s="3891"/>
      <c r="AC435" s="389">
        <f t="shared" si="242"/>
        <v>0</v>
      </c>
      <c r="AD435" s="5"/>
      <c r="AE435" s="5"/>
      <c r="AF435" s="5"/>
      <c r="AG435" s="5"/>
      <c r="AH435" s="5"/>
      <c r="AI435" s="5"/>
      <c r="AJ435" s="5"/>
      <c r="AK435" s="5"/>
      <c r="AL435" s="5"/>
      <c r="AM435" s="5"/>
      <c r="AN435" s="5"/>
      <c r="AO435" s="5"/>
      <c r="AP435" s="5"/>
      <c r="AQ435" s="5"/>
      <c r="AR435" s="5"/>
      <c r="AS435" s="5"/>
      <c r="AT435" s="20"/>
      <c r="AU435" s="1182"/>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81"/>
      <c r="E436" s="389">
        <f t="shared" si="239"/>
        <v>0</v>
      </c>
      <c r="F436" s="20"/>
      <c r="G436" s="3890">
        <f t="shared" si="240"/>
        <v>0</v>
      </c>
      <c r="H436" s="1282">
        <f t="shared" si="241"/>
        <v>0</v>
      </c>
      <c r="I436" s="3891"/>
      <c r="J436" s="3891"/>
      <c r="K436" s="3891"/>
      <c r="L436" s="3891"/>
      <c r="M436" s="3891"/>
      <c r="N436" s="3891"/>
      <c r="O436" s="3891"/>
      <c r="P436" s="3891"/>
      <c r="Q436" s="3891"/>
      <c r="R436" s="3891"/>
      <c r="S436" s="3891"/>
      <c r="T436" s="3891"/>
      <c r="U436" s="3891"/>
      <c r="V436" s="3891"/>
      <c r="W436" s="3891"/>
      <c r="X436" s="3891"/>
      <c r="Y436" s="3891"/>
      <c r="Z436" s="3891"/>
      <c r="AA436" s="3891"/>
      <c r="AB436" s="3891"/>
      <c r="AC436" s="389">
        <f t="shared" si="242"/>
        <v>0</v>
      </c>
      <c r="AD436" s="5"/>
      <c r="AE436" s="5"/>
      <c r="AF436" s="5"/>
      <c r="AG436" s="5"/>
      <c r="AH436" s="5"/>
      <c r="AI436" s="5"/>
      <c r="AJ436" s="5"/>
      <c r="AK436" s="5"/>
      <c r="AL436" s="5"/>
      <c r="AM436" s="5"/>
      <c r="AN436" s="5"/>
      <c r="AO436" s="5"/>
      <c r="AP436" s="5"/>
      <c r="AQ436" s="5"/>
      <c r="AR436" s="5"/>
      <c r="AS436" s="5"/>
      <c r="AT436" s="20"/>
      <c r="AU436" s="1182"/>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81"/>
      <c r="E437" s="389">
        <f t="shared" si="239"/>
        <v>0</v>
      </c>
      <c r="F437" s="20"/>
      <c r="G437" s="3890">
        <f t="shared" si="240"/>
        <v>0</v>
      </c>
      <c r="H437" s="1282">
        <f t="shared" si="241"/>
        <v>0</v>
      </c>
      <c r="I437" s="3891"/>
      <c r="J437" s="3891"/>
      <c r="K437" s="3891"/>
      <c r="L437" s="3891"/>
      <c r="M437" s="3891"/>
      <c r="N437" s="3891"/>
      <c r="O437" s="3891"/>
      <c r="P437" s="3891"/>
      <c r="Q437" s="3891"/>
      <c r="R437" s="3891"/>
      <c r="S437" s="3891"/>
      <c r="T437" s="3891"/>
      <c r="U437" s="3891"/>
      <c r="V437" s="3891"/>
      <c r="W437" s="3891"/>
      <c r="X437" s="3891"/>
      <c r="Y437" s="3891"/>
      <c r="Z437" s="3891"/>
      <c r="AA437" s="3891"/>
      <c r="AB437" s="3891"/>
      <c r="AC437" s="389">
        <f t="shared" si="242"/>
        <v>0</v>
      </c>
      <c r="AD437" s="5"/>
      <c r="AE437" s="5"/>
      <c r="AF437" s="5"/>
      <c r="AG437" s="5"/>
      <c r="AH437" s="5"/>
      <c r="AI437" s="5"/>
      <c r="AJ437" s="5"/>
      <c r="AK437" s="5"/>
      <c r="AL437" s="5"/>
      <c r="AM437" s="5"/>
      <c r="AN437" s="5"/>
      <c r="AO437" s="5"/>
      <c r="AP437" s="5"/>
      <c r="AQ437" s="5"/>
      <c r="AR437" s="5"/>
      <c r="AS437" s="5"/>
      <c r="AT437" s="20"/>
      <c r="AU437" s="1182"/>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81"/>
      <c r="E438" s="389">
        <f t="shared" si="239"/>
        <v>0</v>
      </c>
      <c r="F438" s="20"/>
      <c r="G438" s="3890">
        <f t="shared" si="240"/>
        <v>0</v>
      </c>
      <c r="H438" s="1282">
        <f t="shared" si="241"/>
        <v>0</v>
      </c>
      <c r="I438" s="3891"/>
      <c r="J438" s="3891"/>
      <c r="K438" s="3891"/>
      <c r="L438" s="3891"/>
      <c r="M438" s="3891"/>
      <c r="N438" s="3891"/>
      <c r="O438" s="3891"/>
      <c r="P438" s="3891"/>
      <c r="Q438" s="3891"/>
      <c r="R438" s="3891"/>
      <c r="S438" s="3891"/>
      <c r="T438" s="3891"/>
      <c r="U438" s="3891"/>
      <c r="V438" s="3891"/>
      <c r="W438" s="3891"/>
      <c r="X438" s="3891"/>
      <c r="Y438" s="3891"/>
      <c r="Z438" s="3891"/>
      <c r="AA438" s="3891"/>
      <c r="AB438" s="3891"/>
      <c r="AC438" s="389">
        <f t="shared" si="242"/>
        <v>0</v>
      </c>
      <c r="AD438" s="5"/>
      <c r="AE438" s="5"/>
      <c r="AF438" s="5"/>
      <c r="AG438" s="5"/>
      <c r="AH438" s="5"/>
      <c r="AI438" s="5"/>
      <c r="AJ438" s="5"/>
      <c r="AK438" s="5"/>
      <c r="AL438" s="5"/>
      <c r="AM438" s="5"/>
      <c r="AN438" s="5"/>
      <c r="AO438" s="5"/>
      <c r="AP438" s="5"/>
      <c r="AQ438" s="5"/>
      <c r="AR438" s="5"/>
      <c r="AS438" s="5"/>
      <c r="AT438" s="20"/>
      <c r="AU438" s="1182"/>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81"/>
      <c r="E439" s="389">
        <f t="shared" si="239"/>
        <v>0</v>
      </c>
      <c r="F439" s="20"/>
      <c r="G439" s="3890">
        <f t="shared" si="240"/>
        <v>0</v>
      </c>
      <c r="H439" s="1282">
        <f t="shared" si="241"/>
        <v>0</v>
      </c>
      <c r="I439" s="3891"/>
      <c r="J439" s="3891"/>
      <c r="K439" s="3891"/>
      <c r="L439" s="3891"/>
      <c r="M439" s="3891"/>
      <c r="N439" s="3891"/>
      <c r="O439" s="3891"/>
      <c r="P439" s="3891"/>
      <c r="Q439" s="3891"/>
      <c r="R439" s="3891"/>
      <c r="S439" s="3891"/>
      <c r="T439" s="3891"/>
      <c r="U439" s="3891"/>
      <c r="V439" s="3891"/>
      <c r="W439" s="3891"/>
      <c r="X439" s="3891"/>
      <c r="Y439" s="3891"/>
      <c r="Z439" s="3891"/>
      <c r="AA439" s="3891"/>
      <c r="AB439" s="3891"/>
      <c r="AC439" s="389">
        <f t="shared" si="242"/>
        <v>0</v>
      </c>
      <c r="AD439" s="5"/>
      <c r="AE439" s="5"/>
      <c r="AF439" s="5"/>
      <c r="AG439" s="5"/>
      <c r="AH439" s="5"/>
      <c r="AI439" s="5"/>
      <c r="AJ439" s="5"/>
      <c r="AK439" s="5"/>
      <c r="AL439" s="5"/>
      <c r="AM439" s="5"/>
      <c r="AN439" s="5"/>
      <c r="AO439" s="5"/>
      <c r="AP439" s="5"/>
      <c r="AQ439" s="5"/>
      <c r="AR439" s="5"/>
      <c r="AS439" s="5"/>
      <c r="AT439" s="20"/>
      <c r="AU439" s="1182"/>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81"/>
      <c r="E440" s="389">
        <f t="shared" si="239"/>
        <v>0</v>
      </c>
      <c r="F440" s="20"/>
      <c r="G440" s="3890">
        <f t="shared" si="240"/>
        <v>0</v>
      </c>
      <c r="H440" s="1282">
        <f t="shared" si="241"/>
        <v>0</v>
      </c>
      <c r="I440" s="3891"/>
      <c r="J440" s="3891"/>
      <c r="K440" s="3891"/>
      <c r="L440" s="3891"/>
      <c r="M440" s="3891"/>
      <c r="N440" s="3891"/>
      <c r="O440" s="3891"/>
      <c r="P440" s="3891"/>
      <c r="Q440" s="3891"/>
      <c r="R440" s="3891"/>
      <c r="S440" s="3891"/>
      <c r="T440" s="3891"/>
      <c r="U440" s="3891"/>
      <c r="V440" s="3891"/>
      <c r="W440" s="3891"/>
      <c r="X440" s="3891"/>
      <c r="Y440" s="3891"/>
      <c r="Z440" s="3891"/>
      <c r="AA440" s="3891"/>
      <c r="AB440" s="3891"/>
      <c r="AC440" s="389">
        <f t="shared" si="242"/>
        <v>0</v>
      </c>
      <c r="AD440" s="5"/>
      <c r="AE440" s="5"/>
      <c r="AF440" s="5"/>
      <c r="AG440" s="5"/>
      <c r="AH440" s="5"/>
      <c r="AI440" s="5"/>
      <c r="AJ440" s="5"/>
      <c r="AK440" s="5"/>
      <c r="AL440" s="5"/>
      <c r="AM440" s="5"/>
      <c r="AN440" s="5"/>
      <c r="AO440" s="5"/>
      <c r="AP440" s="5"/>
      <c r="AQ440" s="5"/>
      <c r="AR440" s="5"/>
      <c r="AS440" s="5"/>
      <c r="AT440" s="20"/>
      <c r="AU440" s="1182"/>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81"/>
      <c r="E441" s="389">
        <f t="shared" si="239"/>
        <v>0</v>
      </c>
      <c r="F441" s="20"/>
      <c r="G441" s="3890">
        <f t="shared" si="240"/>
        <v>0</v>
      </c>
      <c r="H441" s="1282">
        <f t="shared" si="241"/>
        <v>0</v>
      </c>
      <c r="I441" s="3891"/>
      <c r="J441" s="3891"/>
      <c r="K441" s="3891"/>
      <c r="L441" s="3891"/>
      <c r="M441" s="3891"/>
      <c r="N441" s="3891"/>
      <c r="O441" s="3891"/>
      <c r="P441" s="3891"/>
      <c r="Q441" s="3891"/>
      <c r="R441" s="3891"/>
      <c r="S441" s="3891"/>
      <c r="T441" s="3891"/>
      <c r="U441" s="3891"/>
      <c r="V441" s="3891"/>
      <c r="W441" s="3891"/>
      <c r="X441" s="3891"/>
      <c r="Y441" s="3891"/>
      <c r="Z441" s="3891"/>
      <c r="AA441" s="3891"/>
      <c r="AB441" s="3891"/>
      <c r="AC441" s="389">
        <f t="shared" si="242"/>
        <v>0</v>
      </c>
      <c r="AD441" s="5"/>
      <c r="AE441" s="5"/>
      <c r="AF441" s="5"/>
      <c r="AG441" s="5"/>
      <c r="AH441" s="5"/>
      <c r="AI441" s="5"/>
      <c r="AJ441" s="5"/>
      <c r="AK441" s="5"/>
      <c r="AL441" s="5"/>
      <c r="AM441" s="5"/>
      <c r="AN441" s="5"/>
      <c r="AO441" s="5"/>
      <c r="AP441" s="5"/>
      <c r="AQ441" s="5"/>
      <c r="AR441" s="5"/>
      <c r="AS441" s="5"/>
      <c r="AT441" s="20"/>
      <c r="AU441" s="1182"/>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81"/>
      <c r="E442" s="389">
        <f t="shared" si="239"/>
        <v>0</v>
      </c>
      <c r="F442" s="20"/>
      <c r="G442" s="3890">
        <f t="shared" si="240"/>
        <v>0</v>
      </c>
      <c r="H442" s="1282">
        <f t="shared" si="241"/>
        <v>0</v>
      </c>
      <c r="I442" s="3891"/>
      <c r="J442" s="3891"/>
      <c r="K442" s="3891"/>
      <c r="L442" s="3891"/>
      <c r="M442" s="3891"/>
      <c r="N442" s="3891"/>
      <c r="O442" s="3891"/>
      <c r="P442" s="3891"/>
      <c r="Q442" s="3891"/>
      <c r="R442" s="3891"/>
      <c r="S442" s="3891"/>
      <c r="T442" s="3891"/>
      <c r="U442" s="3891"/>
      <c r="V442" s="3891"/>
      <c r="W442" s="3891"/>
      <c r="X442" s="3891"/>
      <c r="Y442" s="3891"/>
      <c r="Z442" s="3891"/>
      <c r="AA442" s="3891"/>
      <c r="AB442" s="3891"/>
      <c r="AC442" s="389">
        <f t="shared" si="242"/>
        <v>0</v>
      </c>
      <c r="AD442" s="5"/>
      <c r="AE442" s="5"/>
      <c r="AF442" s="5"/>
      <c r="AG442" s="5"/>
      <c r="AH442" s="5"/>
      <c r="AI442" s="5"/>
      <c r="AJ442" s="5"/>
      <c r="AK442" s="5"/>
      <c r="AL442" s="5"/>
      <c r="AM442" s="5"/>
      <c r="AN442" s="5"/>
      <c r="AO442" s="5"/>
      <c r="AP442" s="5"/>
      <c r="AQ442" s="5"/>
      <c r="AR442" s="5"/>
      <c r="AS442" s="5"/>
      <c r="AT442" s="20"/>
      <c r="AU442" s="1182"/>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81"/>
      <c r="E443" s="389">
        <f t="shared" si="239"/>
        <v>0</v>
      </c>
      <c r="F443" s="20"/>
      <c r="G443" s="3890">
        <f t="shared" si="240"/>
        <v>0</v>
      </c>
      <c r="H443" s="1282">
        <f t="shared" si="241"/>
        <v>0</v>
      </c>
      <c r="I443" s="3891"/>
      <c r="J443" s="3891"/>
      <c r="K443" s="3891"/>
      <c r="L443" s="3891"/>
      <c r="M443" s="3891"/>
      <c r="N443" s="3891"/>
      <c r="O443" s="3891"/>
      <c r="P443" s="3891"/>
      <c r="Q443" s="3891"/>
      <c r="R443" s="3891"/>
      <c r="S443" s="3891"/>
      <c r="T443" s="3891"/>
      <c r="U443" s="3891"/>
      <c r="V443" s="3891"/>
      <c r="W443" s="3891"/>
      <c r="X443" s="3891"/>
      <c r="Y443" s="3891"/>
      <c r="Z443" s="3891"/>
      <c r="AA443" s="3891"/>
      <c r="AB443" s="3891"/>
      <c r="AC443" s="389">
        <f t="shared" si="242"/>
        <v>0</v>
      </c>
      <c r="AD443" s="5"/>
      <c r="AE443" s="5"/>
      <c r="AF443" s="5"/>
      <c r="AG443" s="5"/>
      <c r="AH443" s="5"/>
      <c r="AI443" s="5"/>
      <c r="AJ443" s="5"/>
      <c r="AK443" s="5"/>
      <c r="AL443" s="5"/>
      <c r="AM443" s="5"/>
      <c r="AN443" s="5"/>
      <c r="AO443" s="5"/>
      <c r="AP443" s="5"/>
      <c r="AQ443" s="5"/>
      <c r="AR443" s="5"/>
      <c r="AS443" s="5"/>
      <c r="AT443" s="20"/>
      <c r="AU443" s="1182"/>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81"/>
      <c r="E444" s="389">
        <f t="shared" si="239"/>
        <v>0</v>
      </c>
      <c r="F444" s="20"/>
      <c r="G444" s="3890">
        <f t="shared" si="240"/>
        <v>0</v>
      </c>
      <c r="H444" s="1282">
        <f t="shared" si="241"/>
        <v>0</v>
      </c>
      <c r="I444" s="3891"/>
      <c r="J444" s="3891"/>
      <c r="K444" s="3891"/>
      <c r="L444" s="3891"/>
      <c r="M444" s="3891"/>
      <c r="N444" s="3891"/>
      <c r="O444" s="3891"/>
      <c r="P444" s="3891"/>
      <c r="Q444" s="3891"/>
      <c r="R444" s="3891"/>
      <c r="S444" s="3891"/>
      <c r="T444" s="3891"/>
      <c r="U444" s="3891"/>
      <c r="V444" s="3891"/>
      <c r="W444" s="3891"/>
      <c r="X444" s="3891"/>
      <c r="Y444" s="3891"/>
      <c r="Z444" s="3891"/>
      <c r="AA444" s="3891"/>
      <c r="AB444" s="3891"/>
      <c r="AC444" s="389">
        <f t="shared" si="242"/>
        <v>0</v>
      </c>
      <c r="AD444" s="5"/>
      <c r="AE444" s="5"/>
      <c r="AF444" s="5"/>
      <c r="AG444" s="5"/>
      <c r="AH444" s="5"/>
      <c r="AI444" s="5"/>
      <c r="AJ444" s="5"/>
      <c r="AK444" s="5"/>
      <c r="AL444" s="5"/>
      <c r="AM444" s="5"/>
      <c r="AN444" s="5"/>
      <c r="AO444" s="5"/>
      <c r="AP444" s="5"/>
      <c r="AQ444" s="5"/>
      <c r="AR444" s="5"/>
      <c r="AS444" s="5"/>
      <c r="AT444" s="20"/>
      <c r="AU444" s="1182"/>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81"/>
      <c r="E445" s="389">
        <f t="shared" si="239"/>
        <v>0</v>
      </c>
      <c r="F445" s="20"/>
      <c r="G445" s="3890">
        <f t="shared" si="240"/>
        <v>0</v>
      </c>
      <c r="H445" s="1282">
        <f t="shared" si="241"/>
        <v>0</v>
      </c>
      <c r="I445" s="3891"/>
      <c r="J445" s="3891"/>
      <c r="K445" s="3891"/>
      <c r="L445" s="3891"/>
      <c r="M445" s="3891"/>
      <c r="N445" s="3891"/>
      <c r="O445" s="3891"/>
      <c r="P445" s="3891"/>
      <c r="Q445" s="3891"/>
      <c r="R445" s="3891"/>
      <c r="S445" s="3891"/>
      <c r="T445" s="3891"/>
      <c r="U445" s="3891"/>
      <c r="V445" s="3891"/>
      <c r="W445" s="3891"/>
      <c r="X445" s="3891"/>
      <c r="Y445" s="3891"/>
      <c r="Z445" s="3891"/>
      <c r="AA445" s="3891"/>
      <c r="AB445" s="3891"/>
      <c r="AC445" s="389">
        <f t="shared" si="242"/>
        <v>0</v>
      </c>
      <c r="AD445" s="5"/>
      <c r="AE445" s="5"/>
      <c r="AF445" s="5"/>
      <c r="AG445" s="5"/>
      <c r="AH445" s="5"/>
      <c r="AI445" s="5"/>
      <c r="AJ445" s="5"/>
      <c r="AK445" s="5"/>
      <c r="AL445" s="5"/>
      <c r="AM445" s="5"/>
      <c r="AN445" s="5"/>
      <c r="AO445" s="5"/>
      <c r="AP445" s="5"/>
      <c r="AQ445" s="5"/>
      <c r="AR445" s="5"/>
      <c r="AS445" s="5"/>
      <c r="AT445" s="20"/>
      <c r="AU445" s="1182"/>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81"/>
      <c r="E446" s="389">
        <f t="shared" si="239"/>
        <v>0</v>
      </c>
      <c r="F446" s="20"/>
      <c r="G446" s="3890">
        <f t="shared" si="240"/>
        <v>0</v>
      </c>
      <c r="H446" s="1282">
        <f t="shared" si="241"/>
        <v>0</v>
      </c>
      <c r="I446" s="3891"/>
      <c r="J446" s="3891"/>
      <c r="K446" s="3891"/>
      <c r="L446" s="3891"/>
      <c r="M446" s="3891"/>
      <c r="N446" s="3891"/>
      <c r="O446" s="3891"/>
      <c r="P446" s="3891"/>
      <c r="Q446" s="3891"/>
      <c r="R446" s="3891"/>
      <c r="S446" s="3891"/>
      <c r="T446" s="3891"/>
      <c r="U446" s="3891"/>
      <c r="V446" s="3891"/>
      <c r="W446" s="3891"/>
      <c r="X446" s="3891"/>
      <c r="Y446" s="3891"/>
      <c r="Z446" s="3891"/>
      <c r="AA446" s="3891"/>
      <c r="AB446" s="3891"/>
      <c r="AC446" s="389">
        <f t="shared" si="242"/>
        <v>0</v>
      </c>
      <c r="AD446" s="5"/>
      <c r="AE446" s="5"/>
      <c r="AF446" s="5"/>
      <c r="AG446" s="5"/>
      <c r="AH446" s="5"/>
      <c r="AI446" s="5"/>
      <c r="AJ446" s="5"/>
      <c r="AK446" s="5"/>
      <c r="AL446" s="5"/>
      <c r="AM446" s="5"/>
      <c r="AN446" s="5"/>
      <c r="AO446" s="5"/>
      <c r="AP446" s="5"/>
      <c r="AQ446" s="5"/>
      <c r="AR446" s="5"/>
      <c r="AS446" s="5"/>
      <c r="AT446" s="20"/>
      <c r="AU446" s="1182"/>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81"/>
      <c r="E447" s="389">
        <f t="shared" si="239"/>
        <v>0</v>
      </c>
      <c r="F447" s="20"/>
      <c r="G447" s="3890">
        <f t="shared" si="240"/>
        <v>0</v>
      </c>
      <c r="H447" s="1282">
        <f t="shared" si="241"/>
        <v>0</v>
      </c>
      <c r="I447" s="3891"/>
      <c r="J447" s="3891"/>
      <c r="K447" s="3891"/>
      <c r="L447" s="3891"/>
      <c r="M447" s="3891"/>
      <c r="N447" s="3891"/>
      <c r="O447" s="3891"/>
      <c r="P447" s="3891"/>
      <c r="Q447" s="3891"/>
      <c r="R447" s="3891"/>
      <c r="S447" s="3891"/>
      <c r="T447" s="3891"/>
      <c r="U447" s="3891"/>
      <c r="V447" s="3891"/>
      <c r="W447" s="3891"/>
      <c r="X447" s="3891"/>
      <c r="Y447" s="3891"/>
      <c r="Z447" s="3891"/>
      <c r="AA447" s="3891"/>
      <c r="AB447" s="3891"/>
      <c r="AC447" s="389">
        <f t="shared" si="242"/>
        <v>0</v>
      </c>
      <c r="AD447" s="5"/>
      <c r="AE447" s="5"/>
      <c r="AF447" s="5"/>
      <c r="AG447" s="5"/>
      <c r="AH447" s="5"/>
      <c r="AI447" s="5"/>
      <c r="AJ447" s="5"/>
      <c r="AK447" s="5"/>
      <c r="AL447" s="5"/>
      <c r="AM447" s="5"/>
      <c r="AN447" s="5"/>
      <c r="AO447" s="5"/>
      <c r="AP447" s="5"/>
      <c r="AQ447" s="5"/>
      <c r="AR447" s="5"/>
      <c r="AS447" s="5"/>
      <c r="AT447" s="20"/>
      <c r="AU447" s="1182"/>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81"/>
      <c r="E448" s="389">
        <f t="shared" si="239"/>
        <v>0</v>
      </c>
      <c r="F448" s="20"/>
      <c r="G448" s="3890">
        <f t="shared" si="240"/>
        <v>0</v>
      </c>
      <c r="H448" s="1282">
        <f t="shared" si="241"/>
        <v>0</v>
      </c>
      <c r="I448" s="3891"/>
      <c r="J448" s="3891"/>
      <c r="K448" s="3891"/>
      <c r="L448" s="3891"/>
      <c r="M448" s="3891"/>
      <c r="N448" s="3891"/>
      <c r="O448" s="3891"/>
      <c r="P448" s="3891"/>
      <c r="Q448" s="3891"/>
      <c r="R448" s="3891"/>
      <c r="S448" s="3891"/>
      <c r="T448" s="3891"/>
      <c r="U448" s="3891"/>
      <c r="V448" s="3891"/>
      <c r="W448" s="3891"/>
      <c r="X448" s="3891"/>
      <c r="Y448" s="3891"/>
      <c r="Z448" s="3891"/>
      <c r="AA448" s="3891"/>
      <c r="AB448" s="3891"/>
      <c r="AC448" s="389">
        <f t="shared" si="242"/>
        <v>0</v>
      </c>
      <c r="AD448" s="5"/>
      <c r="AE448" s="5"/>
      <c r="AF448" s="5"/>
      <c r="AG448" s="5"/>
      <c r="AH448" s="5"/>
      <c r="AI448" s="5"/>
      <c r="AJ448" s="5"/>
      <c r="AK448" s="5"/>
      <c r="AL448" s="5"/>
      <c r="AM448" s="5"/>
      <c r="AN448" s="5"/>
      <c r="AO448" s="5"/>
      <c r="AP448" s="5"/>
      <c r="AQ448" s="5"/>
      <c r="AR448" s="5"/>
      <c r="AS448" s="5"/>
      <c r="AT448" s="20"/>
      <c r="AU448" s="1182"/>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81"/>
      <c r="E449" s="389">
        <f t="shared" si="239"/>
        <v>0</v>
      </c>
      <c r="F449" s="20"/>
      <c r="G449" s="3890">
        <f t="shared" si="240"/>
        <v>0</v>
      </c>
      <c r="H449" s="1282">
        <f t="shared" si="241"/>
        <v>0</v>
      </c>
      <c r="I449" s="3891"/>
      <c r="J449" s="3891"/>
      <c r="K449" s="3891"/>
      <c r="L449" s="3891"/>
      <c r="M449" s="3891"/>
      <c r="N449" s="3891"/>
      <c r="O449" s="3891"/>
      <c r="P449" s="3891"/>
      <c r="Q449" s="3891"/>
      <c r="R449" s="3891"/>
      <c r="S449" s="3891"/>
      <c r="T449" s="3891"/>
      <c r="U449" s="3891"/>
      <c r="V449" s="3891"/>
      <c r="W449" s="3891"/>
      <c r="X449" s="3891"/>
      <c r="Y449" s="3891"/>
      <c r="Z449" s="3891"/>
      <c r="AA449" s="3891"/>
      <c r="AB449" s="3891"/>
      <c r="AC449" s="389">
        <f t="shared" si="242"/>
        <v>0</v>
      </c>
      <c r="AD449" s="5"/>
      <c r="AE449" s="5"/>
      <c r="AF449" s="5"/>
      <c r="AG449" s="5"/>
      <c r="AH449" s="5"/>
      <c r="AI449" s="5"/>
      <c r="AJ449" s="5"/>
      <c r="AK449" s="5"/>
      <c r="AL449" s="5"/>
      <c r="AM449" s="5"/>
      <c r="AN449" s="5"/>
      <c r="AO449" s="5"/>
      <c r="AP449" s="5"/>
      <c r="AQ449" s="5"/>
      <c r="AR449" s="5"/>
      <c r="AS449" s="5"/>
      <c r="AT449" s="20"/>
      <c r="AU449" s="1182"/>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81"/>
      <c r="E450" s="389">
        <f t="shared" si="239"/>
        <v>0</v>
      </c>
      <c r="F450" s="20"/>
      <c r="G450" s="3890">
        <f t="shared" si="240"/>
        <v>0</v>
      </c>
      <c r="H450" s="1282">
        <f t="shared" si="241"/>
        <v>0</v>
      </c>
      <c r="I450" s="3891"/>
      <c r="J450" s="3891"/>
      <c r="K450" s="3891"/>
      <c r="L450" s="3891"/>
      <c r="M450" s="3891"/>
      <c r="N450" s="3891"/>
      <c r="O450" s="3891"/>
      <c r="P450" s="3891"/>
      <c r="Q450" s="3891"/>
      <c r="R450" s="3891"/>
      <c r="S450" s="3891"/>
      <c r="T450" s="3891"/>
      <c r="U450" s="3891"/>
      <c r="V450" s="3891"/>
      <c r="W450" s="3891"/>
      <c r="X450" s="3891"/>
      <c r="Y450" s="3891"/>
      <c r="Z450" s="3891"/>
      <c r="AA450" s="3891"/>
      <c r="AB450" s="3891"/>
      <c r="AC450" s="389">
        <f t="shared" si="242"/>
        <v>0</v>
      </c>
      <c r="AD450" s="5"/>
      <c r="AE450" s="5"/>
      <c r="AF450" s="5"/>
      <c r="AG450" s="5"/>
      <c r="AH450" s="5"/>
      <c r="AI450" s="5"/>
      <c r="AJ450" s="5"/>
      <c r="AK450" s="5"/>
      <c r="AL450" s="5"/>
      <c r="AM450" s="5"/>
      <c r="AN450" s="5"/>
      <c r="AO450" s="5"/>
      <c r="AP450" s="5"/>
      <c r="AQ450" s="5"/>
      <c r="AR450" s="5"/>
      <c r="AS450" s="5"/>
      <c r="AT450" s="20"/>
      <c r="AU450" s="1182"/>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81"/>
      <c r="E451" s="389">
        <f t="shared" si="239"/>
        <v>0</v>
      </c>
      <c r="F451" s="20"/>
      <c r="G451" s="3890">
        <f t="shared" si="240"/>
        <v>0</v>
      </c>
      <c r="H451" s="1282">
        <f t="shared" si="241"/>
        <v>0</v>
      </c>
      <c r="I451" s="3891"/>
      <c r="J451" s="3891"/>
      <c r="K451" s="3891"/>
      <c r="L451" s="3891"/>
      <c r="M451" s="3891"/>
      <c r="N451" s="3891"/>
      <c r="O451" s="3891"/>
      <c r="P451" s="3891"/>
      <c r="Q451" s="3891"/>
      <c r="R451" s="3891"/>
      <c r="S451" s="3891"/>
      <c r="T451" s="3891"/>
      <c r="U451" s="3891"/>
      <c r="V451" s="3891"/>
      <c r="W451" s="3891"/>
      <c r="X451" s="3891"/>
      <c r="Y451" s="3891"/>
      <c r="Z451" s="3891"/>
      <c r="AA451" s="3891"/>
      <c r="AB451" s="3891"/>
      <c r="AC451" s="389">
        <f t="shared" si="242"/>
        <v>0</v>
      </c>
      <c r="AD451" s="5"/>
      <c r="AE451" s="5"/>
      <c r="AF451" s="5"/>
      <c r="AG451" s="5"/>
      <c r="AH451" s="5"/>
      <c r="AI451" s="5"/>
      <c r="AJ451" s="5"/>
      <c r="AK451" s="5"/>
      <c r="AL451" s="5"/>
      <c r="AM451" s="5"/>
      <c r="AN451" s="5"/>
      <c r="AO451" s="5"/>
      <c r="AP451" s="5"/>
      <c r="AQ451" s="5"/>
      <c r="AR451" s="5"/>
      <c r="AS451" s="5"/>
      <c r="AT451" s="20"/>
      <c r="AU451" s="1182"/>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81"/>
      <c r="E452" s="389">
        <f t="shared" si="239"/>
        <v>0</v>
      </c>
      <c r="F452" s="20"/>
      <c r="G452" s="3890">
        <f t="shared" si="240"/>
        <v>0</v>
      </c>
      <c r="H452" s="1282">
        <f t="shared" si="241"/>
        <v>0</v>
      </c>
      <c r="I452" s="3891"/>
      <c r="J452" s="3891"/>
      <c r="K452" s="3891"/>
      <c r="L452" s="3891"/>
      <c r="M452" s="3891"/>
      <c r="N452" s="3891"/>
      <c r="O452" s="3891"/>
      <c r="P452" s="3891"/>
      <c r="Q452" s="3891"/>
      <c r="R452" s="3891"/>
      <c r="S452" s="3891"/>
      <c r="T452" s="3891"/>
      <c r="U452" s="3891"/>
      <c r="V452" s="3891"/>
      <c r="W452" s="3891"/>
      <c r="X452" s="3891"/>
      <c r="Y452" s="3891"/>
      <c r="Z452" s="3891"/>
      <c r="AA452" s="3891"/>
      <c r="AB452" s="3891"/>
      <c r="AC452" s="389">
        <f t="shared" si="242"/>
        <v>0</v>
      </c>
      <c r="AD452" s="5"/>
      <c r="AE452" s="5"/>
      <c r="AF452" s="5"/>
      <c r="AG452" s="5"/>
      <c r="AH452" s="5"/>
      <c r="AI452" s="5"/>
      <c r="AJ452" s="5"/>
      <c r="AK452" s="5"/>
      <c r="AL452" s="5"/>
      <c r="AM452" s="5"/>
      <c r="AN452" s="5"/>
      <c r="AO452" s="5"/>
      <c r="AP452" s="5"/>
      <c r="AQ452" s="5"/>
      <c r="AR452" s="5"/>
      <c r="AS452" s="5"/>
      <c r="AT452" s="20"/>
      <c r="AU452" s="1182"/>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81"/>
      <c r="E453" s="389">
        <f t="shared" si="239"/>
        <v>0</v>
      </c>
      <c r="F453" s="20"/>
      <c r="G453" s="3890">
        <f t="shared" si="240"/>
        <v>0</v>
      </c>
      <c r="H453" s="1282">
        <f t="shared" si="241"/>
        <v>0</v>
      </c>
      <c r="I453" s="3891"/>
      <c r="J453" s="3891"/>
      <c r="K453" s="3891"/>
      <c r="L453" s="3891"/>
      <c r="M453" s="3891"/>
      <c r="N453" s="3891"/>
      <c r="O453" s="3891"/>
      <c r="P453" s="3891"/>
      <c r="Q453" s="3891"/>
      <c r="R453" s="3891"/>
      <c r="S453" s="3891"/>
      <c r="T453" s="3891"/>
      <c r="U453" s="3891"/>
      <c r="V453" s="3891"/>
      <c r="W453" s="3891"/>
      <c r="X453" s="3891"/>
      <c r="Y453" s="3891"/>
      <c r="Z453" s="3891"/>
      <c r="AA453" s="3891"/>
      <c r="AB453" s="3891"/>
      <c r="AC453" s="389">
        <f t="shared" si="242"/>
        <v>0</v>
      </c>
      <c r="AD453" s="5"/>
      <c r="AE453" s="5"/>
      <c r="AF453" s="5"/>
      <c r="AG453" s="5"/>
      <c r="AH453" s="5"/>
      <c r="AI453" s="5"/>
      <c r="AJ453" s="5"/>
      <c r="AK453" s="5"/>
      <c r="AL453" s="5"/>
      <c r="AM453" s="5"/>
      <c r="AN453" s="5"/>
      <c r="AO453" s="5"/>
      <c r="AP453" s="5"/>
      <c r="AQ453" s="5"/>
      <c r="AR453" s="5"/>
      <c r="AS453" s="5"/>
      <c r="AT453" s="20"/>
      <c r="AU453" s="1182"/>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81"/>
      <c r="E454" s="389">
        <f t="shared" si="239"/>
        <v>0</v>
      </c>
      <c r="F454" s="20"/>
      <c r="G454" s="3890">
        <f t="shared" si="240"/>
        <v>0</v>
      </c>
      <c r="H454" s="1282">
        <f t="shared" si="241"/>
        <v>0</v>
      </c>
      <c r="I454" s="3891"/>
      <c r="J454" s="3891"/>
      <c r="K454" s="3891"/>
      <c r="L454" s="3891"/>
      <c r="M454" s="3891"/>
      <c r="N454" s="3891"/>
      <c r="O454" s="3891"/>
      <c r="P454" s="3891"/>
      <c r="Q454" s="3891"/>
      <c r="R454" s="3891"/>
      <c r="S454" s="3891"/>
      <c r="T454" s="3891"/>
      <c r="U454" s="3891"/>
      <c r="V454" s="3891"/>
      <c r="W454" s="3891"/>
      <c r="X454" s="3891"/>
      <c r="Y454" s="3891"/>
      <c r="Z454" s="3891"/>
      <c r="AA454" s="3891"/>
      <c r="AB454" s="3891"/>
      <c r="AC454" s="389">
        <f t="shared" si="242"/>
        <v>0</v>
      </c>
      <c r="AD454" s="5"/>
      <c r="AE454" s="5"/>
      <c r="AF454" s="5"/>
      <c r="AG454" s="5"/>
      <c r="AH454" s="5"/>
      <c r="AI454" s="5"/>
      <c r="AJ454" s="5"/>
      <c r="AK454" s="5"/>
      <c r="AL454" s="5"/>
      <c r="AM454" s="5"/>
      <c r="AN454" s="5"/>
      <c r="AO454" s="5"/>
      <c r="AP454" s="5"/>
      <c r="AQ454" s="5"/>
      <c r="AR454" s="5"/>
      <c r="AS454" s="5"/>
      <c r="AT454" s="20"/>
      <c r="AU454" s="1182"/>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81"/>
      <c r="E455" s="389">
        <f t="shared" si="239"/>
        <v>0</v>
      </c>
      <c r="F455" s="20"/>
      <c r="G455" s="3890">
        <f t="shared" si="240"/>
        <v>0</v>
      </c>
      <c r="H455" s="1282">
        <f t="shared" si="241"/>
        <v>0</v>
      </c>
      <c r="I455" s="3891"/>
      <c r="J455" s="3891"/>
      <c r="K455" s="3891"/>
      <c r="L455" s="3891"/>
      <c r="M455" s="3891"/>
      <c r="N455" s="3891"/>
      <c r="O455" s="3891"/>
      <c r="P455" s="3891"/>
      <c r="Q455" s="3891"/>
      <c r="R455" s="3891"/>
      <c r="S455" s="3891"/>
      <c r="T455" s="3891"/>
      <c r="U455" s="3891"/>
      <c r="V455" s="3891"/>
      <c r="W455" s="3891"/>
      <c r="X455" s="3891"/>
      <c r="Y455" s="3891"/>
      <c r="Z455" s="3891"/>
      <c r="AA455" s="3891"/>
      <c r="AB455" s="3891"/>
      <c r="AC455" s="389">
        <f t="shared" si="242"/>
        <v>0</v>
      </c>
      <c r="AD455" s="5"/>
      <c r="AE455" s="5"/>
      <c r="AF455" s="5"/>
      <c r="AG455" s="5"/>
      <c r="AH455" s="5"/>
      <c r="AI455" s="5"/>
      <c r="AJ455" s="5"/>
      <c r="AK455" s="5"/>
      <c r="AL455" s="5"/>
      <c r="AM455" s="5"/>
      <c r="AN455" s="5"/>
      <c r="AO455" s="5"/>
      <c r="AP455" s="5"/>
      <c r="AQ455" s="5"/>
      <c r="AR455" s="5"/>
      <c r="AS455" s="5"/>
      <c r="AT455" s="20"/>
      <c r="AU455" s="1182"/>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81"/>
      <c r="E456" s="389">
        <f t="shared" si="239"/>
        <v>0</v>
      </c>
      <c r="F456" s="20"/>
      <c r="G456" s="3890">
        <f t="shared" si="240"/>
        <v>0</v>
      </c>
      <c r="H456" s="1282">
        <f t="shared" si="241"/>
        <v>0</v>
      </c>
      <c r="I456" s="3891"/>
      <c r="J456" s="3891"/>
      <c r="K456" s="3891"/>
      <c r="L456" s="3891"/>
      <c r="M456" s="3891"/>
      <c r="N456" s="3891"/>
      <c r="O456" s="3891"/>
      <c r="P456" s="3891"/>
      <c r="Q456" s="3891"/>
      <c r="R456" s="3891"/>
      <c r="S456" s="3891"/>
      <c r="T456" s="3891"/>
      <c r="U456" s="3891"/>
      <c r="V456" s="3891"/>
      <c r="W456" s="3891"/>
      <c r="X456" s="3891"/>
      <c r="Y456" s="3891"/>
      <c r="Z456" s="3891"/>
      <c r="AA456" s="3891"/>
      <c r="AB456" s="3891"/>
      <c r="AC456" s="389">
        <f t="shared" si="242"/>
        <v>0</v>
      </c>
      <c r="AD456" s="5"/>
      <c r="AE456" s="5"/>
      <c r="AF456" s="5"/>
      <c r="AG456" s="5"/>
      <c r="AH456" s="5"/>
      <c r="AI456" s="5"/>
      <c r="AJ456" s="5"/>
      <c r="AK456" s="5"/>
      <c r="AL456" s="5"/>
      <c r="AM456" s="5"/>
      <c r="AN456" s="5"/>
      <c r="AO456" s="5"/>
      <c r="AP456" s="5"/>
      <c r="AQ456" s="5"/>
      <c r="AR456" s="5"/>
      <c r="AS456" s="5"/>
      <c r="AT456" s="20"/>
      <c r="AU456" s="1182"/>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81"/>
      <c r="E457" s="389">
        <f t="shared" si="239"/>
        <v>0</v>
      </c>
      <c r="F457" s="20"/>
      <c r="G457" s="3890">
        <f t="shared" si="240"/>
        <v>0</v>
      </c>
      <c r="H457" s="1282">
        <f t="shared" si="241"/>
        <v>0</v>
      </c>
      <c r="I457" s="3891"/>
      <c r="J457" s="3891"/>
      <c r="K457" s="3891"/>
      <c r="L457" s="3891"/>
      <c r="M457" s="3891"/>
      <c r="N457" s="3891"/>
      <c r="O457" s="3891"/>
      <c r="P457" s="3891"/>
      <c r="Q457" s="3891"/>
      <c r="R457" s="3891"/>
      <c r="S457" s="3891"/>
      <c r="T457" s="3891"/>
      <c r="U457" s="3891"/>
      <c r="V457" s="3891"/>
      <c r="W457" s="3891"/>
      <c r="X457" s="3891"/>
      <c r="Y457" s="3891"/>
      <c r="Z457" s="3891"/>
      <c r="AA457" s="3891"/>
      <c r="AB457" s="3891"/>
      <c r="AC457" s="389">
        <f t="shared" si="242"/>
        <v>0</v>
      </c>
      <c r="AD457" s="5"/>
      <c r="AE457" s="5"/>
      <c r="AF457" s="5"/>
      <c r="AG457" s="5"/>
      <c r="AH457" s="5"/>
      <c r="AI457" s="5"/>
      <c r="AJ457" s="5"/>
      <c r="AK457" s="5"/>
      <c r="AL457" s="5"/>
      <c r="AM457" s="5"/>
      <c r="AN457" s="5"/>
      <c r="AO457" s="5"/>
      <c r="AP457" s="5"/>
      <c r="AQ457" s="5"/>
      <c r="AR457" s="5"/>
      <c r="AS457" s="5"/>
      <c r="AT457" s="20"/>
      <c r="AU457" s="1182"/>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81"/>
      <c r="E458" s="389">
        <f t="shared" si="239"/>
        <v>0</v>
      </c>
      <c r="F458" s="20"/>
      <c r="G458" s="3890">
        <f t="shared" si="240"/>
        <v>0</v>
      </c>
      <c r="H458" s="1282">
        <f t="shared" si="241"/>
        <v>0</v>
      </c>
      <c r="I458" s="3891"/>
      <c r="J458" s="3891"/>
      <c r="K458" s="3891"/>
      <c r="L458" s="3891"/>
      <c r="M458" s="3891"/>
      <c r="N458" s="3891"/>
      <c r="O458" s="3891"/>
      <c r="P458" s="3891"/>
      <c r="Q458" s="3891"/>
      <c r="R458" s="3891"/>
      <c r="S458" s="3891"/>
      <c r="T458" s="3891"/>
      <c r="U458" s="3891"/>
      <c r="V458" s="3891"/>
      <c r="W458" s="3891"/>
      <c r="X458" s="3891"/>
      <c r="Y458" s="3891"/>
      <c r="Z458" s="3891"/>
      <c r="AA458" s="3891"/>
      <c r="AB458" s="3891"/>
      <c r="AC458" s="389">
        <f t="shared" si="242"/>
        <v>0</v>
      </c>
      <c r="AD458" s="5"/>
      <c r="AE458" s="5"/>
      <c r="AF458" s="5"/>
      <c r="AG458" s="5"/>
      <c r="AH458" s="5"/>
      <c r="AI458" s="5"/>
      <c r="AJ458" s="5"/>
      <c r="AK458" s="5"/>
      <c r="AL458" s="5"/>
      <c r="AM458" s="5"/>
      <c r="AN458" s="5"/>
      <c r="AO458" s="5"/>
      <c r="AP458" s="5"/>
      <c r="AQ458" s="5"/>
      <c r="AR458" s="5"/>
      <c r="AS458" s="5"/>
      <c r="AT458" s="20"/>
      <c r="AU458" s="1182"/>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81"/>
      <c r="E459" s="389">
        <f t="shared" si="239"/>
        <v>0</v>
      </c>
      <c r="F459" s="20"/>
      <c r="G459" s="3890">
        <f t="shared" si="240"/>
        <v>0</v>
      </c>
      <c r="H459" s="1282">
        <f t="shared" si="241"/>
        <v>0</v>
      </c>
      <c r="I459" s="3891"/>
      <c r="J459" s="3891"/>
      <c r="K459" s="3891"/>
      <c r="L459" s="3891"/>
      <c r="M459" s="3891"/>
      <c r="N459" s="3891"/>
      <c r="O459" s="3891"/>
      <c r="P459" s="3891"/>
      <c r="Q459" s="3891"/>
      <c r="R459" s="3891"/>
      <c r="S459" s="3891"/>
      <c r="T459" s="3891"/>
      <c r="U459" s="3891"/>
      <c r="V459" s="3891"/>
      <c r="W459" s="3891"/>
      <c r="X459" s="3891"/>
      <c r="Y459" s="3891"/>
      <c r="Z459" s="3891"/>
      <c r="AA459" s="3891"/>
      <c r="AB459" s="3891"/>
      <c r="AC459" s="389">
        <f t="shared" si="242"/>
        <v>0</v>
      </c>
      <c r="AD459" s="5"/>
      <c r="AE459" s="5"/>
      <c r="AF459" s="5"/>
      <c r="AG459" s="5"/>
      <c r="AH459" s="5"/>
      <c r="AI459" s="5"/>
      <c r="AJ459" s="5"/>
      <c r="AK459" s="5"/>
      <c r="AL459" s="5"/>
      <c r="AM459" s="5"/>
      <c r="AN459" s="5"/>
      <c r="AO459" s="5"/>
      <c r="AP459" s="5"/>
      <c r="AQ459" s="5"/>
      <c r="AR459" s="5"/>
      <c r="AS459" s="5"/>
      <c r="AT459" s="20"/>
      <c r="AU459" s="1182"/>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81"/>
      <c r="E460" s="389">
        <f t="shared" si="239"/>
        <v>0</v>
      </c>
      <c r="F460" s="20"/>
      <c r="G460" s="3890">
        <f t="shared" si="240"/>
        <v>0</v>
      </c>
      <c r="H460" s="1282">
        <f t="shared" si="241"/>
        <v>0</v>
      </c>
      <c r="I460" s="3891"/>
      <c r="J460" s="3891"/>
      <c r="K460" s="3891"/>
      <c r="L460" s="3891"/>
      <c r="M460" s="3891"/>
      <c r="N460" s="3891"/>
      <c r="O460" s="3891"/>
      <c r="P460" s="3891"/>
      <c r="Q460" s="3891"/>
      <c r="R460" s="3891"/>
      <c r="S460" s="3891"/>
      <c r="T460" s="3891"/>
      <c r="U460" s="3891"/>
      <c r="V460" s="3891"/>
      <c r="W460" s="3891"/>
      <c r="X460" s="3891"/>
      <c r="Y460" s="3891"/>
      <c r="Z460" s="3891"/>
      <c r="AA460" s="3891"/>
      <c r="AB460" s="3891"/>
      <c r="AC460" s="389">
        <f t="shared" si="242"/>
        <v>0</v>
      </c>
      <c r="AD460" s="5"/>
      <c r="AE460" s="5"/>
      <c r="AF460" s="5"/>
      <c r="AG460" s="5"/>
      <c r="AH460" s="5"/>
      <c r="AI460" s="5"/>
      <c r="AJ460" s="5"/>
      <c r="AK460" s="5"/>
      <c r="AL460" s="5"/>
      <c r="AM460" s="5"/>
      <c r="AN460" s="5"/>
      <c r="AO460" s="5"/>
      <c r="AP460" s="5"/>
      <c r="AQ460" s="5"/>
      <c r="AR460" s="5"/>
      <c r="AS460" s="5"/>
      <c r="AT460" s="20"/>
      <c r="AU460" s="1182"/>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81"/>
      <c r="E461" s="389">
        <f t="shared" si="239"/>
        <v>0</v>
      </c>
      <c r="F461" s="20"/>
      <c r="G461" s="3890">
        <f t="shared" si="240"/>
        <v>0</v>
      </c>
      <c r="H461" s="1282">
        <f t="shared" si="241"/>
        <v>0</v>
      </c>
      <c r="I461" s="3891"/>
      <c r="J461" s="3891"/>
      <c r="K461" s="3891"/>
      <c r="L461" s="3891"/>
      <c r="M461" s="3891"/>
      <c r="N461" s="3891"/>
      <c r="O461" s="3891"/>
      <c r="P461" s="3891"/>
      <c r="Q461" s="3891"/>
      <c r="R461" s="3891"/>
      <c r="S461" s="3891"/>
      <c r="T461" s="3891"/>
      <c r="U461" s="3891"/>
      <c r="V461" s="3891"/>
      <c r="W461" s="3891"/>
      <c r="X461" s="3891"/>
      <c r="Y461" s="3891"/>
      <c r="Z461" s="3891"/>
      <c r="AA461" s="3891"/>
      <c r="AB461" s="3891"/>
      <c r="AC461" s="389">
        <f t="shared" si="242"/>
        <v>0</v>
      </c>
      <c r="AD461" s="5"/>
      <c r="AE461" s="5"/>
      <c r="AF461" s="5"/>
      <c r="AG461" s="5"/>
      <c r="AH461" s="5"/>
      <c r="AI461" s="5"/>
      <c r="AJ461" s="5"/>
      <c r="AK461" s="5"/>
      <c r="AL461" s="5"/>
      <c r="AM461" s="5"/>
      <c r="AN461" s="5"/>
      <c r="AO461" s="5"/>
      <c r="AP461" s="5"/>
      <c r="AQ461" s="5"/>
      <c r="AR461" s="5"/>
      <c r="AS461" s="5"/>
      <c r="AT461" s="20"/>
      <c r="AU461" s="1182"/>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81"/>
      <c r="E462" s="389">
        <f t="shared" si="239"/>
        <v>0</v>
      </c>
      <c r="F462" s="20"/>
      <c r="G462" s="3890">
        <f t="shared" si="240"/>
        <v>0</v>
      </c>
      <c r="H462" s="1282">
        <f t="shared" si="241"/>
        <v>0</v>
      </c>
      <c r="I462" s="3891"/>
      <c r="J462" s="3891"/>
      <c r="K462" s="3891"/>
      <c r="L462" s="3891"/>
      <c r="M462" s="3891"/>
      <c r="N462" s="3891"/>
      <c r="O462" s="3891"/>
      <c r="P462" s="3891"/>
      <c r="Q462" s="3891"/>
      <c r="R462" s="3891"/>
      <c r="S462" s="3891"/>
      <c r="T462" s="3891"/>
      <c r="U462" s="3891"/>
      <c r="V462" s="3891"/>
      <c r="W462" s="3891"/>
      <c r="X462" s="3891"/>
      <c r="Y462" s="3891"/>
      <c r="Z462" s="3891"/>
      <c r="AA462" s="3891"/>
      <c r="AB462" s="3891"/>
      <c r="AC462" s="389">
        <f t="shared" si="242"/>
        <v>0</v>
      </c>
      <c r="AD462" s="5"/>
      <c r="AE462" s="5"/>
      <c r="AF462" s="5"/>
      <c r="AG462" s="5"/>
      <c r="AH462" s="5"/>
      <c r="AI462" s="5"/>
      <c r="AJ462" s="5"/>
      <c r="AK462" s="5"/>
      <c r="AL462" s="5"/>
      <c r="AM462" s="5"/>
      <c r="AN462" s="5"/>
      <c r="AO462" s="5"/>
      <c r="AP462" s="5"/>
      <c r="AQ462" s="5"/>
      <c r="AR462" s="5"/>
      <c r="AS462" s="5"/>
      <c r="AT462" s="20"/>
      <c r="AU462" s="1182"/>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81"/>
      <c r="E463" s="389">
        <f t="shared" si="239"/>
        <v>0</v>
      </c>
      <c r="F463" s="20"/>
      <c r="G463" s="3890">
        <f t="shared" si="240"/>
        <v>0</v>
      </c>
      <c r="H463" s="1282">
        <f t="shared" si="241"/>
        <v>0</v>
      </c>
      <c r="I463" s="3891"/>
      <c r="J463" s="3891"/>
      <c r="K463" s="3891"/>
      <c r="L463" s="3891"/>
      <c r="M463" s="3891"/>
      <c r="N463" s="3891"/>
      <c r="O463" s="3891"/>
      <c r="P463" s="3891"/>
      <c r="Q463" s="3891"/>
      <c r="R463" s="3891"/>
      <c r="S463" s="3891"/>
      <c r="T463" s="3891"/>
      <c r="U463" s="3891"/>
      <c r="V463" s="3891"/>
      <c r="W463" s="3891"/>
      <c r="X463" s="3891"/>
      <c r="Y463" s="3891"/>
      <c r="Z463" s="3891"/>
      <c r="AA463" s="3891"/>
      <c r="AB463" s="3891"/>
      <c r="AC463" s="389">
        <f t="shared" si="242"/>
        <v>0</v>
      </c>
      <c r="AD463" s="5"/>
      <c r="AE463" s="5"/>
      <c r="AF463" s="5"/>
      <c r="AG463" s="5"/>
      <c r="AH463" s="5"/>
      <c r="AI463" s="5"/>
      <c r="AJ463" s="5"/>
      <c r="AK463" s="5"/>
      <c r="AL463" s="5"/>
      <c r="AM463" s="5"/>
      <c r="AN463" s="5"/>
      <c r="AO463" s="5"/>
      <c r="AP463" s="5"/>
      <c r="AQ463" s="5"/>
      <c r="AR463" s="5"/>
      <c r="AS463" s="5"/>
      <c r="AT463" s="20"/>
      <c r="AU463" s="1182"/>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81"/>
      <c r="E464" s="389">
        <f t="shared" si="239"/>
        <v>0</v>
      </c>
      <c r="F464" s="20"/>
      <c r="G464" s="3890">
        <f t="shared" si="240"/>
        <v>0</v>
      </c>
      <c r="H464" s="1282">
        <f t="shared" si="241"/>
        <v>0</v>
      </c>
      <c r="I464" s="3891"/>
      <c r="J464" s="3891"/>
      <c r="K464" s="3891"/>
      <c r="L464" s="3891"/>
      <c r="M464" s="3891"/>
      <c r="N464" s="3891"/>
      <c r="O464" s="3891"/>
      <c r="P464" s="3891"/>
      <c r="Q464" s="3891"/>
      <c r="R464" s="3891"/>
      <c r="S464" s="3891"/>
      <c r="T464" s="3891"/>
      <c r="U464" s="3891"/>
      <c r="V464" s="3891"/>
      <c r="W464" s="3891"/>
      <c r="X464" s="3891"/>
      <c r="Y464" s="3891"/>
      <c r="Z464" s="3891"/>
      <c r="AA464" s="3891"/>
      <c r="AB464" s="3891"/>
      <c r="AC464" s="389">
        <f t="shared" si="242"/>
        <v>0</v>
      </c>
      <c r="AD464" s="5"/>
      <c r="AE464" s="5"/>
      <c r="AF464" s="5"/>
      <c r="AG464" s="5"/>
      <c r="AH464" s="5"/>
      <c r="AI464" s="5"/>
      <c r="AJ464" s="5"/>
      <c r="AK464" s="5"/>
      <c r="AL464" s="5"/>
      <c r="AM464" s="5"/>
      <c r="AN464" s="5"/>
      <c r="AO464" s="5"/>
      <c r="AP464" s="5"/>
      <c r="AQ464" s="5"/>
      <c r="AR464" s="5"/>
      <c r="AS464" s="5"/>
      <c r="AT464" s="20"/>
      <c r="AU464" s="1182"/>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81"/>
      <c r="E465" s="389">
        <f t="shared" si="239"/>
        <v>0</v>
      </c>
      <c r="F465" s="20"/>
      <c r="G465" s="3890">
        <f t="shared" si="240"/>
        <v>0</v>
      </c>
      <c r="H465" s="1282">
        <f t="shared" si="241"/>
        <v>0</v>
      </c>
      <c r="I465" s="3891"/>
      <c r="J465" s="3891"/>
      <c r="K465" s="3891"/>
      <c r="L465" s="3891"/>
      <c r="M465" s="3891"/>
      <c r="N465" s="3891"/>
      <c r="O465" s="3891"/>
      <c r="P465" s="3891"/>
      <c r="Q465" s="3891"/>
      <c r="R465" s="3891"/>
      <c r="S465" s="3891"/>
      <c r="T465" s="3891"/>
      <c r="U465" s="3891"/>
      <c r="V465" s="3891"/>
      <c r="W465" s="3891"/>
      <c r="X465" s="3891"/>
      <c r="Y465" s="3891"/>
      <c r="Z465" s="3891"/>
      <c r="AA465" s="3891"/>
      <c r="AB465" s="3891"/>
      <c r="AC465" s="389">
        <f t="shared" si="242"/>
        <v>0</v>
      </c>
      <c r="AD465" s="5"/>
      <c r="AE465" s="5"/>
      <c r="AF465" s="5"/>
      <c r="AG465" s="5"/>
      <c r="AH465" s="5"/>
      <c r="AI465" s="5"/>
      <c r="AJ465" s="5"/>
      <c r="AK465" s="5"/>
      <c r="AL465" s="5"/>
      <c r="AM465" s="5"/>
      <c r="AN465" s="5"/>
      <c r="AO465" s="5"/>
      <c r="AP465" s="5"/>
      <c r="AQ465" s="5"/>
      <c r="AR465" s="5"/>
      <c r="AS465" s="5"/>
      <c r="AT465" s="20"/>
      <c r="AU465" s="1182"/>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81"/>
      <c r="E466" s="389">
        <f t="shared" si="239"/>
        <v>0</v>
      </c>
      <c r="F466" s="20"/>
      <c r="G466" s="3890">
        <f t="shared" si="240"/>
        <v>0</v>
      </c>
      <c r="H466" s="1282">
        <f t="shared" si="241"/>
        <v>0</v>
      </c>
      <c r="I466" s="3891"/>
      <c r="J466" s="3891"/>
      <c r="K466" s="3891"/>
      <c r="L466" s="3891"/>
      <c r="M466" s="3891"/>
      <c r="N466" s="3891"/>
      <c r="O466" s="3891"/>
      <c r="P466" s="3891"/>
      <c r="Q466" s="3891"/>
      <c r="R466" s="3891"/>
      <c r="S466" s="3891"/>
      <c r="T466" s="3891"/>
      <c r="U466" s="3891"/>
      <c r="V466" s="3891"/>
      <c r="W466" s="3891"/>
      <c r="X466" s="3891"/>
      <c r="Y466" s="3891"/>
      <c r="Z466" s="3891"/>
      <c r="AA466" s="3891"/>
      <c r="AB466" s="3891"/>
      <c r="AC466" s="389">
        <f t="shared" si="242"/>
        <v>0</v>
      </c>
      <c r="AD466" s="5"/>
      <c r="AE466" s="5"/>
      <c r="AF466" s="5"/>
      <c r="AG466" s="5"/>
      <c r="AH466" s="5"/>
      <c r="AI466" s="5"/>
      <c r="AJ466" s="5"/>
      <c r="AK466" s="5"/>
      <c r="AL466" s="5"/>
      <c r="AM466" s="5"/>
      <c r="AN466" s="5"/>
      <c r="AO466" s="5"/>
      <c r="AP466" s="5"/>
      <c r="AQ466" s="5"/>
      <c r="AR466" s="5"/>
      <c r="AS466" s="5"/>
      <c r="AT466" s="20"/>
      <c r="AU466" s="1182"/>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81"/>
      <c r="E467" s="389">
        <f t="shared" si="239"/>
        <v>0</v>
      </c>
      <c r="F467" s="20"/>
      <c r="G467" s="3890">
        <f t="shared" si="240"/>
        <v>0</v>
      </c>
      <c r="H467" s="1282">
        <f t="shared" si="241"/>
        <v>0</v>
      </c>
      <c r="I467" s="3891"/>
      <c r="J467" s="3891"/>
      <c r="K467" s="3891"/>
      <c r="L467" s="3891"/>
      <c r="M467" s="3891"/>
      <c r="N467" s="3891"/>
      <c r="O467" s="3891"/>
      <c r="P467" s="3891"/>
      <c r="Q467" s="3891"/>
      <c r="R467" s="3891"/>
      <c r="S467" s="3891"/>
      <c r="T467" s="3891"/>
      <c r="U467" s="3891"/>
      <c r="V467" s="3891"/>
      <c r="W467" s="3891"/>
      <c r="X467" s="3891"/>
      <c r="Y467" s="3891"/>
      <c r="Z467" s="3891"/>
      <c r="AA467" s="3891"/>
      <c r="AB467" s="3891"/>
      <c r="AC467" s="389">
        <f t="shared" si="242"/>
        <v>0</v>
      </c>
      <c r="AD467" s="5"/>
      <c r="AE467" s="5"/>
      <c r="AF467" s="5"/>
      <c r="AG467" s="5"/>
      <c r="AH467" s="5"/>
      <c r="AI467" s="5"/>
      <c r="AJ467" s="5"/>
      <c r="AK467" s="5"/>
      <c r="AL467" s="5"/>
      <c r="AM467" s="5"/>
      <c r="AN467" s="5"/>
      <c r="AO467" s="5"/>
      <c r="AP467" s="5"/>
      <c r="AQ467" s="5"/>
      <c r="AR467" s="5"/>
      <c r="AS467" s="5"/>
      <c r="AT467" s="20"/>
      <c r="AU467" s="1182"/>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81"/>
      <c r="E468" s="389">
        <f t="shared" si="239"/>
        <v>0</v>
      </c>
      <c r="F468" s="20"/>
      <c r="G468" s="3890">
        <f t="shared" si="240"/>
        <v>0</v>
      </c>
      <c r="H468" s="1282">
        <f t="shared" si="241"/>
        <v>0</v>
      </c>
      <c r="I468" s="3891"/>
      <c r="J468" s="3891"/>
      <c r="K468" s="3891"/>
      <c r="L468" s="3891"/>
      <c r="M468" s="3891"/>
      <c r="N468" s="3891"/>
      <c r="O468" s="3891"/>
      <c r="P468" s="3891"/>
      <c r="Q468" s="3891"/>
      <c r="R468" s="3891"/>
      <c r="S468" s="3891"/>
      <c r="T468" s="3891"/>
      <c r="U468" s="3891"/>
      <c r="V468" s="3891"/>
      <c r="W468" s="3891"/>
      <c r="X468" s="3891"/>
      <c r="Y468" s="3891"/>
      <c r="Z468" s="3891"/>
      <c r="AA468" s="3891"/>
      <c r="AB468" s="3891"/>
      <c r="AC468" s="389">
        <f t="shared" si="242"/>
        <v>0</v>
      </c>
      <c r="AD468" s="5"/>
      <c r="AE468" s="5"/>
      <c r="AF468" s="5"/>
      <c r="AG468" s="5"/>
      <c r="AH468" s="5"/>
      <c r="AI468" s="5"/>
      <c r="AJ468" s="5"/>
      <c r="AK468" s="5"/>
      <c r="AL468" s="5"/>
      <c r="AM468" s="5"/>
      <c r="AN468" s="5"/>
      <c r="AO468" s="5"/>
      <c r="AP468" s="5"/>
      <c r="AQ468" s="5"/>
      <c r="AR468" s="5"/>
      <c r="AS468" s="5"/>
      <c r="AT468" s="20"/>
      <c r="AU468" s="1182"/>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81"/>
      <c r="E469" s="389">
        <f t="shared" si="239"/>
        <v>0</v>
      </c>
      <c r="F469" s="20"/>
      <c r="G469" s="3890">
        <f t="shared" si="240"/>
        <v>0</v>
      </c>
      <c r="H469" s="1282">
        <f t="shared" si="241"/>
        <v>0</v>
      </c>
      <c r="I469" s="3891"/>
      <c r="J469" s="3891"/>
      <c r="K469" s="3891"/>
      <c r="L469" s="3891"/>
      <c r="M469" s="3891"/>
      <c r="N469" s="3891"/>
      <c r="O469" s="3891"/>
      <c r="P469" s="3891"/>
      <c r="Q469" s="3891"/>
      <c r="R469" s="3891"/>
      <c r="S469" s="3891"/>
      <c r="T469" s="3891"/>
      <c r="U469" s="3891"/>
      <c r="V469" s="3891"/>
      <c r="W469" s="3891"/>
      <c r="X469" s="3891"/>
      <c r="Y469" s="3891"/>
      <c r="Z469" s="3891"/>
      <c r="AA469" s="3891"/>
      <c r="AB469" s="3891"/>
      <c r="AC469" s="389">
        <f t="shared" si="242"/>
        <v>0</v>
      </c>
      <c r="AD469" s="5"/>
      <c r="AE469" s="5"/>
      <c r="AF469" s="5"/>
      <c r="AG469" s="5"/>
      <c r="AH469" s="5"/>
      <c r="AI469" s="5"/>
      <c r="AJ469" s="5"/>
      <c r="AK469" s="5"/>
      <c r="AL469" s="5"/>
      <c r="AM469" s="5"/>
      <c r="AN469" s="5"/>
      <c r="AO469" s="5"/>
      <c r="AP469" s="5"/>
      <c r="AQ469" s="5"/>
      <c r="AR469" s="5"/>
      <c r="AS469" s="5"/>
      <c r="AT469" s="20"/>
      <c r="AU469" s="1182"/>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81"/>
      <c r="E470" s="389">
        <f t="shared" si="239"/>
        <v>0</v>
      </c>
      <c r="F470" s="20"/>
      <c r="G470" s="3890">
        <f t="shared" si="240"/>
        <v>0</v>
      </c>
      <c r="H470" s="1282">
        <f t="shared" si="241"/>
        <v>0</v>
      </c>
      <c r="I470" s="3891"/>
      <c r="J470" s="3891"/>
      <c r="K470" s="3891"/>
      <c r="L470" s="3891"/>
      <c r="M470" s="3891"/>
      <c r="N470" s="3891"/>
      <c r="O470" s="3891"/>
      <c r="P470" s="3891"/>
      <c r="Q470" s="3891"/>
      <c r="R470" s="3891"/>
      <c r="S470" s="3891"/>
      <c r="T470" s="3891"/>
      <c r="U470" s="3891"/>
      <c r="V470" s="3891"/>
      <c r="W470" s="3891"/>
      <c r="X470" s="3891"/>
      <c r="Y470" s="3891"/>
      <c r="Z470" s="3891"/>
      <c r="AA470" s="3891"/>
      <c r="AB470" s="3891"/>
      <c r="AC470" s="389">
        <f t="shared" si="242"/>
        <v>0</v>
      </c>
      <c r="AD470" s="5"/>
      <c r="AE470" s="5"/>
      <c r="AF470" s="5"/>
      <c r="AG470" s="5"/>
      <c r="AH470" s="5"/>
      <c r="AI470" s="5"/>
      <c r="AJ470" s="5"/>
      <c r="AK470" s="5"/>
      <c r="AL470" s="5"/>
      <c r="AM470" s="5"/>
      <c r="AN470" s="5"/>
      <c r="AO470" s="5"/>
      <c r="AP470" s="5"/>
      <c r="AQ470" s="5"/>
      <c r="AR470" s="5"/>
      <c r="AS470" s="5"/>
      <c r="AT470" s="20"/>
      <c r="AU470" s="1182"/>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81"/>
      <c r="E471" s="389">
        <f t="shared" si="239"/>
        <v>0</v>
      </c>
      <c r="F471" s="20"/>
      <c r="G471" s="3890">
        <f t="shared" si="240"/>
        <v>0</v>
      </c>
      <c r="H471" s="1282">
        <f t="shared" si="241"/>
        <v>0</v>
      </c>
      <c r="I471" s="3891"/>
      <c r="J471" s="3891"/>
      <c r="K471" s="3891"/>
      <c r="L471" s="3891"/>
      <c r="M471" s="3891"/>
      <c r="N471" s="3891"/>
      <c r="O471" s="3891"/>
      <c r="P471" s="3891"/>
      <c r="Q471" s="3891"/>
      <c r="R471" s="3891"/>
      <c r="S471" s="3891"/>
      <c r="T471" s="3891"/>
      <c r="U471" s="3891"/>
      <c r="V471" s="3891"/>
      <c r="W471" s="3891"/>
      <c r="X471" s="3891"/>
      <c r="Y471" s="3891"/>
      <c r="Z471" s="3891"/>
      <c r="AA471" s="3891"/>
      <c r="AB471" s="3891"/>
      <c r="AC471" s="389">
        <f t="shared" si="242"/>
        <v>0</v>
      </c>
      <c r="AD471" s="5"/>
      <c r="AE471" s="5"/>
      <c r="AF471" s="5"/>
      <c r="AG471" s="5"/>
      <c r="AH471" s="5"/>
      <c r="AI471" s="5"/>
      <c r="AJ471" s="5"/>
      <c r="AK471" s="5"/>
      <c r="AL471" s="5"/>
      <c r="AM471" s="5"/>
      <c r="AN471" s="5"/>
      <c r="AO471" s="5"/>
      <c r="AP471" s="5"/>
      <c r="AQ471" s="5"/>
      <c r="AR471" s="5"/>
      <c r="AS471" s="5"/>
      <c r="AT471" s="20"/>
      <c r="AU471" s="1182"/>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81"/>
      <c r="E472" s="389">
        <f t="shared" si="239"/>
        <v>0</v>
      </c>
      <c r="F472" s="20"/>
      <c r="G472" s="3890">
        <f t="shared" si="240"/>
        <v>0</v>
      </c>
      <c r="H472" s="1282">
        <f t="shared" si="241"/>
        <v>0</v>
      </c>
      <c r="I472" s="3891"/>
      <c r="J472" s="3891"/>
      <c r="K472" s="3891"/>
      <c r="L472" s="3891"/>
      <c r="M472" s="3891"/>
      <c r="N472" s="3891"/>
      <c r="O472" s="3891"/>
      <c r="P472" s="3891"/>
      <c r="Q472" s="3891"/>
      <c r="R472" s="3891"/>
      <c r="S472" s="3891"/>
      <c r="T472" s="3891"/>
      <c r="U472" s="3891"/>
      <c r="V472" s="3891"/>
      <c r="W472" s="3891"/>
      <c r="X472" s="3891"/>
      <c r="Y472" s="3891"/>
      <c r="Z472" s="3891"/>
      <c r="AA472" s="3891"/>
      <c r="AB472" s="3891"/>
      <c r="AC472" s="389">
        <f t="shared" si="242"/>
        <v>0</v>
      </c>
      <c r="AD472" s="5"/>
      <c r="AE472" s="5"/>
      <c r="AF472" s="5"/>
      <c r="AG472" s="5"/>
      <c r="AH472" s="5"/>
      <c r="AI472" s="5"/>
      <c r="AJ472" s="5"/>
      <c r="AK472" s="5"/>
      <c r="AL472" s="5"/>
      <c r="AM472" s="5"/>
      <c r="AN472" s="5"/>
      <c r="AO472" s="5"/>
      <c r="AP472" s="5"/>
      <c r="AQ472" s="5"/>
      <c r="AR472" s="5"/>
      <c r="AS472" s="5"/>
      <c r="AT472" s="20"/>
      <c r="AU472" s="1182"/>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81"/>
      <c r="E473" s="389">
        <f t="shared" si="239"/>
        <v>0</v>
      </c>
      <c r="F473" s="20"/>
      <c r="G473" s="3890">
        <f t="shared" si="240"/>
        <v>0</v>
      </c>
      <c r="H473" s="1282">
        <f t="shared" si="241"/>
        <v>0</v>
      </c>
      <c r="I473" s="3891"/>
      <c r="J473" s="3891"/>
      <c r="K473" s="3891"/>
      <c r="L473" s="3891"/>
      <c r="M473" s="3891"/>
      <c r="N473" s="3891"/>
      <c r="O473" s="3891"/>
      <c r="P473" s="3891"/>
      <c r="Q473" s="3891"/>
      <c r="R473" s="3891"/>
      <c r="S473" s="3891"/>
      <c r="T473" s="3891"/>
      <c r="U473" s="3891"/>
      <c r="V473" s="3891"/>
      <c r="W473" s="3891"/>
      <c r="X473" s="3891"/>
      <c r="Y473" s="3891"/>
      <c r="Z473" s="3891"/>
      <c r="AA473" s="3891"/>
      <c r="AB473" s="3891"/>
      <c r="AC473" s="389">
        <f t="shared" si="242"/>
        <v>0</v>
      </c>
      <c r="AD473" s="5"/>
      <c r="AE473" s="5"/>
      <c r="AF473" s="5"/>
      <c r="AG473" s="5"/>
      <c r="AH473" s="5"/>
      <c r="AI473" s="5"/>
      <c r="AJ473" s="5"/>
      <c r="AK473" s="5"/>
      <c r="AL473" s="5"/>
      <c r="AM473" s="5"/>
      <c r="AN473" s="5"/>
      <c r="AO473" s="5"/>
      <c r="AP473" s="5"/>
      <c r="AQ473" s="5"/>
      <c r="AR473" s="5"/>
      <c r="AS473" s="5"/>
      <c r="AT473" s="20"/>
      <c r="AU473" s="1182"/>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81"/>
      <c r="E474" s="389">
        <f t="shared" si="239"/>
        <v>0</v>
      </c>
      <c r="F474" s="20"/>
      <c r="G474" s="3890">
        <f t="shared" si="240"/>
        <v>0</v>
      </c>
      <c r="H474" s="1282">
        <f t="shared" si="241"/>
        <v>0</v>
      </c>
      <c r="I474" s="3891"/>
      <c r="J474" s="3891"/>
      <c r="K474" s="3891"/>
      <c r="L474" s="3891"/>
      <c r="M474" s="3891"/>
      <c r="N474" s="3891"/>
      <c r="O474" s="3891"/>
      <c r="P474" s="3891"/>
      <c r="Q474" s="3891"/>
      <c r="R474" s="3891"/>
      <c r="S474" s="3891"/>
      <c r="T474" s="3891"/>
      <c r="U474" s="3891"/>
      <c r="V474" s="3891"/>
      <c r="W474" s="3891"/>
      <c r="X474" s="3891"/>
      <c r="Y474" s="3891"/>
      <c r="Z474" s="3891"/>
      <c r="AA474" s="3891"/>
      <c r="AB474" s="3891"/>
      <c r="AC474" s="389">
        <f t="shared" si="242"/>
        <v>0</v>
      </c>
      <c r="AD474" s="5"/>
      <c r="AE474" s="5"/>
      <c r="AF474" s="5"/>
      <c r="AG474" s="5"/>
      <c r="AH474" s="5"/>
      <c r="AI474" s="5"/>
      <c r="AJ474" s="5"/>
      <c r="AK474" s="5"/>
      <c r="AL474" s="5"/>
      <c r="AM474" s="5"/>
      <c r="AN474" s="5"/>
      <c r="AO474" s="5"/>
      <c r="AP474" s="5"/>
      <c r="AQ474" s="5"/>
      <c r="AR474" s="5"/>
      <c r="AS474" s="5"/>
      <c r="AT474" s="20"/>
      <c r="AU474" s="1182"/>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81"/>
      <c r="E475" s="389">
        <f t="shared" si="239"/>
        <v>0</v>
      </c>
      <c r="F475" s="20"/>
      <c r="G475" s="3890">
        <f t="shared" si="240"/>
        <v>0</v>
      </c>
      <c r="H475" s="1282">
        <f t="shared" si="241"/>
        <v>0</v>
      </c>
      <c r="I475" s="3891"/>
      <c r="J475" s="3891"/>
      <c r="K475" s="3891"/>
      <c r="L475" s="3891"/>
      <c r="M475" s="3891"/>
      <c r="N475" s="3891"/>
      <c r="O475" s="3891"/>
      <c r="P475" s="3891"/>
      <c r="Q475" s="3891"/>
      <c r="R475" s="3891"/>
      <c r="S475" s="3891"/>
      <c r="T475" s="3891"/>
      <c r="U475" s="3891"/>
      <c r="V475" s="3891"/>
      <c r="W475" s="3891"/>
      <c r="X475" s="3891"/>
      <c r="Y475" s="3891"/>
      <c r="Z475" s="3891"/>
      <c r="AA475" s="3891"/>
      <c r="AB475" s="3891"/>
      <c r="AC475" s="389">
        <f t="shared" si="242"/>
        <v>0</v>
      </c>
      <c r="AD475" s="5"/>
      <c r="AE475" s="5"/>
      <c r="AF475" s="5"/>
      <c r="AG475" s="5"/>
      <c r="AH475" s="5"/>
      <c r="AI475" s="5"/>
      <c r="AJ475" s="5"/>
      <c r="AK475" s="5"/>
      <c r="AL475" s="5"/>
      <c r="AM475" s="5"/>
      <c r="AN475" s="5"/>
      <c r="AO475" s="5"/>
      <c r="AP475" s="5"/>
      <c r="AQ475" s="5"/>
      <c r="AR475" s="5"/>
      <c r="AS475" s="5"/>
      <c r="AT475" s="20"/>
      <c r="AU475" s="1182"/>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81"/>
      <c r="E476" s="389">
        <f t="shared" si="239"/>
        <v>0</v>
      </c>
      <c r="F476" s="20"/>
      <c r="G476" s="3890">
        <f t="shared" si="240"/>
        <v>0</v>
      </c>
      <c r="H476" s="1282">
        <f t="shared" si="241"/>
        <v>0</v>
      </c>
      <c r="I476" s="3891"/>
      <c r="J476" s="3891"/>
      <c r="K476" s="3891"/>
      <c r="L476" s="3891"/>
      <c r="M476" s="3891"/>
      <c r="N476" s="3891"/>
      <c r="O476" s="3891"/>
      <c r="P476" s="3891"/>
      <c r="Q476" s="3891"/>
      <c r="R476" s="3891"/>
      <c r="S476" s="3891"/>
      <c r="T476" s="3891"/>
      <c r="U476" s="3891"/>
      <c r="V476" s="3891"/>
      <c r="W476" s="3891"/>
      <c r="X476" s="3891"/>
      <c r="Y476" s="3891"/>
      <c r="Z476" s="3891"/>
      <c r="AA476" s="3891"/>
      <c r="AB476" s="3891"/>
      <c r="AC476" s="389">
        <f t="shared" si="242"/>
        <v>0</v>
      </c>
      <c r="AD476" s="5"/>
      <c r="AE476" s="5"/>
      <c r="AF476" s="5"/>
      <c r="AG476" s="5"/>
      <c r="AH476" s="5"/>
      <c r="AI476" s="5"/>
      <c r="AJ476" s="5"/>
      <c r="AK476" s="5"/>
      <c r="AL476" s="5"/>
      <c r="AM476" s="5"/>
      <c r="AN476" s="5"/>
      <c r="AO476" s="5"/>
      <c r="AP476" s="5"/>
      <c r="AQ476" s="5"/>
      <c r="AR476" s="5"/>
      <c r="AS476" s="5"/>
      <c r="AT476" s="20"/>
      <c r="AU476" s="1182"/>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81"/>
      <c r="E477" s="389">
        <f t="shared" si="239"/>
        <v>0</v>
      </c>
      <c r="F477" s="20"/>
      <c r="G477" s="3890">
        <f t="shared" si="240"/>
        <v>0</v>
      </c>
      <c r="H477" s="1282">
        <f t="shared" si="241"/>
        <v>0</v>
      </c>
      <c r="I477" s="3891"/>
      <c r="J477" s="3891"/>
      <c r="K477" s="3891"/>
      <c r="L477" s="3891"/>
      <c r="M477" s="3891"/>
      <c r="N477" s="3891"/>
      <c r="O477" s="3891"/>
      <c r="P477" s="3891"/>
      <c r="Q477" s="3891"/>
      <c r="R477" s="3891"/>
      <c r="S477" s="3891"/>
      <c r="T477" s="3891"/>
      <c r="U477" s="3891"/>
      <c r="V477" s="3891"/>
      <c r="W477" s="3891"/>
      <c r="X477" s="3891"/>
      <c r="Y477" s="3891"/>
      <c r="Z477" s="3891"/>
      <c r="AA477" s="3891"/>
      <c r="AB477" s="3891"/>
      <c r="AC477" s="389">
        <f t="shared" si="242"/>
        <v>0</v>
      </c>
      <c r="AD477" s="5"/>
      <c r="AE477" s="5"/>
      <c r="AF477" s="5"/>
      <c r="AG477" s="5"/>
      <c r="AH477" s="5"/>
      <c r="AI477" s="5"/>
      <c r="AJ477" s="5"/>
      <c r="AK477" s="5"/>
      <c r="AL477" s="5"/>
      <c r="AM477" s="5"/>
      <c r="AN477" s="5"/>
      <c r="AO477" s="5"/>
      <c r="AP477" s="5"/>
      <c r="AQ477" s="5"/>
      <c r="AR477" s="5"/>
      <c r="AS477" s="5"/>
      <c r="AT477" s="20"/>
      <c r="AU477" s="1182"/>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81"/>
      <c r="E478" s="389">
        <f t="shared" si="239"/>
        <v>0</v>
      </c>
      <c r="F478" s="20"/>
      <c r="G478" s="3890">
        <f t="shared" si="240"/>
        <v>0</v>
      </c>
      <c r="H478" s="1282">
        <f t="shared" si="241"/>
        <v>0</v>
      </c>
      <c r="I478" s="3891"/>
      <c r="J478" s="3891"/>
      <c r="K478" s="3891"/>
      <c r="L478" s="3891"/>
      <c r="M478" s="3891"/>
      <c r="N478" s="3891"/>
      <c r="O478" s="3891"/>
      <c r="P478" s="3891"/>
      <c r="Q478" s="3891"/>
      <c r="R478" s="3891"/>
      <c r="S478" s="3891"/>
      <c r="T478" s="3891"/>
      <c r="U478" s="3891"/>
      <c r="V478" s="3891"/>
      <c r="W478" s="3891"/>
      <c r="X478" s="3891"/>
      <c r="Y478" s="3891"/>
      <c r="Z478" s="3891"/>
      <c r="AA478" s="3891"/>
      <c r="AB478" s="3891"/>
      <c r="AC478" s="389">
        <f t="shared" si="242"/>
        <v>0</v>
      </c>
      <c r="AD478" s="5"/>
      <c r="AE478" s="5"/>
      <c r="AF478" s="5"/>
      <c r="AG478" s="5"/>
      <c r="AH478" s="5"/>
      <c r="AI478" s="5"/>
      <c r="AJ478" s="5"/>
      <c r="AK478" s="5"/>
      <c r="AL478" s="5"/>
      <c r="AM478" s="5"/>
      <c r="AN478" s="5"/>
      <c r="AO478" s="5"/>
      <c r="AP478" s="5"/>
      <c r="AQ478" s="5"/>
      <c r="AR478" s="5"/>
      <c r="AS478" s="5"/>
      <c r="AT478" s="20"/>
      <c r="AU478" s="1182"/>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81"/>
      <c r="E479" s="389">
        <f t="shared" si="239"/>
        <v>0</v>
      </c>
      <c r="F479" s="20"/>
      <c r="G479" s="3890">
        <f t="shared" si="240"/>
        <v>0</v>
      </c>
      <c r="H479" s="1282">
        <f t="shared" si="241"/>
        <v>0</v>
      </c>
      <c r="I479" s="3891"/>
      <c r="J479" s="3891"/>
      <c r="K479" s="3891"/>
      <c r="L479" s="3891"/>
      <c r="M479" s="3891"/>
      <c r="N479" s="3891"/>
      <c r="O479" s="3891"/>
      <c r="P479" s="3891"/>
      <c r="Q479" s="3891"/>
      <c r="R479" s="3891"/>
      <c r="S479" s="3891"/>
      <c r="T479" s="3891"/>
      <c r="U479" s="3891"/>
      <c r="V479" s="3891"/>
      <c r="W479" s="3891"/>
      <c r="X479" s="3891"/>
      <c r="Y479" s="3891"/>
      <c r="Z479" s="3891"/>
      <c r="AA479" s="3891"/>
      <c r="AB479" s="3891"/>
      <c r="AC479" s="389">
        <f t="shared" si="242"/>
        <v>0</v>
      </c>
      <c r="AD479" s="5"/>
      <c r="AE479" s="5"/>
      <c r="AF479" s="5"/>
      <c r="AG479" s="5"/>
      <c r="AH479" s="5"/>
      <c r="AI479" s="5"/>
      <c r="AJ479" s="5"/>
      <c r="AK479" s="5"/>
      <c r="AL479" s="5"/>
      <c r="AM479" s="5"/>
      <c r="AN479" s="5"/>
      <c r="AO479" s="5"/>
      <c r="AP479" s="5"/>
      <c r="AQ479" s="5"/>
      <c r="AR479" s="5"/>
      <c r="AS479" s="5"/>
      <c r="AT479" s="20"/>
      <c r="AU479" s="1182"/>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81"/>
      <c r="E480" s="389">
        <f t="shared" si="239"/>
        <v>0</v>
      </c>
      <c r="F480" s="20"/>
      <c r="G480" s="3890">
        <f t="shared" si="240"/>
        <v>0</v>
      </c>
      <c r="H480" s="1282">
        <f t="shared" si="241"/>
        <v>0</v>
      </c>
      <c r="I480" s="3891"/>
      <c r="J480" s="3891"/>
      <c r="K480" s="3891"/>
      <c r="L480" s="3891"/>
      <c r="M480" s="3891"/>
      <c r="N480" s="3891"/>
      <c r="O480" s="3891"/>
      <c r="P480" s="3891"/>
      <c r="Q480" s="3891"/>
      <c r="R480" s="3891"/>
      <c r="S480" s="3891"/>
      <c r="T480" s="3891"/>
      <c r="U480" s="3891"/>
      <c r="V480" s="3891"/>
      <c r="W480" s="3891"/>
      <c r="X480" s="3891"/>
      <c r="Y480" s="3891"/>
      <c r="Z480" s="3891"/>
      <c r="AA480" s="3891"/>
      <c r="AB480" s="3891"/>
      <c r="AC480" s="389">
        <f t="shared" si="242"/>
        <v>0</v>
      </c>
      <c r="AD480" s="5"/>
      <c r="AE480" s="5"/>
      <c r="AF480" s="5"/>
      <c r="AG480" s="5"/>
      <c r="AH480" s="5"/>
      <c r="AI480" s="5"/>
      <c r="AJ480" s="5"/>
      <c r="AK480" s="5"/>
      <c r="AL480" s="5"/>
      <c r="AM480" s="5"/>
      <c r="AN480" s="5"/>
      <c r="AO480" s="5"/>
      <c r="AP480" s="5"/>
      <c r="AQ480" s="5"/>
      <c r="AR480" s="5"/>
      <c r="AS480" s="5"/>
      <c r="AT480" s="20"/>
      <c r="AU480" s="1182"/>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81"/>
      <c r="E481" s="389">
        <f t="shared" si="239"/>
        <v>0</v>
      </c>
      <c r="F481" s="20"/>
      <c r="G481" s="3890">
        <f t="shared" si="240"/>
        <v>0</v>
      </c>
      <c r="H481" s="1282">
        <f t="shared" si="241"/>
        <v>0</v>
      </c>
      <c r="I481" s="3891"/>
      <c r="J481" s="3891"/>
      <c r="K481" s="3891"/>
      <c r="L481" s="3891"/>
      <c r="M481" s="3891"/>
      <c r="N481" s="3891"/>
      <c r="O481" s="3891"/>
      <c r="P481" s="3891"/>
      <c r="Q481" s="3891"/>
      <c r="R481" s="3891"/>
      <c r="S481" s="3891"/>
      <c r="T481" s="3891"/>
      <c r="U481" s="3891"/>
      <c r="V481" s="3891"/>
      <c r="W481" s="3891"/>
      <c r="X481" s="3891"/>
      <c r="Y481" s="3891"/>
      <c r="Z481" s="3891"/>
      <c r="AA481" s="3891"/>
      <c r="AB481" s="3891"/>
      <c r="AC481" s="389">
        <f t="shared" si="242"/>
        <v>0</v>
      </c>
      <c r="AD481" s="5"/>
      <c r="AE481" s="5"/>
      <c r="AF481" s="5"/>
      <c r="AG481" s="5"/>
      <c r="AH481" s="5"/>
      <c r="AI481" s="5"/>
      <c r="AJ481" s="5"/>
      <c r="AK481" s="5"/>
      <c r="AL481" s="5"/>
      <c r="AM481" s="5"/>
      <c r="AN481" s="5"/>
      <c r="AO481" s="5"/>
      <c r="AP481" s="5"/>
      <c r="AQ481" s="5"/>
      <c r="AR481" s="5"/>
      <c r="AS481" s="5"/>
      <c r="AT481" s="20"/>
      <c r="AU481" s="1182"/>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81"/>
      <c r="E482" s="389">
        <f t="shared" si="239"/>
        <v>0</v>
      </c>
      <c r="F482" s="20"/>
      <c r="G482" s="3890">
        <f t="shared" si="240"/>
        <v>0</v>
      </c>
      <c r="H482" s="1282">
        <f t="shared" si="241"/>
        <v>0</v>
      </c>
      <c r="I482" s="3891"/>
      <c r="J482" s="3891"/>
      <c r="K482" s="3891"/>
      <c r="L482" s="3891"/>
      <c r="M482" s="3891"/>
      <c r="N482" s="3891"/>
      <c r="O482" s="3891"/>
      <c r="P482" s="3891"/>
      <c r="Q482" s="3891"/>
      <c r="R482" s="3891"/>
      <c r="S482" s="3891"/>
      <c r="T482" s="3891"/>
      <c r="U482" s="3891"/>
      <c r="V482" s="3891"/>
      <c r="W482" s="3891"/>
      <c r="X482" s="3891"/>
      <c r="Y482" s="3891"/>
      <c r="Z482" s="3891"/>
      <c r="AA482" s="3891"/>
      <c r="AB482" s="3891"/>
      <c r="AC482" s="389">
        <f t="shared" si="242"/>
        <v>0</v>
      </c>
      <c r="AD482" s="5"/>
      <c r="AE482" s="5"/>
      <c r="AF482" s="5"/>
      <c r="AG482" s="5"/>
      <c r="AH482" s="5"/>
      <c r="AI482" s="5"/>
      <c r="AJ482" s="5"/>
      <c r="AK482" s="5"/>
      <c r="AL482" s="5"/>
      <c r="AM482" s="5"/>
      <c r="AN482" s="5"/>
      <c r="AO482" s="5"/>
      <c r="AP482" s="5"/>
      <c r="AQ482" s="5"/>
      <c r="AR482" s="5"/>
      <c r="AS482" s="5"/>
      <c r="AT482" s="20"/>
      <c r="AU482" s="1182"/>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81"/>
      <c r="E483" s="389">
        <f t="shared" si="239"/>
        <v>0</v>
      </c>
      <c r="F483" s="20"/>
      <c r="G483" s="3890">
        <f t="shared" si="240"/>
        <v>0</v>
      </c>
      <c r="H483" s="1282">
        <f t="shared" si="241"/>
        <v>0</v>
      </c>
      <c r="I483" s="3891"/>
      <c r="J483" s="3891"/>
      <c r="K483" s="3891"/>
      <c r="L483" s="3891"/>
      <c r="M483" s="3891"/>
      <c r="N483" s="3891"/>
      <c r="O483" s="3891"/>
      <c r="P483" s="3891"/>
      <c r="Q483" s="3891"/>
      <c r="R483" s="3891"/>
      <c r="S483" s="3891"/>
      <c r="T483" s="3891"/>
      <c r="U483" s="3891"/>
      <c r="V483" s="3891"/>
      <c r="W483" s="3891"/>
      <c r="X483" s="3891"/>
      <c r="Y483" s="3891"/>
      <c r="Z483" s="3891"/>
      <c r="AA483" s="3891"/>
      <c r="AB483" s="3891"/>
      <c r="AC483" s="389">
        <f t="shared" si="242"/>
        <v>0</v>
      </c>
      <c r="AD483" s="5"/>
      <c r="AE483" s="5"/>
      <c r="AF483" s="5"/>
      <c r="AG483" s="5"/>
      <c r="AH483" s="5"/>
      <c r="AI483" s="5"/>
      <c r="AJ483" s="5"/>
      <c r="AK483" s="5"/>
      <c r="AL483" s="5"/>
      <c r="AM483" s="5"/>
      <c r="AN483" s="5"/>
      <c r="AO483" s="5"/>
      <c r="AP483" s="5"/>
      <c r="AQ483" s="5"/>
      <c r="AR483" s="5"/>
      <c r="AS483" s="5"/>
      <c r="AT483" s="20"/>
      <c r="AU483" s="1182"/>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81"/>
      <c r="E484" s="389">
        <f t="shared" si="239"/>
        <v>0</v>
      </c>
      <c r="F484" s="20"/>
      <c r="G484" s="3890">
        <f t="shared" si="240"/>
        <v>0</v>
      </c>
      <c r="H484" s="1282">
        <f t="shared" si="241"/>
        <v>0</v>
      </c>
      <c r="I484" s="3891"/>
      <c r="J484" s="3891"/>
      <c r="K484" s="3891"/>
      <c r="L484" s="3891"/>
      <c r="M484" s="3891"/>
      <c r="N484" s="3891"/>
      <c r="O484" s="3891"/>
      <c r="P484" s="3891"/>
      <c r="Q484" s="3891"/>
      <c r="R484" s="3891"/>
      <c r="S484" s="3891"/>
      <c r="T484" s="3891"/>
      <c r="U484" s="3891"/>
      <c r="V484" s="3891"/>
      <c r="W484" s="3891"/>
      <c r="X484" s="3891"/>
      <c r="Y484" s="3891"/>
      <c r="Z484" s="3891"/>
      <c r="AA484" s="3891"/>
      <c r="AB484" s="3891"/>
      <c r="AC484" s="389">
        <f t="shared" si="242"/>
        <v>0</v>
      </c>
      <c r="AD484" s="5"/>
      <c r="AE484" s="5"/>
      <c r="AF484" s="5"/>
      <c r="AG484" s="5"/>
      <c r="AH484" s="5"/>
      <c r="AI484" s="5"/>
      <c r="AJ484" s="5"/>
      <c r="AK484" s="5"/>
      <c r="AL484" s="5"/>
      <c r="AM484" s="5"/>
      <c r="AN484" s="5"/>
      <c r="AO484" s="5"/>
      <c r="AP484" s="5"/>
      <c r="AQ484" s="5"/>
      <c r="AR484" s="5"/>
      <c r="AS484" s="5"/>
      <c r="AT484" s="20"/>
      <c r="AU484" s="1182"/>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81"/>
      <c r="E485" s="389">
        <f t="shared" si="239"/>
        <v>0</v>
      </c>
      <c r="F485" s="20"/>
      <c r="G485" s="3890">
        <f t="shared" si="240"/>
        <v>0</v>
      </c>
      <c r="H485" s="1282">
        <f t="shared" si="241"/>
        <v>0</v>
      </c>
      <c r="I485" s="3891"/>
      <c r="J485" s="3891"/>
      <c r="K485" s="3891"/>
      <c r="L485" s="3891"/>
      <c r="M485" s="3891"/>
      <c r="N485" s="3891"/>
      <c r="O485" s="3891"/>
      <c r="P485" s="3891"/>
      <c r="Q485" s="3891"/>
      <c r="R485" s="3891"/>
      <c r="S485" s="3891"/>
      <c r="T485" s="3891"/>
      <c r="U485" s="3891"/>
      <c r="V485" s="3891"/>
      <c r="W485" s="3891"/>
      <c r="X485" s="3891"/>
      <c r="Y485" s="3891"/>
      <c r="Z485" s="3891"/>
      <c r="AA485" s="3891"/>
      <c r="AB485" s="3891"/>
      <c r="AC485" s="389">
        <f t="shared" si="242"/>
        <v>0</v>
      </c>
      <c r="AD485" s="5"/>
      <c r="AE485" s="5"/>
      <c r="AF485" s="5"/>
      <c r="AG485" s="5"/>
      <c r="AH485" s="5"/>
      <c r="AI485" s="5"/>
      <c r="AJ485" s="5"/>
      <c r="AK485" s="5"/>
      <c r="AL485" s="5"/>
      <c r="AM485" s="5"/>
      <c r="AN485" s="5"/>
      <c r="AO485" s="5"/>
      <c r="AP485" s="5"/>
      <c r="AQ485" s="5"/>
      <c r="AR485" s="5"/>
      <c r="AS485" s="5"/>
      <c r="AT485" s="20"/>
      <c r="AU485" s="1182"/>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81"/>
      <c r="E486" s="389">
        <f t="shared" si="239"/>
        <v>0</v>
      </c>
      <c r="F486" s="20"/>
      <c r="G486" s="3890">
        <f t="shared" si="240"/>
        <v>0</v>
      </c>
      <c r="H486" s="1282">
        <f t="shared" si="241"/>
        <v>0</v>
      </c>
      <c r="I486" s="3891"/>
      <c r="J486" s="3891"/>
      <c r="K486" s="3891"/>
      <c r="L486" s="3891"/>
      <c r="M486" s="3891"/>
      <c r="N486" s="3891"/>
      <c r="O486" s="3891"/>
      <c r="P486" s="3891"/>
      <c r="Q486" s="3891"/>
      <c r="R486" s="3891"/>
      <c r="S486" s="3891"/>
      <c r="T486" s="3891"/>
      <c r="U486" s="3891"/>
      <c r="V486" s="3891"/>
      <c r="W486" s="3891"/>
      <c r="X486" s="3891"/>
      <c r="Y486" s="3891"/>
      <c r="Z486" s="3891"/>
      <c r="AA486" s="3891"/>
      <c r="AB486" s="3891"/>
      <c r="AC486" s="389">
        <f t="shared" si="242"/>
        <v>0</v>
      </c>
      <c r="AD486" s="5"/>
      <c r="AE486" s="5"/>
      <c r="AF486" s="5"/>
      <c r="AG486" s="5"/>
      <c r="AH486" s="5"/>
      <c r="AI486" s="5"/>
      <c r="AJ486" s="5"/>
      <c r="AK486" s="5"/>
      <c r="AL486" s="5"/>
      <c r="AM486" s="5"/>
      <c r="AN486" s="5"/>
      <c r="AO486" s="5"/>
      <c r="AP486" s="5"/>
      <c r="AQ486" s="5"/>
      <c r="AR486" s="5"/>
      <c r="AS486" s="5"/>
      <c r="AT486" s="20"/>
      <c r="AU486" s="1182"/>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81"/>
      <c r="E487" s="389">
        <f t="shared" si="239"/>
        <v>0</v>
      </c>
      <c r="F487" s="20"/>
      <c r="G487" s="3890">
        <f t="shared" si="240"/>
        <v>0</v>
      </c>
      <c r="H487" s="1282">
        <f t="shared" si="241"/>
        <v>0</v>
      </c>
      <c r="I487" s="3891"/>
      <c r="J487" s="3891"/>
      <c r="K487" s="3891"/>
      <c r="L487" s="3891"/>
      <c r="M487" s="3891"/>
      <c r="N487" s="3891"/>
      <c r="O487" s="3891"/>
      <c r="P487" s="3891"/>
      <c r="Q487" s="3891"/>
      <c r="R487" s="3891"/>
      <c r="S487" s="3891"/>
      <c r="T487" s="3891"/>
      <c r="U487" s="3891"/>
      <c r="V487" s="3891"/>
      <c r="W487" s="3891"/>
      <c r="X487" s="3891"/>
      <c r="Y487" s="3891"/>
      <c r="Z487" s="3891"/>
      <c r="AA487" s="3891"/>
      <c r="AB487" s="3891"/>
      <c r="AC487" s="389">
        <f t="shared" si="242"/>
        <v>0</v>
      </c>
      <c r="AD487" s="5"/>
      <c r="AE487" s="5"/>
      <c r="AF487" s="5"/>
      <c r="AG487" s="5"/>
      <c r="AH487" s="5"/>
      <c r="AI487" s="5"/>
      <c r="AJ487" s="5"/>
      <c r="AK487" s="5"/>
      <c r="AL487" s="5"/>
      <c r="AM487" s="5"/>
      <c r="AN487" s="5"/>
      <c r="AO487" s="5"/>
      <c r="AP487" s="5"/>
      <c r="AQ487" s="5"/>
      <c r="AR487" s="5"/>
      <c r="AS487" s="5"/>
      <c r="AT487" s="20"/>
      <c r="AU487" s="1182"/>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81"/>
      <c r="E488" s="389">
        <f t="shared" si="239"/>
        <v>0</v>
      </c>
      <c r="F488" s="20"/>
      <c r="G488" s="3890">
        <f t="shared" si="240"/>
        <v>0</v>
      </c>
      <c r="H488" s="1282">
        <f t="shared" si="241"/>
        <v>0</v>
      </c>
      <c r="I488" s="3891"/>
      <c r="J488" s="3891"/>
      <c r="K488" s="3891"/>
      <c r="L488" s="3891"/>
      <c r="M488" s="3891"/>
      <c r="N488" s="3891"/>
      <c r="O488" s="3891"/>
      <c r="P488" s="3891"/>
      <c r="Q488" s="3891"/>
      <c r="R488" s="3891"/>
      <c r="S488" s="3891"/>
      <c r="T488" s="3891"/>
      <c r="U488" s="3891"/>
      <c r="V488" s="3891"/>
      <c r="W488" s="3891"/>
      <c r="X488" s="3891"/>
      <c r="Y488" s="3891"/>
      <c r="Z488" s="3891"/>
      <c r="AA488" s="3891"/>
      <c r="AB488" s="3891"/>
      <c r="AC488" s="389">
        <f t="shared" si="242"/>
        <v>0</v>
      </c>
      <c r="AD488" s="5"/>
      <c r="AE488" s="5"/>
      <c r="AF488" s="5"/>
      <c r="AG488" s="5"/>
      <c r="AH488" s="5"/>
      <c r="AI488" s="5"/>
      <c r="AJ488" s="5"/>
      <c r="AK488" s="5"/>
      <c r="AL488" s="5"/>
      <c r="AM488" s="5"/>
      <c r="AN488" s="5"/>
      <c r="AO488" s="5"/>
      <c r="AP488" s="5"/>
      <c r="AQ488" s="5"/>
      <c r="AR488" s="5"/>
      <c r="AS488" s="5"/>
      <c r="AT488" s="20"/>
      <c r="AU488" s="1182"/>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81"/>
      <c r="E489" s="389">
        <f t="shared" si="239"/>
        <v>0</v>
      </c>
      <c r="F489" s="20"/>
      <c r="G489" s="3890">
        <f t="shared" si="240"/>
        <v>0</v>
      </c>
      <c r="H489" s="1282">
        <f t="shared" si="241"/>
        <v>0</v>
      </c>
      <c r="I489" s="3891"/>
      <c r="J489" s="3891"/>
      <c r="K489" s="3891"/>
      <c r="L489" s="3891"/>
      <c r="M489" s="3891"/>
      <c r="N489" s="3891"/>
      <c r="O489" s="3891"/>
      <c r="P489" s="3891"/>
      <c r="Q489" s="3891"/>
      <c r="R489" s="3891"/>
      <c r="S489" s="3891"/>
      <c r="T489" s="3891"/>
      <c r="U489" s="3891"/>
      <c r="V489" s="3891"/>
      <c r="W489" s="3891"/>
      <c r="X489" s="3891"/>
      <c r="Y489" s="3891"/>
      <c r="Z489" s="3891"/>
      <c r="AA489" s="3891"/>
      <c r="AB489" s="3891"/>
      <c r="AC489" s="389">
        <f t="shared" si="242"/>
        <v>0</v>
      </c>
      <c r="AD489" s="5"/>
      <c r="AE489" s="5"/>
      <c r="AF489" s="5"/>
      <c r="AG489" s="5"/>
      <c r="AH489" s="5"/>
      <c r="AI489" s="5"/>
      <c r="AJ489" s="5"/>
      <c r="AK489" s="5"/>
      <c r="AL489" s="5"/>
      <c r="AM489" s="5"/>
      <c r="AN489" s="5"/>
      <c r="AO489" s="5"/>
      <c r="AP489" s="5"/>
      <c r="AQ489" s="5"/>
      <c r="AR489" s="5"/>
      <c r="AS489" s="5"/>
      <c r="AT489" s="20"/>
      <c r="AU489" s="1182"/>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81"/>
      <c r="E490" s="389">
        <f t="shared" si="239"/>
        <v>0</v>
      </c>
      <c r="F490" s="5"/>
      <c r="G490" s="3890">
        <f t="shared" ref="G490:G521" si="268">H490+AC490+AT490</f>
        <v>0</v>
      </c>
      <c r="H490" s="1282">
        <f t="shared" ref="H490:H521" si="269">SUMIF(I$12:AB$12,"总值",I490:AB490)</f>
        <v>0</v>
      </c>
      <c r="I490" s="3891"/>
      <c r="J490" s="3891"/>
      <c r="K490" s="3891"/>
      <c r="L490" s="3891"/>
      <c r="M490" s="3891"/>
      <c r="N490" s="3891"/>
      <c r="O490" s="3891"/>
      <c r="P490" s="3891"/>
      <c r="Q490" s="3891"/>
      <c r="R490" s="3891"/>
      <c r="S490" s="3891"/>
      <c r="T490" s="3891"/>
      <c r="U490" s="3891"/>
      <c r="V490" s="3891"/>
      <c r="W490" s="3891"/>
      <c r="X490" s="3891"/>
      <c r="Y490" s="3891"/>
      <c r="Z490" s="3891"/>
      <c r="AA490" s="3891"/>
      <c r="AB490" s="3891"/>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83"/>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81"/>
      <c r="E491" s="389">
        <f t="shared" si="239"/>
        <v>0</v>
      </c>
      <c r="F491" s="5"/>
      <c r="G491" s="3890">
        <f t="shared" si="268"/>
        <v>0</v>
      </c>
      <c r="H491" s="1282">
        <f t="shared" si="269"/>
        <v>0</v>
      </c>
      <c r="I491" s="3891"/>
      <c r="J491" s="3891"/>
      <c r="K491" s="3891"/>
      <c r="L491" s="3891"/>
      <c r="M491" s="3891"/>
      <c r="N491" s="3891"/>
      <c r="O491" s="3891"/>
      <c r="P491" s="3891"/>
      <c r="Q491" s="3891"/>
      <c r="R491" s="3891"/>
      <c r="S491" s="3891"/>
      <c r="T491" s="3891"/>
      <c r="U491" s="3891"/>
      <c r="V491" s="3891"/>
      <c r="W491" s="3891"/>
      <c r="X491" s="3891"/>
      <c r="Y491" s="3891"/>
      <c r="Z491" s="3891"/>
      <c r="AA491" s="3891"/>
      <c r="AB491" s="3891"/>
      <c r="AC491" s="389">
        <f t="shared" si="270"/>
        <v>0</v>
      </c>
      <c r="AD491" s="5"/>
      <c r="AE491" s="5"/>
      <c r="AF491" s="5"/>
      <c r="AG491" s="5"/>
      <c r="AH491" s="5"/>
      <c r="AI491" s="5"/>
      <c r="AJ491" s="5"/>
      <c r="AK491" s="5"/>
      <c r="AL491" s="5"/>
      <c r="AM491" s="5"/>
      <c r="AN491" s="5"/>
      <c r="AO491" s="5"/>
      <c r="AP491" s="5"/>
      <c r="AQ491" s="5"/>
      <c r="AR491" s="5"/>
      <c r="AS491" s="5"/>
      <c r="AT491" s="5"/>
      <c r="AU491" s="783"/>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81"/>
      <c r="E492" s="389">
        <f t="shared" si="239"/>
        <v>0</v>
      </c>
      <c r="F492" s="5"/>
      <c r="G492" s="3890">
        <f t="shared" si="268"/>
        <v>0</v>
      </c>
      <c r="H492" s="1282">
        <f t="shared" si="269"/>
        <v>0</v>
      </c>
      <c r="I492" s="3891"/>
      <c r="J492" s="3891"/>
      <c r="K492" s="3891"/>
      <c r="L492" s="3891"/>
      <c r="M492" s="3891"/>
      <c r="N492" s="3891"/>
      <c r="O492" s="3891"/>
      <c r="P492" s="3891"/>
      <c r="Q492" s="3891"/>
      <c r="R492" s="3891"/>
      <c r="S492" s="3891"/>
      <c r="T492" s="3891"/>
      <c r="U492" s="3891"/>
      <c r="V492" s="3891"/>
      <c r="W492" s="3891"/>
      <c r="X492" s="3891"/>
      <c r="Y492" s="3891"/>
      <c r="Z492" s="3891"/>
      <c r="AA492" s="3891"/>
      <c r="AB492" s="3891"/>
      <c r="AC492" s="389">
        <f t="shared" si="270"/>
        <v>0</v>
      </c>
      <c r="AD492" s="5"/>
      <c r="AE492" s="5"/>
      <c r="AF492" s="5"/>
      <c r="AG492" s="5"/>
      <c r="AH492" s="5"/>
      <c r="AI492" s="5"/>
      <c r="AJ492" s="5"/>
      <c r="AK492" s="5"/>
      <c r="AL492" s="5"/>
      <c r="AM492" s="5"/>
      <c r="AN492" s="5"/>
      <c r="AO492" s="5"/>
      <c r="AP492" s="5"/>
      <c r="AQ492" s="5"/>
      <c r="AR492" s="5"/>
      <c r="AS492" s="5"/>
      <c r="AT492" s="5"/>
      <c r="AU492" s="783"/>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81"/>
      <c r="E493" s="389">
        <f t="shared" ref="E493:E519" si="293">IF($C$3="是",ROUND($A$3*G493/$B$3,2),ROUND($A$3*(G493-AT493)/$B$3,2))</f>
        <v>0</v>
      </c>
      <c r="F493" s="20"/>
      <c r="G493" s="3890">
        <f t="shared" si="268"/>
        <v>0</v>
      </c>
      <c r="H493" s="1282">
        <f t="shared" si="269"/>
        <v>0</v>
      </c>
      <c r="I493" s="3891"/>
      <c r="J493" s="3891"/>
      <c r="K493" s="3891"/>
      <c r="L493" s="3891"/>
      <c r="M493" s="3891"/>
      <c r="N493" s="3891"/>
      <c r="O493" s="3891"/>
      <c r="P493" s="3891"/>
      <c r="Q493" s="3891"/>
      <c r="R493" s="3891"/>
      <c r="S493" s="3891"/>
      <c r="T493" s="3891"/>
      <c r="U493" s="3891"/>
      <c r="V493" s="3891"/>
      <c r="W493" s="3891"/>
      <c r="X493" s="3891"/>
      <c r="Y493" s="3891"/>
      <c r="Z493" s="3891"/>
      <c r="AA493" s="3891"/>
      <c r="AB493" s="3891"/>
      <c r="AC493" s="389">
        <f t="shared" si="270"/>
        <v>0</v>
      </c>
      <c r="AD493" s="5"/>
      <c r="AE493" s="5"/>
      <c r="AF493" s="5"/>
      <c r="AG493" s="5"/>
      <c r="AH493" s="5"/>
      <c r="AI493" s="5"/>
      <c r="AJ493" s="5"/>
      <c r="AK493" s="5"/>
      <c r="AL493" s="5"/>
      <c r="AM493" s="5"/>
      <c r="AN493" s="5"/>
      <c r="AO493" s="5"/>
      <c r="AP493" s="5"/>
      <c r="AQ493" s="5"/>
      <c r="AR493" s="5"/>
      <c r="AS493" s="5"/>
      <c r="AT493" s="20"/>
      <c r="AU493" s="1182"/>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81"/>
      <c r="E494" s="389">
        <f t="shared" si="293"/>
        <v>0</v>
      </c>
      <c r="F494" s="20"/>
      <c r="G494" s="3890">
        <f t="shared" si="268"/>
        <v>0</v>
      </c>
      <c r="H494" s="1282">
        <f t="shared" si="269"/>
        <v>0</v>
      </c>
      <c r="I494" s="3891"/>
      <c r="J494" s="3891"/>
      <c r="K494" s="3891"/>
      <c r="L494" s="3891"/>
      <c r="M494" s="3891"/>
      <c r="N494" s="3891"/>
      <c r="O494" s="3891"/>
      <c r="P494" s="3891"/>
      <c r="Q494" s="3891"/>
      <c r="R494" s="3891"/>
      <c r="S494" s="3891"/>
      <c r="T494" s="3891"/>
      <c r="U494" s="3891"/>
      <c r="V494" s="3891"/>
      <c r="W494" s="3891"/>
      <c r="X494" s="3891"/>
      <c r="Y494" s="3891"/>
      <c r="Z494" s="3891"/>
      <c r="AA494" s="3891"/>
      <c r="AB494" s="3891"/>
      <c r="AC494" s="389">
        <f t="shared" si="270"/>
        <v>0</v>
      </c>
      <c r="AD494" s="5"/>
      <c r="AE494" s="5"/>
      <c r="AF494" s="5"/>
      <c r="AG494" s="5"/>
      <c r="AH494" s="5"/>
      <c r="AI494" s="5"/>
      <c r="AJ494" s="5"/>
      <c r="AK494" s="5"/>
      <c r="AL494" s="5"/>
      <c r="AM494" s="5"/>
      <c r="AN494" s="5"/>
      <c r="AO494" s="5"/>
      <c r="AP494" s="5"/>
      <c r="AQ494" s="5"/>
      <c r="AR494" s="5"/>
      <c r="AS494" s="5"/>
      <c r="AT494" s="20"/>
      <c r="AU494" s="1182"/>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81"/>
      <c r="E495" s="389">
        <f t="shared" si="293"/>
        <v>0</v>
      </c>
      <c r="F495" s="20"/>
      <c r="G495" s="3890">
        <f t="shared" si="268"/>
        <v>0</v>
      </c>
      <c r="H495" s="1282">
        <f t="shared" si="269"/>
        <v>0</v>
      </c>
      <c r="I495" s="3891"/>
      <c r="J495" s="3891"/>
      <c r="K495" s="3891"/>
      <c r="L495" s="3891"/>
      <c r="M495" s="3891"/>
      <c r="N495" s="3891"/>
      <c r="O495" s="3891"/>
      <c r="P495" s="3891"/>
      <c r="Q495" s="3891"/>
      <c r="R495" s="3891"/>
      <c r="S495" s="3891"/>
      <c r="T495" s="3891"/>
      <c r="U495" s="3891"/>
      <c r="V495" s="3891"/>
      <c r="W495" s="3891"/>
      <c r="X495" s="3891"/>
      <c r="Y495" s="3891"/>
      <c r="Z495" s="3891"/>
      <c r="AA495" s="3891"/>
      <c r="AB495" s="3891"/>
      <c r="AC495" s="389">
        <f t="shared" si="270"/>
        <v>0</v>
      </c>
      <c r="AD495" s="5"/>
      <c r="AE495" s="5"/>
      <c r="AF495" s="5"/>
      <c r="AG495" s="5"/>
      <c r="AH495" s="5"/>
      <c r="AI495" s="5"/>
      <c r="AJ495" s="5"/>
      <c r="AK495" s="5"/>
      <c r="AL495" s="5"/>
      <c r="AM495" s="5"/>
      <c r="AN495" s="5"/>
      <c r="AO495" s="5"/>
      <c r="AP495" s="5"/>
      <c r="AQ495" s="5"/>
      <c r="AR495" s="5"/>
      <c r="AS495" s="5"/>
      <c r="AT495" s="20"/>
      <c r="AU495" s="1182"/>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81"/>
      <c r="E496" s="389">
        <f t="shared" si="293"/>
        <v>0</v>
      </c>
      <c r="F496" s="20"/>
      <c r="G496" s="3890">
        <f t="shared" si="268"/>
        <v>0</v>
      </c>
      <c r="H496" s="1282">
        <f t="shared" si="269"/>
        <v>0</v>
      </c>
      <c r="I496" s="3891"/>
      <c r="J496" s="3891"/>
      <c r="K496" s="3891"/>
      <c r="L496" s="3891"/>
      <c r="M496" s="3891"/>
      <c r="N496" s="3891"/>
      <c r="O496" s="3891"/>
      <c r="P496" s="3891"/>
      <c r="Q496" s="3891"/>
      <c r="R496" s="3891"/>
      <c r="S496" s="3891"/>
      <c r="T496" s="3891"/>
      <c r="U496" s="3891"/>
      <c r="V496" s="3891"/>
      <c r="W496" s="3891"/>
      <c r="X496" s="3891"/>
      <c r="Y496" s="3891"/>
      <c r="Z496" s="3891"/>
      <c r="AA496" s="3891"/>
      <c r="AB496" s="3891"/>
      <c r="AC496" s="389">
        <f t="shared" si="270"/>
        <v>0</v>
      </c>
      <c r="AD496" s="5"/>
      <c r="AE496" s="5"/>
      <c r="AF496" s="5"/>
      <c r="AG496" s="5"/>
      <c r="AH496" s="5"/>
      <c r="AI496" s="5"/>
      <c r="AJ496" s="5"/>
      <c r="AK496" s="5"/>
      <c r="AL496" s="5"/>
      <c r="AM496" s="5"/>
      <c r="AN496" s="5"/>
      <c r="AO496" s="5"/>
      <c r="AP496" s="5"/>
      <c r="AQ496" s="5"/>
      <c r="AR496" s="5"/>
      <c r="AS496" s="5"/>
      <c r="AT496" s="20"/>
      <c r="AU496" s="1182"/>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81"/>
      <c r="E497" s="389">
        <f t="shared" si="293"/>
        <v>0</v>
      </c>
      <c r="F497" s="20"/>
      <c r="G497" s="3890">
        <f t="shared" si="268"/>
        <v>0</v>
      </c>
      <c r="H497" s="1282">
        <f t="shared" si="269"/>
        <v>0</v>
      </c>
      <c r="I497" s="3891"/>
      <c r="J497" s="3891"/>
      <c r="K497" s="3891"/>
      <c r="L497" s="3891"/>
      <c r="M497" s="3891"/>
      <c r="N497" s="3891"/>
      <c r="O497" s="3891"/>
      <c r="P497" s="3891"/>
      <c r="Q497" s="3891"/>
      <c r="R497" s="3891"/>
      <c r="S497" s="3891"/>
      <c r="T497" s="3891"/>
      <c r="U497" s="3891"/>
      <c r="V497" s="3891"/>
      <c r="W497" s="3891"/>
      <c r="X497" s="3891"/>
      <c r="Y497" s="3891"/>
      <c r="Z497" s="3891"/>
      <c r="AA497" s="3891"/>
      <c r="AB497" s="3891"/>
      <c r="AC497" s="389">
        <f t="shared" si="270"/>
        <v>0</v>
      </c>
      <c r="AD497" s="5"/>
      <c r="AE497" s="5"/>
      <c r="AF497" s="5"/>
      <c r="AG497" s="5"/>
      <c r="AH497" s="5"/>
      <c r="AI497" s="5"/>
      <c r="AJ497" s="5"/>
      <c r="AK497" s="5"/>
      <c r="AL497" s="5"/>
      <c r="AM497" s="5"/>
      <c r="AN497" s="5"/>
      <c r="AO497" s="5"/>
      <c r="AP497" s="5"/>
      <c r="AQ497" s="5"/>
      <c r="AR497" s="5"/>
      <c r="AS497" s="5"/>
      <c r="AT497" s="20"/>
      <c r="AU497" s="1182"/>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81"/>
      <c r="E498" s="389">
        <f t="shared" si="293"/>
        <v>0</v>
      </c>
      <c r="F498" s="20"/>
      <c r="G498" s="3890">
        <f t="shared" si="268"/>
        <v>0</v>
      </c>
      <c r="H498" s="1282">
        <f t="shared" si="269"/>
        <v>0</v>
      </c>
      <c r="I498" s="3891"/>
      <c r="J498" s="3891"/>
      <c r="K498" s="3891"/>
      <c r="L498" s="3891"/>
      <c r="M498" s="3891"/>
      <c r="N498" s="3891"/>
      <c r="O498" s="3891"/>
      <c r="P498" s="3891"/>
      <c r="Q498" s="3891"/>
      <c r="R498" s="3891"/>
      <c r="S498" s="3891"/>
      <c r="T498" s="3891"/>
      <c r="U498" s="3891"/>
      <c r="V498" s="3891"/>
      <c r="W498" s="3891"/>
      <c r="X498" s="3891"/>
      <c r="Y498" s="3891"/>
      <c r="Z498" s="3891"/>
      <c r="AA498" s="3891"/>
      <c r="AB498" s="3891"/>
      <c r="AC498" s="389">
        <f t="shared" si="270"/>
        <v>0</v>
      </c>
      <c r="AD498" s="5"/>
      <c r="AE498" s="5"/>
      <c r="AF498" s="5"/>
      <c r="AG498" s="5"/>
      <c r="AH498" s="5"/>
      <c r="AI498" s="5"/>
      <c r="AJ498" s="5"/>
      <c r="AK498" s="5"/>
      <c r="AL498" s="5"/>
      <c r="AM498" s="5"/>
      <c r="AN498" s="5"/>
      <c r="AO498" s="5"/>
      <c r="AP498" s="5"/>
      <c r="AQ498" s="5"/>
      <c r="AR498" s="5"/>
      <c r="AS498" s="5"/>
      <c r="AT498" s="20"/>
      <c r="AU498" s="1182"/>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81"/>
      <c r="E499" s="389">
        <f t="shared" si="293"/>
        <v>0</v>
      </c>
      <c r="F499" s="20"/>
      <c r="G499" s="3890">
        <f t="shared" si="268"/>
        <v>0</v>
      </c>
      <c r="H499" s="1282">
        <f t="shared" si="269"/>
        <v>0</v>
      </c>
      <c r="I499" s="3891"/>
      <c r="J499" s="3891"/>
      <c r="K499" s="3891"/>
      <c r="L499" s="3891"/>
      <c r="M499" s="3891"/>
      <c r="N499" s="3891"/>
      <c r="O499" s="3891"/>
      <c r="P499" s="3891"/>
      <c r="Q499" s="3891"/>
      <c r="R499" s="3891"/>
      <c r="S499" s="3891"/>
      <c r="T499" s="3891"/>
      <c r="U499" s="3891"/>
      <c r="V499" s="3891"/>
      <c r="W499" s="3891"/>
      <c r="X499" s="3891"/>
      <c r="Y499" s="3891"/>
      <c r="Z499" s="3891"/>
      <c r="AA499" s="3891"/>
      <c r="AB499" s="3891"/>
      <c r="AC499" s="389">
        <f t="shared" si="270"/>
        <v>0</v>
      </c>
      <c r="AD499" s="5"/>
      <c r="AE499" s="5"/>
      <c r="AF499" s="5"/>
      <c r="AG499" s="5"/>
      <c r="AH499" s="5"/>
      <c r="AI499" s="5"/>
      <c r="AJ499" s="5"/>
      <c r="AK499" s="5"/>
      <c r="AL499" s="5"/>
      <c r="AM499" s="5"/>
      <c r="AN499" s="5"/>
      <c r="AO499" s="5"/>
      <c r="AP499" s="5"/>
      <c r="AQ499" s="5"/>
      <c r="AR499" s="5"/>
      <c r="AS499" s="5"/>
      <c r="AT499" s="20"/>
      <c r="AU499" s="1182"/>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81"/>
      <c r="E500" s="389">
        <f t="shared" si="293"/>
        <v>0</v>
      </c>
      <c r="F500" s="20"/>
      <c r="G500" s="3890">
        <f t="shared" si="268"/>
        <v>0</v>
      </c>
      <c r="H500" s="1282">
        <f t="shared" si="269"/>
        <v>0</v>
      </c>
      <c r="I500" s="3891"/>
      <c r="J500" s="3891"/>
      <c r="K500" s="3891"/>
      <c r="L500" s="3891"/>
      <c r="M500" s="3891"/>
      <c r="N500" s="3891"/>
      <c r="O500" s="3891"/>
      <c r="P500" s="3891"/>
      <c r="Q500" s="3891"/>
      <c r="R500" s="3891"/>
      <c r="S500" s="3891"/>
      <c r="T500" s="3891"/>
      <c r="U500" s="3891"/>
      <c r="V500" s="3891"/>
      <c r="W500" s="3891"/>
      <c r="X500" s="3891"/>
      <c r="Y500" s="3891"/>
      <c r="Z500" s="3891"/>
      <c r="AA500" s="3891"/>
      <c r="AB500" s="3891"/>
      <c r="AC500" s="389">
        <f t="shared" si="270"/>
        <v>0</v>
      </c>
      <c r="AD500" s="5"/>
      <c r="AE500" s="5"/>
      <c r="AF500" s="5"/>
      <c r="AG500" s="5"/>
      <c r="AH500" s="5"/>
      <c r="AI500" s="5"/>
      <c r="AJ500" s="5"/>
      <c r="AK500" s="5"/>
      <c r="AL500" s="5"/>
      <c r="AM500" s="5"/>
      <c r="AN500" s="5"/>
      <c r="AO500" s="5"/>
      <c r="AP500" s="5"/>
      <c r="AQ500" s="5"/>
      <c r="AR500" s="5"/>
      <c r="AS500" s="5"/>
      <c r="AT500" s="20"/>
      <c r="AU500" s="1182"/>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81"/>
      <c r="E501" s="389">
        <f t="shared" si="293"/>
        <v>0</v>
      </c>
      <c r="F501" s="20"/>
      <c r="G501" s="3890">
        <f t="shared" si="268"/>
        <v>0</v>
      </c>
      <c r="H501" s="1282">
        <f t="shared" si="269"/>
        <v>0</v>
      </c>
      <c r="I501" s="3891"/>
      <c r="J501" s="3891"/>
      <c r="K501" s="3891"/>
      <c r="L501" s="3891"/>
      <c r="M501" s="3891"/>
      <c r="N501" s="3891"/>
      <c r="O501" s="3891"/>
      <c r="P501" s="3891"/>
      <c r="Q501" s="3891"/>
      <c r="R501" s="3891"/>
      <c r="S501" s="3891"/>
      <c r="T501" s="3891"/>
      <c r="U501" s="3891"/>
      <c r="V501" s="3891"/>
      <c r="W501" s="3891"/>
      <c r="X501" s="3891"/>
      <c r="Y501" s="3891"/>
      <c r="Z501" s="3891"/>
      <c r="AA501" s="3891"/>
      <c r="AB501" s="3891"/>
      <c r="AC501" s="389">
        <f t="shared" si="270"/>
        <v>0</v>
      </c>
      <c r="AD501" s="5"/>
      <c r="AE501" s="5"/>
      <c r="AF501" s="5"/>
      <c r="AG501" s="5"/>
      <c r="AH501" s="5"/>
      <c r="AI501" s="5"/>
      <c r="AJ501" s="5"/>
      <c r="AK501" s="5"/>
      <c r="AL501" s="5"/>
      <c r="AM501" s="5"/>
      <c r="AN501" s="5"/>
      <c r="AO501" s="5"/>
      <c r="AP501" s="5"/>
      <c r="AQ501" s="5"/>
      <c r="AR501" s="5"/>
      <c r="AS501" s="5"/>
      <c r="AT501" s="20"/>
      <c r="AU501" s="1182"/>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81"/>
      <c r="E502" s="389">
        <f t="shared" si="293"/>
        <v>0</v>
      </c>
      <c r="F502" s="20"/>
      <c r="G502" s="3890">
        <f t="shared" si="268"/>
        <v>0</v>
      </c>
      <c r="H502" s="1282">
        <f t="shared" si="269"/>
        <v>0</v>
      </c>
      <c r="I502" s="3891"/>
      <c r="J502" s="3891"/>
      <c r="K502" s="3891"/>
      <c r="L502" s="3891"/>
      <c r="M502" s="3891"/>
      <c r="N502" s="3891"/>
      <c r="O502" s="3891"/>
      <c r="P502" s="3891"/>
      <c r="Q502" s="3891"/>
      <c r="R502" s="3891"/>
      <c r="S502" s="3891"/>
      <c r="T502" s="3891"/>
      <c r="U502" s="3891"/>
      <c r="V502" s="3891"/>
      <c r="W502" s="3891"/>
      <c r="X502" s="3891"/>
      <c r="Y502" s="3891"/>
      <c r="Z502" s="3891"/>
      <c r="AA502" s="3891"/>
      <c r="AB502" s="3891"/>
      <c r="AC502" s="389">
        <f t="shared" si="270"/>
        <v>0</v>
      </c>
      <c r="AD502" s="5"/>
      <c r="AE502" s="5"/>
      <c r="AF502" s="5"/>
      <c r="AG502" s="5"/>
      <c r="AH502" s="5"/>
      <c r="AI502" s="5"/>
      <c r="AJ502" s="5"/>
      <c r="AK502" s="5"/>
      <c r="AL502" s="5"/>
      <c r="AM502" s="5"/>
      <c r="AN502" s="5"/>
      <c r="AO502" s="5"/>
      <c r="AP502" s="5"/>
      <c r="AQ502" s="5"/>
      <c r="AR502" s="5"/>
      <c r="AS502" s="5"/>
      <c r="AT502" s="20"/>
      <c r="AU502" s="1182"/>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81"/>
      <c r="E503" s="389">
        <f t="shared" si="293"/>
        <v>0</v>
      </c>
      <c r="F503" s="20"/>
      <c r="G503" s="3890">
        <f t="shared" si="268"/>
        <v>0</v>
      </c>
      <c r="H503" s="1282">
        <f t="shared" si="269"/>
        <v>0</v>
      </c>
      <c r="I503" s="3891"/>
      <c r="J503" s="3891"/>
      <c r="K503" s="3891"/>
      <c r="L503" s="3891"/>
      <c r="M503" s="3891"/>
      <c r="N503" s="3891"/>
      <c r="O503" s="3891"/>
      <c r="P503" s="3891"/>
      <c r="Q503" s="3891"/>
      <c r="R503" s="3891"/>
      <c r="S503" s="3891"/>
      <c r="T503" s="3891"/>
      <c r="U503" s="3891"/>
      <c r="V503" s="3891"/>
      <c r="W503" s="3891"/>
      <c r="X503" s="3891"/>
      <c r="Y503" s="3891"/>
      <c r="Z503" s="3891"/>
      <c r="AA503" s="3891"/>
      <c r="AB503" s="3891"/>
      <c r="AC503" s="389">
        <f t="shared" si="270"/>
        <v>0</v>
      </c>
      <c r="AD503" s="5"/>
      <c r="AE503" s="5"/>
      <c r="AF503" s="5"/>
      <c r="AG503" s="5"/>
      <c r="AH503" s="5"/>
      <c r="AI503" s="5"/>
      <c r="AJ503" s="5"/>
      <c r="AK503" s="5"/>
      <c r="AL503" s="5"/>
      <c r="AM503" s="5"/>
      <c r="AN503" s="5"/>
      <c r="AO503" s="5"/>
      <c r="AP503" s="5"/>
      <c r="AQ503" s="5"/>
      <c r="AR503" s="5"/>
      <c r="AS503" s="5"/>
      <c r="AT503" s="20"/>
      <c r="AU503" s="1182"/>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81"/>
      <c r="E504" s="389">
        <f t="shared" si="293"/>
        <v>0</v>
      </c>
      <c r="F504" s="20"/>
      <c r="G504" s="3890">
        <f t="shared" si="268"/>
        <v>0</v>
      </c>
      <c r="H504" s="1282">
        <f t="shared" si="269"/>
        <v>0</v>
      </c>
      <c r="I504" s="3891"/>
      <c r="J504" s="3891"/>
      <c r="K504" s="3891"/>
      <c r="L504" s="3891"/>
      <c r="M504" s="3891"/>
      <c r="N504" s="3891"/>
      <c r="O504" s="3891"/>
      <c r="P504" s="3891"/>
      <c r="Q504" s="3891"/>
      <c r="R504" s="3891"/>
      <c r="S504" s="3891"/>
      <c r="T504" s="3891"/>
      <c r="U504" s="3891"/>
      <c r="V504" s="3891"/>
      <c r="W504" s="3891"/>
      <c r="X504" s="3891"/>
      <c r="Y504" s="3891"/>
      <c r="Z504" s="3891"/>
      <c r="AA504" s="3891"/>
      <c r="AB504" s="3891"/>
      <c r="AC504" s="389">
        <f t="shared" si="270"/>
        <v>0</v>
      </c>
      <c r="AD504" s="5"/>
      <c r="AE504" s="5"/>
      <c r="AF504" s="5"/>
      <c r="AG504" s="5"/>
      <c r="AH504" s="5"/>
      <c r="AI504" s="5"/>
      <c r="AJ504" s="5"/>
      <c r="AK504" s="5"/>
      <c r="AL504" s="5"/>
      <c r="AM504" s="5"/>
      <c r="AN504" s="5"/>
      <c r="AO504" s="5"/>
      <c r="AP504" s="5"/>
      <c r="AQ504" s="5"/>
      <c r="AR504" s="5"/>
      <c r="AS504" s="5"/>
      <c r="AT504" s="20"/>
      <c r="AU504" s="1182"/>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81"/>
      <c r="E505" s="389">
        <f t="shared" si="293"/>
        <v>0</v>
      </c>
      <c r="F505" s="20"/>
      <c r="G505" s="3890">
        <f t="shared" si="268"/>
        <v>0</v>
      </c>
      <c r="H505" s="1282">
        <f t="shared" si="269"/>
        <v>0</v>
      </c>
      <c r="I505" s="3891"/>
      <c r="J505" s="3891"/>
      <c r="K505" s="3891"/>
      <c r="L505" s="3891"/>
      <c r="M505" s="3891"/>
      <c r="N505" s="3891"/>
      <c r="O505" s="3891"/>
      <c r="P505" s="3891"/>
      <c r="Q505" s="3891"/>
      <c r="R505" s="3891"/>
      <c r="S505" s="3891"/>
      <c r="T505" s="3891"/>
      <c r="U505" s="3891"/>
      <c r="V505" s="3891"/>
      <c r="W505" s="3891"/>
      <c r="X505" s="3891"/>
      <c r="Y505" s="3891"/>
      <c r="Z505" s="3891"/>
      <c r="AA505" s="3891"/>
      <c r="AB505" s="3891"/>
      <c r="AC505" s="389">
        <f t="shared" si="270"/>
        <v>0</v>
      </c>
      <c r="AD505" s="5"/>
      <c r="AE505" s="5"/>
      <c r="AF505" s="5"/>
      <c r="AG505" s="5"/>
      <c r="AH505" s="5"/>
      <c r="AI505" s="5"/>
      <c r="AJ505" s="5"/>
      <c r="AK505" s="5"/>
      <c r="AL505" s="5"/>
      <c r="AM505" s="5"/>
      <c r="AN505" s="5"/>
      <c r="AO505" s="5"/>
      <c r="AP505" s="5"/>
      <c r="AQ505" s="5"/>
      <c r="AR505" s="5"/>
      <c r="AS505" s="5"/>
      <c r="AT505" s="20"/>
      <c r="AU505" s="1182"/>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81"/>
      <c r="E506" s="389">
        <f t="shared" si="293"/>
        <v>0</v>
      </c>
      <c r="F506" s="20"/>
      <c r="G506" s="3890">
        <f t="shared" si="268"/>
        <v>0</v>
      </c>
      <c r="H506" s="1282">
        <f t="shared" si="269"/>
        <v>0</v>
      </c>
      <c r="I506" s="3891"/>
      <c r="J506" s="3891"/>
      <c r="K506" s="3891"/>
      <c r="L506" s="3891"/>
      <c r="M506" s="3891"/>
      <c r="N506" s="3891"/>
      <c r="O506" s="3891"/>
      <c r="P506" s="3891"/>
      <c r="Q506" s="3891"/>
      <c r="R506" s="3891"/>
      <c r="S506" s="3891"/>
      <c r="T506" s="3891"/>
      <c r="U506" s="3891"/>
      <c r="V506" s="3891"/>
      <c r="W506" s="3891"/>
      <c r="X506" s="3891"/>
      <c r="Y506" s="3891"/>
      <c r="Z506" s="3891"/>
      <c r="AA506" s="3891"/>
      <c r="AB506" s="3891"/>
      <c r="AC506" s="389">
        <f t="shared" si="270"/>
        <v>0</v>
      </c>
      <c r="AD506" s="5"/>
      <c r="AE506" s="5"/>
      <c r="AF506" s="5"/>
      <c r="AG506" s="5"/>
      <c r="AH506" s="5"/>
      <c r="AI506" s="5"/>
      <c r="AJ506" s="5"/>
      <c r="AK506" s="5"/>
      <c r="AL506" s="5"/>
      <c r="AM506" s="5"/>
      <c r="AN506" s="5"/>
      <c r="AO506" s="5"/>
      <c r="AP506" s="5"/>
      <c r="AQ506" s="5"/>
      <c r="AR506" s="5"/>
      <c r="AS506" s="5"/>
      <c r="AT506" s="20"/>
      <c r="AU506" s="1182"/>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81"/>
      <c r="E507" s="389">
        <f t="shared" si="293"/>
        <v>0</v>
      </c>
      <c r="F507" s="20"/>
      <c r="G507" s="3890">
        <f t="shared" si="268"/>
        <v>0</v>
      </c>
      <c r="H507" s="1282">
        <f t="shared" si="269"/>
        <v>0</v>
      </c>
      <c r="I507" s="3891"/>
      <c r="J507" s="3891"/>
      <c r="K507" s="3891"/>
      <c r="L507" s="3891"/>
      <c r="M507" s="3891"/>
      <c r="N507" s="3891"/>
      <c r="O507" s="3891"/>
      <c r="P507" s="3891"/>
      <c r="Q507" s="3891"/>
      <c r="R507" s="3891"/>
      <c r="S507" s="3891"/>
      <c r="T507" s="3891"/>
      <c r="U507" s="3891"/>
      <c r="V507" s="3891"/>
      <c r="W507" s="3891"/>
      <c r="X507" s="3891"/>
      <c r="Y507" s="3891"/>
      <c r="Z507" s="3891"/>
      <c r="AA507" s="3891"/>
      <c r="AB507" s="3891"/>
      <c r="AC507" s="389">
        <f t="shared" si="270"/>
        <v>0</v>
      </c>
      <c r="AD507" s="5"/>
      <c r="AE507" s="5"/>
      <c r="AF507" s="5"/>
      <c r="AG507" s="5"/>
      <c r="AH507" s="5"/>
      <c r="AI507" s="5"/>
      <c r="AJ507" s="5"/>
      <c r="AK507" s="5"/>
      <c r="AL507" s="5"/>
      <c r="AM507" s="5"/>
      <c r="AN507" s="5"/>
      <c r="AO507" s="5"/>
      <c r="AP507" s="5"/>
      <c r="AQ507" s="5"/>
      <c r="AR507" s="5"/>
      <c r="AS507" s="5"/>
      <c r="AT507" s="20"/>
      <c r="AU507" s="1182"/>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81"/>
      <c r="E508" s="389">
        <f t="shared" si="293"/>
        <v>0</v>
      </c>
      <c r="F508" s="20"/>
      <c r="G508" s="3890">
        <f t="shared" si="268"/>
        <v>0</v>
      </c>
      <c r="H508" s="1282">
        <f t="shared" si="269"/>
        <v>0</v>
      </c>
      <c r="I508" s="3891"/>
      <c r="J508" s="3891"/>
      <c r="K508" s="3891"/>
      <c r="L508" s="3891"/>
      <c r="M508" s="3891"/>
      <c r="N508" s="3891"/>
      <c r="O508" s="3891"/>
      <c r="P508" s="3891"/>
      <c r="Q508" s="3891"/>
      <c r="R508" s="3891"/>
      <c r="S508" s="3891"/>
      <c r="T508" s="3891"/>
      <c r="U508" s="3891"/>
      <c r="V508" s="3891"/>
      <c r="W508" s="3891"/>
      <c r="X508" s="3891"/>
      <c r="Y508" s="3891"/>
      <c r="Z508" s="3891"/>
      <c r="AA508" s="3891"/>
      <c r="AB508" s="3891"/>
      <c r="AC508" s="389">
        <f t="shared" si="270"/>
        <v>0</v>
      </c>
      <c r="AD508" s="5"/>
      <c r="AE508" s="5"/>
      <c r="AF508" s="5"/>
      <c r="AG508" s="5"/>
      <c r="AH508" s="5"/>
      <c r="AI508" s="5"/>
      <c r="AJ508" s="5"/>
      <c r="AK508" s="5"/>
      <c r="AL508" s="5"/>
      <c r="AM508" s="5"/>
      <c r="AN508" s="5"/>
      <c r="AO508" s="5"/>
      <c r="AP508" s="5"/>
      <c r="AQ508" s="5"/>
      <c r="AR508" s="5"/>
      <c r="AS508" s="5"/>
      <c r="AT508" s="20"/>
      <c r="AU508" s="1182"/>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81"/>
      <c r="E509" s="389">
        <f t="shared" si="293"/>
        <v>0</v>
      </c>
      <c r="F509" s="20"/>
      <c r="G509" s="3890">
        <f t="shared" si="268"/>
        <v>0</v>
      </c>
      <c r="H509" s="1282">
        <f t="shared" si="269"/>
        <v>0</v>
      </c>
      <c r="I509" s="3891"/>
      <c r="J509" s="3891"/>
      <c r="K509" s="3891"/>
      <c r="L509" s="3891"/>
      <c r="M509" s="3891"/>
      <c r="N509" s="3891"/>
      <c r="O509" s="3891"/>
      <c r="P509" s="3891"/>
      <c r="Q509" s="3891"/>
      <c r="R509" s="3891"/>
      <c r="S509" s="3891"/>
      <c r="T509" s="3891"/>
      <c r="U509" s="3891"/>
      <c r="V509" s="3891"/>
      <c r="W509" s="3891"/>
      <c r="X509" s="3891"/>
      <c r="Y509" s="3891"/>
      <c r="Z509" s="3891"/>
      <c r="AA509" s="3891"/>
      <c r="AB509" s="3891"/>
      <c r="AC509" s="389">
        <f t="shared" si="270"/>
        <v>0</v>
      </c>
      <c r="AD509" s="5"/>
      <c r="AE509" s="5"/>
      <c r="AF509" s="5"/>
      <c r="AG509" s="5"/>
      <c r="AH509" s="5"/>
      <c r="AI509" s="5"/>
      <c r="AJ509" s="5"/>
      <c r="AK509" s="5"/>
      <c r="AL509" s="5"/>
      <c r="AM509" s="5"/>
      <c r="AN509" s="5"/>
      <c r="AO509" s="5"/>
      <c r="AP509" s="5"/>
      <c r="AQ509" s="5"/>
      <c r="AR509" s="5"/>
      <c r="AS509" s="5"/>
      <c r="AT509" s="20"/>
      <c r="AU509" s="1182"/>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81"/>
      <c r="E510" s="389">
        <f t="shared" si="293"/>
        <v>0</v>
      </c>
      <c r="F510" s="20"/>
      <c r="G510" s="3890">
        <f t="shared" si="268"/>
        <v>0</v>
      </c>
      <c r="H510" s="1282">
        <f t="shared" si="269"/>
        <v>0</v>
      </c>
      <c r="I510" s="3891"/>
      <c r="J510" s="3891"/>
      <c r="K510" s="3891"/>
      <c r="L510" s="3891"/>
      <c r="M510" s="3891"/>
      <c r="N510" s="3891"/>
      <c r="O510" s="3891"/>
      <c r="P510" s="3891"/>
      <c r="Q510" s="3891"/>
      <c r="R510" s="3891"/>
      <c r="S510" s="3891"/>
      <c r="T510" s="3891"/>
      <c r="U510" s="3891"/>
      <c r="V510" s="3891"/>
      <c r="W510" s="3891"/>
      <c r="X510" s="3891"/>
      <c r="Y510" s="3891"/>
      <c r="Z510" s="3891"/>
      <c r="AA510" s="3891"/>
      <c r="AB510" s="3891"/>
      <c r="AC510" s="389">
        <f t="shared" si="270"/>
        <v>0</v>
      </c>
      <c r="AD510" s="5"/>
      <c r="AE510" s="5"/>
      <c r="AF510" s="5"/>
      <c r="AG510" s="5"/>
      <c r="AH510" s="5"/>
      <c r="AI510" s="5"/>
      <c r="AJ510" s="5"/>
      <c r="AK510" s="5"/>
      <c r="AL510" s="5"/>
      <c r="AM510" s="5"/>
      <c r="AN510" s="5"/>
      <c r="AO510" s="5"/>
      <c r="AP510" s="5"/>
      <c r="AQ510" s="5"/>
      <c r="AR510" s="5"/>
      <c r="AS510" s="5"/>
      <c r="AT510" s="20"/>
      <c r="AU510" s="1182"/>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81"/>
      <c r="E511" s="389">
        <f t="shared" si="293"/>
        <v>0</v>
      </c>
      <c r="F511" s="20"/>
      <c r="G511" s="3890">
        <f t="shared" si="268"/>
        <v>0</v>
      </c>
      <c r="H511" s="1282">
        <f t="shared" si="269"/>
        <v>0</v>
      </c>
      <c r="I511" s="3891"/>
      <c r="J511" s="3891"/>
      <c r="K511" s="3891"/>
      <c r="L511" s="3891"/>
      <c r="M511" s="3891"/>
      <c r="N511" s="3891"/>
      <c r="O511" s="3891"/>
      <c r="P511" s="3891"/>
      <c r="Q511" s="3891"/>
      <c r="R511" s="3891"/>
      <c r="S511" s="3891"/>
      <c r="T511" s="3891"/>
      <c r="U511" s="3891"/>
      <c r="V511" s="3891"/>
      <c r="W511" s="3891"/>
      <c r="X511" s="3891"/>
      <c r="Y511" s="3891"/>
      <c r="Z511" s="3891"/>
      <c r="AA511" s="3891"/>
      <c r="AB511" s="3891"/>
      <c r="AC511" s="389">
        <f t="shared" si="270"/>
        <v>0</v>
      </c>
      <c r="AD511" s="5"/>
      <c r="AE511" s="5"/>
      <c r="AF511" s="5"/>
      <c r="AG511" s="5"/>
      <c r="AH511" s="5"/>
      <c r="AI511" s="5"/>
      <c r="AJ511" s="5"/>
      <c r="AK511" s="5"/>
      <c r="AL511" s="5"/>
      <c r="AM511" s="5"/>
      <c r="AN511" s="5"/>
      <c r="AO511" s="5"/>
      <c r="AP511" s="5"/>
      <c r="AQ511" s="5"/>
      <c r="AR511" s="5"/>
      <c r="AS511" s="5"/>
      <c r="AT511" s="20"/>
      <c r="AU511" s="1182"/>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81"/>
      <c r="E512" s="389">
        <f t="shared" si="293"/>
        <v>0</v>
      </c>
      <c r="F512" s="20"/>
      <c r="G512" s="3890">
        <f t="shared" si="268"/>
        <v>0</v>
      </c>
      <c r="H512" s="1282">
        <f t="shared" si="269"/>
        <v>0</v>
      </c>
      <c r="I512" s="3891"/>
      <c r="J512" s="3891"/>
      <c r="K512" s="3891"/>
      <c r="L512" s="3891"/>
      <c r="M512" s="3891"/>
      <c r="N512" s="3891"/>
      <c r="O512" s="3891"/>
      <c r="P512" s="3891"/>
      <c r="Q512" s="3891"/>
      <c r="R512" s="3891"/>
      <c r="S512" s="3891"/>
      <c r="T512" s="3891"/>
      <c r="U512" s="3891"/>
      <c r="V512" s="3891"/>
      <c r="W512" s="3891"/>
      <c r="X512" s="3891"/>
      <c r="Y512" s="3891"/>
      <c r="Z512" s="3891"/>
      <c r="AA512" s="3891"/>
      <c r="AB512" s="3891"/>
      <c r="AC512" s="389">
        <f t="shared" si="270"/>
        <v>0</v>
      </c>
      <c r="AD512" s="5"/>
      <c r="AE512" s="5"/>
      <c r="AF512" s="5"/>
      <c r="AG512" s="5"/>
      <c r="AH512" s="5"/>
      <c r="AI512" s="5"/>
      <c r="AJ512" s="5"/>
      <c r="AK512" s="5"/>
      <c r="AL512" s="5"/>
      <c r="AM512" s="5"/>
      <c r="AN512" s="5"/>
      <c r="AO512" s="5"/>
      <c r="AP512" s="5"/>
      <c r="AQ512" s="5"/>
      <c r="AR512" s="5"/>
      <c r="AS512" s="5"/>
      <c r="AT512" s="20"/>
      <c r="AU512" s="1182"/>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81"/>
      <c r="E513" s="389">
        <f t="shared" si="293"/>
        <v>0</v>
      </c>
      <c r="F513" s="20"/>
      <c r="G513" s="3890">
        <f t="shared" si="268"/>
        <v>0</v>
      </c>
      <c r="H513" s="1282">
        <f t="shared" si="269"/>
        <v>0</v>
      </c>
      <c r="I513" s="3891"/>
      <c r="J513" s="3891"/>
      <c r="K513" s="3891"/>
      <c r="L513" s="3891"/>
      <c r="M513" s="3891"/>
      <c r="N513" s="3891"/>
      <c r="O513" s="3891"/>
      <c r="P513" s="3891"/>
      <c r="Q513" s="3891"/>
      <c r="R513" s="3891"/>
      <c r="S513" s="3891"/>
      <c r="T513" s="3891"/>
      <c r="U513" s="3891"/>
      <c r="V513" s="3891"/>
      <c r="W513" s="3891"/>
      <c r="X513" s="3891"/>
      <c r="Y513" s="3891"/>
      <c r="Z513" s="3891"/>
      <c r="AA513" s="3891"/>
      <c r="AB513" s="3891"/>
      <c r="AC513" s="389">
        <f t="shared" si="270"/>
        <v>0</v>
      </c>
      <c r="AD513" s="5"/>
      <c r="AE513" s="5"/>
      <c r="AF513" s="5"/>
      <c r="AG513" s="5"/>
      <c r="AH513" s="5"/>
      <c r="AI513" s="5"/>
      <c r="AJ513" s="5"/>
      <c r="AK513" s="5"/>
      <c r="AL513" s="5"/>
      <c r="AM513" s="5"/>
      <c r="AN513" s="5"/>
      <c r="AO513" s="5"/>
      <c r="AP513" s="5"/>
      <c r="AQ513" s="5"/>
      <c r="AR513" s="5"/>
      <c r="AS513" s="5"/>
      <c r="AT513" s="20"/>
      <c r="AU513" s="1182"/>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81"/>
      <c r="E514" s="389">
        <f t="shared" si="293"/>
        <v>0</v>
      </c>
      <c r="F514" s="20"/>
      <c r="G514" s="3890">
        <f t="shared" si="268"/>
        <v>0</v>
      </c>
      <c r="H514" s="1282">
        <f t="shared" si="269"/>
        <v>0</v>
      </c>
      <c r="I514" s="3891"/>
      <c r="J514" s="3891"/>
      <c r="K514" s="3891"/>
      <c r="L514" s="3891"/>
      <c r="M514" s="3891"/>
      <c r="N514" s="3891"/>
      <c r="O514" s="3891"/>
      <c r="P514" s="3891"/>
      <c r="Q514" s="3891"/>
      <c r="R514" s="3891"/>
      <c r="S514" s="3891"/>
      <c r="T514" s="3891"/>
      <c r="U514" s="3891"/>
      <c r="V514" s="3891"/>
      <c r="W514" s="3891"/>
      <c r="X514" s="3891"/>
      <c r="Y514" s="3891"/>
      <c r="Z514" s="3891"/>
      <c r="AA514" s="3891"/>
      <c r="AB514" s="3891"/>
      <c r="AC514" s="389">
        <f t="shared" si="270"/>
        <v>0</v>
      </c>
      <c r="AD514" s="5"/>
      <c r="AE514" s="5"/>
      <c r="AF514" s="5"/>
      <c r="AG514" s="5"/>
      <c r="AH514" s="5"/>
      <c r="AI514" s="5"/>
      <c r="AJ514" s="5"/>
      <c r="AK514" s="5"/>
      <c r="AL514" s="5"/>
      <c r="AM514" s="5"/>
      <c r="AN514" s="5"/>
      <c r="AO514" s="5"/>
      <c r="AP514" s="5"/>
      <c r="AQ514" s="5"/>
      <c r="AR514" s="5"/>
      <c r="AS514" s="5"/>
      <c r="AT514" s="20"/>
      <c r="AU514" s="1182"/>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81"/>
      <c r="E515" s="389">
        <f t="shared" si="293"/>
        <v>0</v>
      </c>
      <c r="F515" s="20"/>
      <c r="G515" s="3890">
        <f t="shared" si="268"/>
        <v>0</v>
      </c>
      <c r="H515" s="1282">
        <f t="shared" si="269"/>
        <v>0</v>
      </c>
      <c r="I515" s="3891"/>
      <c r="J515" s="3891"/>
      <c r="K515" s="3891"/>
      <c r="L515" s="3891"/>
      <c r="M515" s="3891"/>
      <c r="N515" s="3891"/>
      <c r="O515" s="3891"/>
      <c r="P515" s="3891"/>
      <c r="Q515" s="3891"/>
      <c r="R515" s="3891"/>
      <c r="S515" s="3891"/>
      <c r="T515" s="3891"/>
      <c r="U515" s="3891"/>
      <c r="V515" s="3891"/>
      <c r="W515" s="3891"/>
      <c r="X515" s="3891"/>
      <c r="Y515" s="3891"/>
      <c r="Z515" s="3891"/>
      <c r="AA515" s="3891"/>
      <c r="AB515" s="3891"/>
      <c r="AC515" s="389">
        <f t="shared" si="270"/>
        <v>0</v>
      </c>
      <c r="AD515" s="5"/>
      <c r="AE515" s="5"/>
      <c r="AF515" s="5"/>
      <c r="AG515" s="5"/>
      <c r="AH515" s="5"/>
      <c r="AI515" s="5"/>
      <c r="AJ515" s="5"/>
      <c r="AK515" s="5"/>
      <c r="AL515" s="5"/>
      <c r="AM515" s="5"/>
      <c r="AN515" s="5"/>
      <c r="AO515" s="5"/>
      <c r="AP515" s="5"/>
      <c r="AQ515" s="5"/>
      <c r="AR515" s="5"/>
      <c r="AS515" s="5"/>
      <c r="AT515" s="20"/>
      <c r="AU515" s="1182"/>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81"/>
      <c r="E516" s="389">
        <f t="shared" si="293"/>
        <v>0</v>
      </c>
      <c r="F516" s="20"/>
      <c r="G516" s="3890">
        <f t="shared" si="268"/>
        <v>0</v>
      </c>
      <c r="H516" s="1282">
        <f t="shared" si="269"/>
        <v>0</v>
      </c>
      <c r="I516" s="3891"/>
      <c r="J516" s="3891"/>
      <c r="K516" s="3891"/>
      <c r="L516" s="3891"/>
      <c r="M516" s="3891"/>
      <c r="N516" s="3891"/>
      <c r="O516" s="3891"/>
      <c r="P516" s="3891"/>
      <c r="Q516" s="3891"/>
      <c r="R516" s="3891"/>
      <c r="S516" s="3891"/>
      <c r="T516" s="3891"/>
      <c r="U516" s="3891"/>
      <c r="V516" s="3891"/>
      <c r="W516" s="3891"/>
      <c r="X516" s="3891"/>
      <c r="Y516" s="3891"/>
      <c r="Z516" s="3891"/>
      <c r="AA516" s="3891"/>
      <c r="AB516" s="3891"/>
      <c r="AC516" s="389">
        <f t="shared" si="270"/>
        <v>0</v>
      </c>
      <c r="AD516" s="5"/>
      <c r="AE516" s="5"/>
      <c r="AF516" s="5"/>
      <c r="AG516" s="5"/>
      <c r="AH516" s="5"/>
      <c r="AI516" s="5"/>
      <c r="AJ516" s="5"/>
      <c r="AK516" s="5"/>
      <c r="AL516" s="5"/>
      <c r="AM516" s="5"/>
      <c r="AN516" s="5"/>
      <c r="AO516" s="5"/>
      <c r="AP516" s="5"/>
      <c r="AQ516" s="5"/>
      <c r="AR516" s="5"/>
      <c r="AS516" s="5"/>
      <c r="AT516" s="20"/>
      <c r="AU516" s="1182"/>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81"/>
      <c r="E517" s="389">
        <f t="shared" si="293"/>
        <v>0</v>
      </c>
      <c r="F517" s="20"/>
      <c r="G517" s="3890">
        <f t="shared" si="268"/>
        <v>0</v>
      </c>
      <c r="H517" s="1282">
        <f t="shared" si="269"/>
        <v>0</v>
      </c>
      <c r="I517" s="3891"/>
      <c r="J517" s="3891"/>
      <c r="K517" s="3891"/>
      <c r="L517" s="3891"/>
      <c r="M517" s="3891"/>
      <c r="N517" s="3891"/>
      <c r="O517" s="3891"/>
      <c r="P517" s="3891"/>
      <c r="Q517" s="3891"/>
      <c r="R517" s="3891"/>
      <c r="S517" s="3891"/>
      <c r="T517" s="3891"/>
      <c r="U517" s="3891"/>
      <c r="V517" s="3891"/>
      <c r="W517" s="3891"/>
      <c r="X517" s="3891"/>
      <c r="Y517" s="3891"/>
      <c r="Z517" s="3891"/>
      <c r="AA517" s="3891"/>
      <c r="AB517" s="3891"/>
      <c r="AC517" s="389">
        <f t="shared" si="270"/>
        <v>0</v>
      </c>
      <c r="AD517" s="5"/>
      <c r="AE517" s="5"/>
      <c r="AF517" s="5"/>
      <c r="AG517" s="5"/>
      <c r="AH517" s="5"/>
      <c r="AI517" s="5"/>
      <c r="AJ517" s="5"/>
      <c r="AK517" s="5"/>
      <c r="AL517" s="5"/>
      <c r="AM517" s="5"/>
      <c r="AN517" s="5"/>
      <c r="AO517" s="5"/>
      <c r="AP517" s="5"/>
      <c r="AQ517" s="5"/>
      <c r="AR517" s="5"/>
      <c r="AS517" s="5"/>
      <c r="AT517" s="20"/>
      <c r="AU517" s="1182"/>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81"/>
      <c r="E518" s="389">
        <f t="shared" si="293"/>
        <v>0</v>
      </c>
      <c r="F518" s="20"/>
      <c r="G518" s="3890">
        <f t="shared" si="268"/>
        <v>0</v>
      </c>
      <c r="H518" s="1282">
        <f t="shared" si="269"/>
        <v>0</v>
      </c>
      <c r="I518" s="3891"/>
      <c r="J518" s="3891"/>
      <c r="K518" s="3891"/>
      <c r="L518" s="3891"/>
      <c r="M518" s="3891"/>
      <c r="N518" s="3891"/>
      <c r="O518" s="3891"/>
      <c r="P518" s="3891"/>
      <c r="Q518" s="3891"/>
      <c r="R518" s="3891"/>
      <c r="S518" s="3891"/>
      <c r="T518" s="3891"/>
      <c r="U518" s="3891"/>
      <c r="V518" s="3891"/>
      <c r="W518" s="3891"/>
      <c r="X518" s="3891"/>
      <c r="Y518" s="3891"/>
      <c r="Z518" s="3891"/>
      <c r="AA518" s="3891"/>
      <c r="AB518" s="3891"/>
      <c r="AC518" s="389">
        <f t="shared" si="270"/>
        <v>0</v>
      </c>
      <c r="AD518" s="5"/>
      <c r="AE518" s="5"/>
      <c r="AF518" s="5"/>
      <c r="AG518" s="5"/>
      <c r="AH518" s="5"/>
      <c r="AI518" s="5"/>
      <c r="AJ518" s="5"/>
      <c r="AK518" s="5"/>
      <c r="AL518" s="5"/>
      <c r="AM518" s="5"/>
      <c r="AN518" s="5"/>
      <c r="AO518" s="5"/>
      <c r="AP518" s="5"/>
      <c r="AQ518" s="5"/>
      <c r="AR518" s="5"/>
      <c r="AS518" s="5"/>
      <c r="AT518" s="20"/>
      <c r="AU518" s="1182"/>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81"/>
      <c r="E519" s="389">
        <f t="shared" si="293"/>
        <v>0</v>
      </c>
      <c r="F519" s="20"/>
      <c r="G519" s="3890">
        <f t="shared" si="268"/>
        <v>0</v>
      </c>
      <c r="H519" s="1282">
        <f t="shared" si="269"/>
        <v>0</v>
      </c>
      <c r="I519" s="3891"/>
      <c r="J519" s="3891"/>
      <c r="K519" s="3891"/>
      <c r="L519" s="3891"/>
      <c r="M519" s="3891"/>
      <c r="N519" s="3891"/>
      <c r="O519" s="3891"/>
      <c r="P519" s="3891"/>
      <c r="Q519" s="3891"/>
      <c r="R519" s="3891"/>
      <c r="S519" s="3891"/>
      <c r="T519" s="3891"/>
      <c r="U519" s="3891"/>
      <c r="V519" s="3891"/>
      <c r="W519" s="3891"/>
      <c r="X519" s="3891"/>
      <c r="Y519" s="3891"/>
      <c r="Z519" s="3891"/>
      <c r="AA519" s="3891"/>
      <c r="AB519" s="3891"/>
      <c r="AC519" s="389">
        <f t="shared" si="270"/>
        <v>0</v>
      </c>
      <c r="AD519" s="5"/>
      <c r="AE519" s="5"/>
      <c r="AF519" s="5"/>
      <c r="AG519" s="5"/>
      <c r="AH519" s="5"/>
      <c r="AI519" s="5"/>
      <c r="AJ519" s="5"/>
      <c r="AK519" s="5"/>
      <c r="AL519" s="5"/>
      <c r="AM519" s="5"/>
      <c r="AN519" s="5"/>
      <c r="AO519" s="5"/>
      <c r="AP519" s="5"/>
      <c r="AQ519" s="5"/>
      <c r="AR519" s="5"/>
      <c r="AS519" s="5"/>
      <c r="AT519" s="20"/>
      <c r="AU519" s="1182"/>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81"/>
      <c r="E520" s="389">
        <f t="shared" ref="E520:E551" si="297">IF($C$3="是",ROUND($A$3*G520/$B$3,2),ROUND($A$3*(G520-AT520)/$B$3,2))</f>
        <v>0</v>
      </c>
      <c r="F520" s="20"/>
      <c r="G520" s="3890">
        <f t="shared" si="268"/>
        <v>0</v>
      </c>
      <c r="H520" s="1282">
        <f t="shared" si="269"/>
        <v>0</v>
      </c>
      <c r="I520" s="3891"/>
      <c r="J520" s="3891"/>
      <c r="K520" s="3891"/>
      <c r="L520" s="3891"/>
      <c r="M520" s="3891"/>
      <c r="N520" s="3891"/>
      <c r="O520" s="3891"/>
      <c r="P520" s="3891"/>
      <c r="Q520" s="3891"/>
      <c r="R520" s="3891"/>
      <c r="S520" s="3891"/>
      <c r="T520" s="3891"/>
      <c r="U520" s="3891"/>
      <c r="V520" s="3891"/>
      <c r="W520" s="3891"/>
      <c r="X520" s="3891"/>
      <c r="Y520" s="3891"/>
      <c r="Z520" s="3891"/>
      <c r="AA520" s="3891"/>
      <c r="AB520" s="3891"/>
      <c r="AC520" s="389">
        <f t="shared" si="270"/>
        <v>0</v>
      </c>
      <c r="AD520" s="5"/>
      <c r="AE520" s="5"/>
      <c r="AF520" s="5"/>
      <c r="AG520" s="5"/>
      <c r="AH520" s="5"/>
      <c r="AI520" s="5"/>
      <c r="AJ520" s="5"/>
      <c r="AK520" s="5"/>
      <c r="AL520" s="5"/>
      <c r="AM520" s="5"/>
      <c r="AN520" s="5"/>
      <c r="AO520" s="5"/>
      <c r="AP520" s="5"/>
      <c r="AQ520" s="5"/>
      <c r="AR520" s="5"/>
      <c r="AS520" s="5"/>
      <c r="AT520" s="20"/>
      <c r="AU520" s="1182"/>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81"/>
      <c r="E521" s="389">
        <f t="shared" si="297"/>
        <v>0</v>
      </c>
      <c r="F521" s="20"/>
      <c r="G521" s="3890">
        <f t="shared" si="268"/>
        <v>0</v>
      </c>
      <c r="H521" s="1282">
        <f t="shared" si="269"/>
        <v>0</v>
      </c>
      <c r="I521" s="3891"/>
      <c r="J521" s="3891"/>
      <c r="K521" s="3891"/>
      <c r="L521" s="3891"/>
      <c r="M521" s="3891"/>
      <c r="N521" s="3891"/>
      <c r="O521" s="3891"/>
      <c r="P521" s="3891"/>
      <c r="Q521" s="3891"/>
      <c r="R521" s="3891"/>
      <c r="S521" s="3891"/>
      <c r="T521" s="3891"/>
      <c r="U521" s="3891"/>
      <c r="V521" s="3891"/>
      <c r="W521" s="3891"/>
      <c r="X521" s="3891"/>
      <c r="Y521" s="3891"/>
      <c r="Z521" s="3891"/>
      <c r="AA521" s="3891"/>
      <c r="AB521" s="3891"/>
      <c r="AC521" s="389">
        <f t="shared" si="270"/>
        <v>0</v>
      </c>
      <c r="AD521" s="5"/>
      <c r="AE521" s="5"/>
      <c r="AF521" s="5"/>
      <c r="AG521" s="5"/>
      <c r="AH521" s="5"/>
      <c r="AI521" s="5"/>
      <c r="AJ521" s="5"/>
      <c r="AK521" s="5"/>
      <c r="AL521" s="5"/>
      <c r="AM521" s="5"/>
      <c r="AN521" s="5"/>
      <c r="AO521" s="5"/>
      <c r="AP521" s="5"/>
      <c r="AQ521" s="5"/>
      <c r="AR521" s="5"/>
      <c r="AS521" s="5"/>
      <c r="AT521" s="20"/>
      <c r="AU521" s="1182"/>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81"/>
      <c r="E522" s="389">
        <f t="shared" si="297"/>
        <v>0</v>
      </c>
      <c r="F522" s="20"/>
      <c r="G522" s="3890">
        <f t="shared" ref="G522:G552" si="301">H522+AC522+AT522</f>
        <v>0</v>
      </c>
      <c r="H522" s="1282">
        <f t="shared" ref="H522:H552" si="302">SUMIF(I$12:AB$12,"总值",I522:AB522)</f>
        <v>0</v>
      </c>
      <c r="I522" s="3891"/>
      <c r="J522" s="3891"/>
      <c r="K522" s="3891"/>
      <c r="L522" s="3891"/>
      <c r="M522" s="3891"/>
      <c r="N522" s="3891"/>
      <c r="O522" s="3891"/>
      <c r="P522" s="3891"/>
      <c r="Q522" s="3891"/>
      <c r="R522" s="3891"/>
      <c r="S522" s="3891"/>
      <c r="T522" s="3891"/>
      <c r="U522" s="3891"/>
      <c r="V522" s="3891"/>
      <c r="W522" s="3891"/>
      <c r="X522" s="3891"/>
      <c r="Y522" s="3891"/>
      <c r="Z522" s="3891"/>
      <c r="AA522" s="3891"/>
      <c r="AB522" s="3891"/>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82"/>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81"/>
      <c r="E523" s="389">
        <f t="shared" si="297"/>
        <v>0</v>
      </c>
      <c r="F523" s="20"/>
      <c r="G523" s="3890">
        <f t="shared" si="301"/>
        <v>0</v>
      </c>
      <c r="H523" s="1282">
        <f t="shared" si="302"/>
        <v>0</v>
      </c>
      <c r="I523" s="3891"/>
      <c r="J523" s="3891"/>
      <c r="K523" s="3891"/>
      <c r="L523" s="3891"/>
      <c r="M523" s="3891"/>
      <c r="N523" s="3891"/>
      <c r="O523" s="3891"/>
      <c r="P523" s="3891"/>
      <c r="Q523" s="3891"/>
      <c r="R523" s="3891"/>
      <c r="S523" s="3891"/>
      <c r="T523" s="3891"/>
      <c r="U523" s="3891"/>
      <c r="V523" s="3891"/>
      <c r="W523" s="3891"/>
      <c r="X523" s="3891"/>
      <c r="Y523" s="3891"/>
      <c r="Z523" s="3891"/>
      <c r="AA523" s="3891"/>
      <c r="AB523" s="3891"/>
      <c r="AC523" s="389">
        <f t="shared" si="303"/>
        <v>0</v>
      </c>
      <c r="AD523" s="5"/>
      <c r="AE523" s="5"/>
      <c r="AF523" s="5"/>
      <c r="AG523" s="5"/>
      <c r="AH523" s="5"/>
      <c r="AI523" s="5"/>
      <c r="AJ523" s="5"/>
      <c r="AK523" s="5"/>
      <c r="AL523" s="5"/>
      <c r="AM523" s="5"/>
      <c r="AN523" s="5"/>
      <c r="AO523" s="5"/>
      <c r="AP523" s="5"/>
      <c r="AQ523" s="5"/>
      <c r="AR523" s="5"/>
      <c r="AS523" s="5"/>
      <c r="AT523" s="20"/>
      <c r="AU523" s="1182"/>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81"/>
      <c r="E524" s="389">
        <f t="shared" si="297"/>
        <v>0</v>
      </c>
      <c r="F524" s="20"/>
      <c r="G524" s="3890">
        <f t="shared" si="301"/>
        <v>0</v>
      </c>
      <c r="H524" s="1282">
        <f t="shared" si="302"/>
        <v>0</v>
      </c>
      <c r="I524" s="3891"/>
      <c r="J524" s="3891"/>
      <c r="K524" s="3891"/>
      <c r="L524" s="3891"/>
      <c r="M524" s="3891"/>
      <c r="N524" s="3891"/>
      <c r="O524" s="3891"/>
      <c r="P524" s="3891"/>
      <c r="Q524" s="3891"/>
      <c r="R524" s="3891"/>
      <c r="S524" s="3891"/>
      <c r="T524" s="3891"/>
      <c r="U524" s="3891"/>
      <c r="V524" s="3891"/>
      <c r="W524" s="3891"/>
      <c r="X524" s="3891"/>
      <c r="Y524" s="3891"/>
      <c r="Z524" s="3891"/>
      <c r="AA524" s="3891"/>
      <c r="AB524" s="3891"/>
      <c r="AC524" s="389">
        <f t="shared" si="303"/>
        <v>0</v>
      </c>
      <c r="AD524" s="5"/>
      <c r="AE524" s="5"/>
      <c r="AF524" s="5"/>
      <c r="AG524" s="5"/>
      <c r="AH524" s="5"/>
      <c r="AI524" s="5"/>
      <c r="AJ524" s="5"/>
      <c r="AK524" s="5"/>
      <c r="AL524" s="5"/>
      <c r="AM524" s="5"/>
      <c r="AN524" s="5"/>
      <c r="AO524" s="5"/>
      <c r="AP524" s="5"/>
      <c r="AQ524" s="5"/>
      <c r="AR524" s="5"/>
      <c r="AS524" s="5"/>
      <c r="AT524" s="20"/>
      <c r="AU524" s="1182"/>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81"/>
      <c r="E525" s="389">
        <f t="shared" si="297"/>
        <v>0</v>
      </c>
      <c r="F525" s="20"/>
      <c r="G525" s="3890">
        <f t="shared" si="301"/>
        <v>0</v>
      </c>
      <c r="H525" s="1282">
        <f t="shared" si="302"/>
        <v>0</v>
      </c>
      <c r="I525" s="3891"/>
      <c r="J525" s="3891"/>
      <c r="K525" s="3891"/>
      <c r="L525" s="3891"/>
      <c r="M525" s="3891"/>
      <c r="N525" s="3891"/>
      <c r="O525" s="3891"/>
      <c r="P525" s="3891"/>
      <c r="Q525" s="3891"/>
      <c r="R525" s="3891"/>
      <c r="S525" s="3891"/>
      <c r="T525" s="3891"/>
      <c r="U525" s="3891"/>
      <c r="V525" s="3891"/>
      <c r="W525" s="3891"/>
      <c r="X525" s="3891"/>
      <c r="Y525" s="3891"/>
      <c r="Z525" s="3891"/>
      <c r="AA525" s="3891"/>
      <c r="AB525" s="3891"/>
      <c r="AC525" s="389">
        <f t="shared" si="303"/>
        <v>0</v>
      </c>
      <c r="AD525" s="5"/>
      <c r="AE525" s="5"/>
      <c r="AF525" s="5"/>
      <c r="AG525" s="5"/>
      <c r="AH525" s="5"/>
      <c r="AI525" s="5"/>
      <c r="AJ525" s="5"/>
      <c r="AK525" s="5"/>
      <c r="AL525" s="5"/>
      <c r="AM525" s="5"/>
      <c r="AN525" s="5"/>
      <c r="AO525" s="5"/>
      <c r="AP525" s="5"/>
      <c r="AQ525" s="5"/>
      <c r="AR525" s="5"/>
      <c r="AS525" s="5"/>
      <c r="AT525" s="20"/>
      <c r="AU525" s="1182"/>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81"/>
      <c r="E526" s="389">
        <f t="shared" si="297"/>
        <v>0</v>
      </c>
      <c r="F526" s="20"/>
      <c r="G526" s="3890">
        <f t="shared" si="301"/>
        <v>0</v>
      </c>
      <c r="H526" s="1282">
        <f t="shared" si="302"/>
        <v>0</v>
      </c>
      <c r="I526" s="3891"/>
      <c r="J526" s="3891"/>
      <c r="K526" s="3891"/>
      <c r="L526" s="3891"/>
      <c r="M526" s="3891"/>
      <c r="N526" s="3891"/>
      <c r="O526" s="3891"/>
      <c r="P526" s="3891"/>
      <c r="Q526" s="3891"/>
      <c r="R526" s="3891"/>
      <c r="S526" s="3891"/>
      <c r="T526" s="3891"/>
      <c r="U526" s="3891"/>
      <c r="V526" s="3891"/>
      <c r="W526" s="3891"/>
      <c r="X526" s="3891"/>
      <c r="Y526" s="3891"/>
      <c r="Z526" s="3891"/>
      <c r="AA526" s="3891"/>
      <c r="AB526" s="3891"/>
      <c r="AC526" s="389">
        <f t="shared" si="303"/>
        <v>0</v>
      </c>
      <c r="AD526" s="5"/>
      <c r="AE526" s="5"/>
      <c r="AF526" s="5"/>
      <c r="AG526" s="5"/>
      <c r="AH526" s="5"/>
      <c r="AI526" s="5"/>
      <c r="AJ526" s="5"/>
      <c r="AK526" s="5"/>
      <c r="AL526" s="5"/>
      <c r="AM526" s="5"/>
      <c r="AN526" s="5"/>
      <c r="AO526" s="5"/>
      <c r="AP526" s="5"/>
      <c r="AQ526" s="5"/>
      <c r="AR526" s="5"/>
      <c r="AS526" s="5"/>
      <c r="AT526" s="20"/>
      <c r="AU526" s="1182"/>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81"/>
      <c r="E527" s="389">
        <f t="shared" si="297"/>
        <v>0</v>
      </c>
      <c r="F527" s="20"/>
      <c r="G527" s="3890">
        <f t="shared" si="301"/>
        <v>0</v>
      </c>
      <c r="H527" s="1282">
        <f t="shared" si="302"/>
        <v>0</v>
      </c>
      <c r="I527" s="3891"/>
      <c r="J527" s="3891"/>
      <c r="K527" s="3891"/>
      <c r="L527" s="3891"/>
      <c r="M527" s="3891"/>
      <c r="N527" s="3891"/>
      <c r="O527" s="3891"/>
      <c r="P527" s="3891"/>
      <c r="Q527" s="3891"/>
      <c r="R527" s="3891"/>
      <c r="S527" s="3891"/>
      <c r="T527" s="3891"/>
      <c r="U527" s="3891"/>
      <c r="V527" s="3891"/>
      <c r="W527" s="3891"/>
      <c r="X527" s="3891"/>
      <c r="Y527" s="3891"/>
      <c r="Z527" s="3891"/>
      <c r="AA527" s="3891"/>
      <c r="AB527" s="3891"/>
      <c r="AC527" s="389">
        <f t="shared" si="303"/>
        <v>0</v>
      </c>
      <c r="AD527" s="5"/>
      <c r="AE527" s="5"/>
      <c r="AF527" s="5"/>
      <c r="AG527" s="5"/>
      <c r="AH527" s="5"/>
      <c r="AI527" s="5"/>
      <c r="AJ527" s="5"/>
      <c r="AK527" s="5"/>
      <c r="AL527" s="5"/>
      <c r="AM527" s="5"/>
      <c r="AN527" s="5"/>
      <c r="AO527" s="5"/>
      <c r="AP527" s="5"/>
      <c r="AQ527" s="5"/>
      <c r="AR527" s="5"/>
      <c r="AS527" s="5"/>
      <c r="AT527" s="20"/>
      <c r="AU527" s="1182"/>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81"/>
      <c r="E528" s="389">
        <f t="shared" si="297"/>
        <v>0</v>
      </c>
      <c r="F528" s="20"/>
      <c r="G528" s="3890">
        <f t="shared" si="301"/>
        <v>0</v>
      </c>
      <c r="H528" s="1282">
        <f t="shared" si="302"/>
        <v>0</v>
      </c>
      <c r="I528" s="3891"/>
      <c r="J528" s="3891"/>
      <c r="K528" s="3891"/>
      <c r="L528" s="3891"/>
      <c r="M528" s="3891"/>
      <c r="N528" s="3891"/>
      <c r="O528" s="3891"/>
      <c r="P528" s="3891"/>
      <c r="Q528" s="3891"/>
      <c r="R528" s="3891"/>
      <c r="S528" s="3891"/>
      <c r="T528" s="3891"/>
      <c r="U528" s="3891"/>
      <c r="V528" s="3891"/>
      <c r="W528" s="3891"/>
      <c r="X528" s="3891"/>
      <c r="Y528" s="3891"/>
      <c r="Z528" s="3891"/>
      <c r="AA528" s="3891"/>
      <c r="AB528" s="3891"/>
      <c r="AC528" s="389">
        <f t="shared" si="303"/>
        <v>0</v>
      </c>
      <c r="AD528" s="5"/>
      <c r="AE528" s="5"/>
      <c r="AF528" s="5"/>
      <c r="AG528" s="5"/>
      <c r="AH528" s="5"/>
      <c r="AI528" s="5"/>
      <c r="AJ528" s="5"/>
      <c r="AK528" s="5"/>
      <c r="AL528" s="5"/>
      <c r="AM528" s="5"/>
      <c r="AN528" s="5"/>
      <c r="AO528" s="5"/>
      <c r="AP528" s="5"/>
      <c r="AQ528" s="5"/>
      <c r="AR528" s="5"/>
      <c r="AS528" s="5"/>
      <c r="AT528" s="20"/>
      <c r="AU528" s="1182"/>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81"/>
      <c r="E529" s="389">
        <f t="shared" si="297"/>
        <v>0</v>
      </c>
      <c r="F529" s="20"/>
      <c r="G529" s="3890">
        <f t="shared" si="301"/>
        <v>0</v>
      </c>
      <c r="H529" s="1282">
        <f t="shared" si="302"/>
        <v>0</v>
      </c>
      <c r="I529" s="3891"/>
      <c r="J529" s="3891"/>
      <c r="K529" s="3891"/>
      <c r="L529" s="3891"/>
      <c r="M529" s="3891"/>
      <c r="N529" s="3891"/>
      <c r="O529" s="3891"/>
      <c r="P529" s="3891"/>
      <c r="Q529" s="3891"/>
      <c r="R529" s="3891"/>
      <c r="S529" s="3891"/>
      <c r="T529" s="3891"/>
      <c r="U529" s="3891"/>
      <c r="V529" s="3891"/>
      <c r="W529" s="3891"/>
      <c r="X529" s="3891"/>
      <c r="Y529" s="3891"/>
      <c r="Z529" s="3891"/>
      <c r="AA529" s="3891"/>
      <c r="AB529" s="3891"/>
      <c r="AC529" s="389">
        <f t="shared" si="303"/>
        <v>0</v>
      </c>
      <c r="AD529" s="5"/>
      <c r="AE529" s="5"/>
      <c r="AF529" s="5"/>
      <c r="AG529" s="5"/>
      <c r="AH529" s="5"/>
      <c r="AI529" s="5"/>
      <c r="AJ529" s="5"/>
      <c r="AK529" s="5"/>
      <c r="AL529" s="5"/>
      <c r="AM529" s="5"/>
      <c r="AN529" s="5"/>
      <c r="AO529" s="5"/>
      <c r="AP529" s="5"/>
      <c r="AQ529" s="5"/>
      <c r="AR529" s="5"/>
      <c r="AS529" s="5"/>
      <c r="AT529" s="20"/>
      <c r="AU529" s="1182"/>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81"/>
      <c r="E530" s="389">
        <f t="shared" si="297"/>
        <v>0</v>
      </c>
      <c r="F530" s="20"/>
      <c r="G530" s="3890">
        <f t="shared" si="301"/>
        <v>0</v>
      </c>
      <c r="H530" s="1282">
        <f t="shared" si="302"/>
        <v>0</v>
      </c>
      <c r="I530" s="3891"/>
      <c r="J530" s="3891"/>
      <c r="K530" s="3891"/>
      <c r="L530" s="3891"/>
      <c r="M530" s="3891"/>
      <c r="N530" s="3891"/>
      <c r="O530" s="3891"/>
      <c r="P530" s="3891"/>
      <c r="Q530" s="3891"/>
      <c r="R530" s="3891"/>
      <c r="S530" s="3891"/>
      <c r="T530" s="3891"/>
      <c r="U530" s="3891"/>
      <c r="V530" s="3891"/>
      <c r="W530" s="3891"/>
      <c r="X530" s="3891"/>
      <c r="Y530" s="3891"/>
      <c r="Z530" s="3891"/>
      <c r="AA530" s="3891"/>
      <c r="AB530" s="3891"/>
      <c r="AC530" s="389">
        <f t="shared" si="303"/>
        <v>0</v>
      </c>
      <c r="AD530" s="5"/>
      <c r="AE530" s="5"/>
      <c r="AF530" s="5"/>
      <c r="AG530" s="5"/>
      <c r="AH530" s="5"/>
      <c r="AI530" s="5"/>
      <c r="AJ530" s="5"/>
      <c r="AK530" s="5"/>
      <c r="AL530" s="5"/>
      <c r="AM530" s="5"/>
      <c r="AN530" s="5"/>
      <c r="AO530" s="5"/>
      <c r="AP530" s="5"/>
      <c r="AQ530" s="5"/>
      <c r="AR530" s="5"/>
      <c r="AS530" s="5"/>
      <c r="AT530" s="20"/>
      <c r="AU530" s="1182"/>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81"/>
      <c r="E531" s="389">
        <f t="shared" si="297"/>
        <v>0</v>
      </c>
      <c r="F531" s="20"/>
      <c r="G531" s="3890">
        <f t="shared" si="301"/>
        <v>0</v>
      </c>
      <c r="H531" s="1282">
        <f t="shared" si="302"/>
        <v>0</v>
      </c>
      <c r="I531" s="3891"/>
      <c r="J531" s="3891"/>
      <c r="K531" s="3891"/>
      <c r="L531" s="3891"/>
      <c r="M531" s="3891"/>
      <c r="N531" s="3891"/>
      <c r="O531" s="3891"/>
      <c r="P531" s="3891"/>
      <c r="Q531" s="3891"/>
      <c r="R531" s="3891"/>
      <c r="S531" s="3891"/>
      <c r="T531" s="3891"/>
      <c r="U531" s="3891"/>
      <c r="V531" s="3891"/>
      <c r="W531" s="3891"/>
      <c r="X531" s="3891"/>
      <c r="Y531" s="3891"/>
      <c r="Z531" s="3891"/>
      <c r="AA531" s="3891"/>
      <c r="AB531" s="3891"/>
      <c r="AC531" s="389">
        <f t="shared" si="303"/>
        <v>0</v>
      </c>
      <c r="AD531" s="5"/>
      <c r="AE531" s="5"/>
      <c r="AF531" s="5"/>
      <c r="AG531" s="5"/>
      <c r="AH531" s="5"/>
      <c r="AI531" s="5"/>
      <c r="AJ531" s="5"/>
      <c r="AK531" s="5"/>
      <c r="AL531" s="5"/>
      <c r="AM531" s="5"/>
      <c r="AN531" s="5"/>
      <c r="AO531" s="5"/>
      <c r="AP531" s="5"/>
      <c r="AQ531" s="5"/>
      <c r="AR531" s="5"/>
      <c r="AS531" s="5"/>
      <c r="AT531" s="20"/>
      <c r="AU531" s="1182"/>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81"/>
      <c r="E532" s="389">
        <f t="shared" si="297"/>
        <v>0</v>
      </c>
      <c r="F532" s="20"/>
      <c r="G532" s="3890">
        <f t="shared" si="301"/>
        <v>0</v>
      </c>
      <c r="H532" s="1282">
        <f t="shared" si="302"/>
        <v>0</v>
      </c>
      <c r="I532" s="3891"/>
      <c r="J532" s="3891"/>
      <c r="K532" s="3891"/>
      <c r="L532" s="3891"/>
      <c r="M532" s="3891"/>
      <c r="N532" s="3891"/>
      <c r="O532" s="3891"/>
      <c r="P532" s="3891"/>
      <c r="Q532" s="3891"/>
      <c r="R532" s="3891"/>
      <c r="S532" s="3891"/>
      <c r="T532" s="3891"/>
      <c r="U532" s="3891"/>
      <c r="V532" s="3891"/>
      <c r="W532" s="3891"/>
      <c r="X532" s="3891"/>
      <c r="Y532" s="3891"/>
      <c r="Z532" s="3891"/>
      <c r="AA532" s="3891"/>
      <c r="AB532" s="3891"/>
      <c r="AC532" s="389">
        <f t="shared" si="303"/>
        <v>0</v>
      </c>
      <c r="AD532" s="5"/>
      <c r="AE532" s="5"/>
      <c r="AF532" s="5"/>
      <c r="AG532" s="5"/>
      <c r="AH532" s="5"/>
      <c r="AI532" s="5"/>
      <c r="AJ532" s="5"/>
      <c r="AK532" s="5"/>
      <c r="AL532" s="5"/>
      <c r="AM532" s="5"/>
      <c r="AN532" s="5"/>
      <c r="AO532" s="5"/>
      <c r="AP532" s="5"/>
      <c r="AQ532" s="5"/>
      <c r="AR532" s="5"/>
      <c r="AS532" s="5"/>
      <c r="AT532" s="20"/>
      <c r="AU532" s="1182"/>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81"/>
      <c r="E533" s="389">
        <f t="shared" si="297"/>
        <v>0</v>
      </c>
      <c r="F533" s="20"/>
      <c r="G533" s="3890">
        <f t="shared" si="301"/>
        <v>0</v>
      </c>
      <c r="H533" s="1282">
        <f t="shared" si="302"/>
        <v>0</v>
      </c>
      <c r="I533" s="3891"/>
      <c r="J533" s="3891"/>
      <c r="K533" s="3891"/>
      <c r="L533" s="3891"/>
      <c r="M533" s="3891"/>
      <c r="N533" s="3891"/>
      <c r="O533" s="3891"/>
      <c r="P533" s="3891"/>
      <c r="Q533" s="3891"/>
      <c r="R533" s="3891"/>
      <c r="S533" s="3891"/>
      <c r="T533" s="3891"/>
      <c r="U533" s="3891"/>
      <c r="V533" s="3891"/>
      <c r="W533" s="3891"/>
      <c r="X533" s="3891"/>
      <c r="Y533" s="3891"/>
      <c r="Z533" s="3891"/>
      <c r="AA533" s="3891"/>
      <c r="AB533" s="3891"/>
      <c r="AC533" s="389">
        <f t="shared" si="303"/>
        <v>0</v>
      </c>
      <c r="AD533" s="5"/>
      <c r="AE533" s="5"/>
      <c r="AF533" s="5"/>
      <c r="AG533" s="5"/>
      <c r="AH533" s="5"/>
      <c r="AI533" s="5"/>
      <c r="AJ533" s="5"/>
      <c r="AK533" s="5"/>
      <c r="AL533" s="5"/>
      <c r="AM533" s="5"/>
      <c r="AN533" s="5"/>
      <c r="AO533" s="5"/>
      <c r="AP533" s="5"/>
      <c r="AQ533" s="5"/>
      <c r="AR533" s="5"/>
      <c r="AS533" s="5"/>
      <c r="AT533" s="20"/>
      <c r="AU533" s="1182"/>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81"/>
      <c r="E534" s="389">
        <f t="shared" si="297"/>
        <v>0</v>
      </c>
      <c r="F534" s="20"/>
      <c r="G534" s="3890">
        <f t="shared" si="301"/>
        <v>0</v>
      </c>
      <c r="H534" s="1282">
        <f t="shared" si="302"/>
        <v>0</v>
      </c>
      <c r="I534" s="3891"/>
      <c r="J534" s="3891"/>
      <c r="K534" s="3891"/>
      <c r="L534" s="3891"/>
      <c r="M534" s="3891"/>
      <c r="N534" s="3891"/>
      <c r="O534" s="3891"/>
      <c r="P534" s="3891"/>
      <c r="Q534" s="3891"/>
      <c r="R534" s="3891"/>
      <c r="S534" s="3891"/>
      <c r="T534" s="3891"/>
      <c r="U534" s="3891"/>
      <c r="V534" s="3891"/>
      <c r="W534" s="3891"/>
      <c r="X534" s="3891"/>
      <c r="Y534" s="3891"/>
      <c r="Z534" s="3891"/>
      <c r="AA534" s="3891"/>
      <c r="AB534" s="3891"/>
      <c r="AC534" s="389">
        <f t="shared" si="303"/>
        <v>0</v>
      </c>
      <c r="AD534" s="5"/>
      <c r="AE534" s="5"/>
      <c r="AF534" s="5"/>
      <c r="AG534" s="5"/>
      <c r="AH534" s="5"/>
      <c r="AI534" s="5"/>
      <c r="AJ534" s="5"/>
      <c r="AK534" s="5"/>
      <c r="AL534" s="5"/>
      <c r="AM534" s="5"/>
      <c r="AN534" s="5"/>
      <c r="AO534" s="5"/>
      <c r="AP534" s="5"/>
      <c r="AQ534" s="5"/>
      <c r="AR534" s="5"/>
      <c r="AS534" s="5"/>
      <c r="AT534" s="20"/>
      <c r="AU534" s="1182"/>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81"/>
      <c r="E535" s="389">
        <f t="shared" si="297"/>
        <v>0</v>
      </c>
      <c r="F535" s="20"/>
      <c r="G535" s="3890">
        <f t="shared" si="301"/>
        <v>0</v>
      </c>
      <c r="H535" s="1282">
        <f t="shared" si="302"/>
        <v>0</v>
      </c>
      <c r="I535" s="3891"/>
      <c r="J535" s="3891"/>
      <c r="K535" s="3891"/>
      <c r="L535" s="3891"/>
      <c r="M535" s="3891"/>
      <c r="N535" s="3891"/>
      <c r="O535" s="3891"/>
      <c r="P535" s="3891"/>
      <c r="Q535" s="3891"/>
      <c r="R535" s="3891"/>
      <c r="S535" s="3891"/>
      <c r="T535" s="3891"/>
      <c r="U535" s="3891"/>
      <c r="V535" s="3891"/>
      <c r="W535" s="3891"/>
      <c r="X535" s="3891"/>
      <c r="Y535" s="3891"/>
      <c r="Z535" s="3891"/>
      <c r="AA535" s="3891"/>
      <c r="AB535" s="3891"/>
      <c r="AC535" s="389">
        <f t="shared" si="303"/>
        <v>0</v>
      </c>
      <c r="AD535" s="5"/>
      <c r="AE535" s="5"/>
      <c r="AF535" s="5"/>
      <c r="AG535" s="5"/>
      <c r="AH535" s="5"/>
      <c r="AI535" s="5"/>
      <c r="AJ535" s="5"/>
      <c r="AK535" s="5"/>
      <c r="AL535" s="5"/>
      <c r="AM535" s="5"/>
      <c r="AN535" s="5"/>
      <c r="AO535" s="5"/>
      <c r="AP535" s="5"/>
      <c r="AQ535" s="5"/>
      <c r="AR535" s="5"/>
      <c r="AS535" s="5"/>
      <c r="AT535" s="20"/>
      <c r="AU535" s="1182"/>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81"/>
      <c r="E536" s="389">
        <f t="shared" si="297"/>
        <v>0</v>
      </c>
      <c r="F536" s="20"/>
      <c r="G536" s="3890">
        <f t="shared" si="301"/>
        <v>0</v>
      </c>
      <c r="H536" s="1282">
        <f t="shared" si="302"/>
        <v>0</v>
      </c>
      <c r="I536" s="3891"/>
      <c r="J536" s="3891"/>
      <c r="K536" s="3891"/>
      <c r="L536" s="3891"/>
      <c r="M536" s="3891"/>
      <c r="N536" s="3891"/>
      <c r="O536" s="3891"/>
      <c r="P536" s="3891"/>
      <c r="Q536" s="3891"/>
      <c r="R536" s="3891"/>
      <c r="S536" s="3891"/>
      <c r="T536" s="3891"/>
      <c r="U536" s="3891"/>
      <c r="V536" s="3891"/>
      <c r="W536" s="3891"/>
      <c r="X536" s="3891"/>
      <c r="Y536" s="3891"/>
      <c r="Z536" s="3891"/>
      <c r="AA536" s="3891"/>
      <c r="AB536" s="3891"/>
      <c r="AC536" s="389">
        <f t="shared" si="303"/>
        <v>0</v>
      </c>
      <c r="AD536" s="5"/>
      <c r="AE536" s="5"/>
      <c r="AF536" s="5"/>
      <c r="AG536" s="5"/>
      <c r="AH536" s="5"/>
      <c r="AI536" s="5"/>
      <c r="AJ536" s="5"/>
      <c r="AK536" s="5"/>
      <c r="AL536" s="5"/>
      <c r="AM536" s="5"/>
      <c r="AN536" s="5"/>
      <c r="AO536" s="5"/>
      <c r="AP536" s="5"/>
      <c r="AQ536" s="5"/>
      <c r="AR536" s="5"/>
      <c r="AS536" s="5"/>
      <c r="AT536" s="20"/>
      <c r="AU536" s="1182"/>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81"/>
      <c r="E537" s="389">
        <f t="shared" si="297"/>
        <v>0</v>
      </c>
      <c r="F537" s="20"/>
      <c r="G537" s="3890">
        <f t="shared" si="301"/>
        <v>0</v>
      </c>
      <c r="H537" s="1282">
        <f t="shared" si="302"/>
        <v>0</v>
      </c>
      <c r="I537" s="3891"/>
      <c r="J537" s="3891"/>
      <c r="K537" s="3891"/>
      <c r="L537" s="3891"/>
      <c r="M537" s="3891"/>
      <c r="N537" s="3891"/>
      <c r="O537" s="3891"/>
      <c r="P537" s="3891"/>
      <c r="Q537" s="3891"/>
      <c r="R537" s="3891"/>
      <c r="S537" s="3891"/>
      <c r="T537" s="3891"/>
      <c r="U537" s="3891"/>
      <c r="V537" s="3891"/>
      <c r="W537" s="3891"/>
      <c r="X537" s="3891"/>
      <c r="Y537" s="3891"/>
      <c r="Z537" s="3891"/>
      <c r="AA537" s="3891"/>
      <c r="AB537" s="3891"/>
      <c r="AC537" s="389">
        <f t="shared" si="303"/>
        <v>0</v>
      </c>
      <c r="AD537" s="5"/>
      <c r="AE537" s="5"/>
      <c r="AF537" s="5"/>
      <c r="AG537" s="5"/>
      <c r="AH537" s="5"/>
      <c r="AI537" s="5"/>
      <c r="AJ537" s="5"/>
      <c r="AK537" s="5"/>
      <c r="AL537" s="5"/>
      <c r="AM537" s="5"/>
      <c r="AN537" s="5"/>
      <c r="AO537" s="5"/>
      <c r="AP537" s="5"/>
      <c r="AQ537" s="5"/>
      <c r="AR537" s="5"/>
      <c r="AS537" s="5"/>
      <c r="AT537" s="20"/>
      <c r="AU537" s="1182"/>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81"/>
      <c r="E538" s="389">
        <f t="shared" si="297"/>
        <v>0</v>
      </c>
      <c r="F538" s="20"/>
      <c r="G538" s="3890">
        <f t="shared" si="301"/>
        <v>0</v>
      </c>
      <c r="H538" s="1282">
        <f t="shared" si="302"/>
        <v>0</v>
      </c>
      <c r="I538" s="3891"/>
      <c r="J538" s="3891"/>
      <c r="K538" s="3891"/>
      <c r="L538" s="3891"/>
      <c r="M538" s="3891"/>
      <c r="N538" s="3891"/>
      <c r="O538" s="3891"/>
      <c r="P538" s="3891"/>
      <c r="Q538" s="3891"/>
      <c r="R538" s="3891"/>
      <c r="S538" s="3891"/>
      <c r="T538" s="3891"/>
      <c r="U538" s="3891"/>
      <c r="V538" s="3891"/>
      <c r="W538" s="3891"/>
      <c r="X538" s="3891"/>
      <c r="Y538" s="3891"/>
      <c r="Z538" s="3891"/>
      <c r="AA538" s="3891"/>
      <c r="AB538" s="3891"/>
      <c r="AC538" s="389">
        <f t="shared" si="303"/>
        <v>0</v>
      </c>
      <c r="AD538" s="5"/>
      <c r="AE538" s="5"/>
      <c r="AF538" s="5"/>
      <c r="AG538" s="5"/>
      <c r="AH538" s="5"/>
      <c r="AI538" s="5"/>
      <c r="AJ538" s="5"/>
      <c r="AK538" s="5"/>
      <c r="AL538" s="5"/>
      <c r="AM538" s="5"/>
      <c r="AN538" s="5"/>
      <c r="AO538" s="5"/>
      <c r="AP538" s="5"/>
      <c r="AQ538" s="5"/>
      <c r="AR538" s="5"/>
      <c r="AS538" s="5"/>
      <c r="AT538" s="20"/>
      <c r="AU538" s="1182"/>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81"/>
      <c r="E539" s="389">
        <f t="shared" si="297"/>
        <v>0</v>
      </c>
      <c r="F539" s="20"/>
      <c r="G539" s="3890">
        <f t="shared" si="301"/>
        <v>0</v>
      </c>
      <c r="H539" s="1282">
        <f t="shared" si="302"/>
        <v>0</v>
      </c>
      <c r="I539" s="3891"/>
      <c r="J539" s="3891"/>
      <c r="K539" s="3891"/>
      <c r="L539" s="3891"/>
      <c r="M539" s="3891"/>
      <c r="N539" s="3891"/>
      <c r="O539" s="3891"/>
      <c r="P539" s="3891"/>
      <c r="Q539" s="3891"/>
      <c r="R539" s="3891"/>
      <c r="S539" s="3891"/>
      <c r="T539" s="3891"/>
      <c r="U539" s="3891"/>
      <c r="V539" s="3891"/>
      <c r="W539" s="3891"/>
      <c r="X539" s="3891"/>
      <c r="Y539" s="3891"/>
      <c r="Z539" s="3891"/>
      <c r="AA539" s="3891"/>
      <c r="AB539" s="3891"/>
      <c r="AC539" s="389">
        <f t="shared" si="303"/>
        <v>0</v>
      </c>
      <c r="AD539" s="5"/>
      <c r="AE539" s="5"/>
      <c r="AF539" s="5"/>
      <c r="AG539" s="5"/>
      <c r="AH539" s="5"/>
      <c r="AI539" s="5"/>
      <c r="AJ539" s="5"/>
      <c r="AK539" s="5"/>
      <c r="AL539" s="5"/>
      <c r="AM539" s="5"/>
      <c r="AN539" s="5"/>
      <c r="AO539" s="5"/>
      <c r="AP539" s="5"/>
      <c r="AQ539" s="5"/>
      <c r="AR539" s="5"/>
      <c r="AS539" s="5"/>
      <c r="AT539" s="20"/>
      <c r="AU539" s="1182"/>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81"/>
      <c r="E540" s="389">
        <f t="shared" si="297"/>
        <v>0</v>
      </c>
      <c r="F540" s="20"/>
      <c r="G540" s="3890">
        <f t="shared" si="301"/>
        <v>0</v>
      </c>
      <c r="H540" s="1282">
        <f t="shared" si="302"/>
        <v>0</v>
      </c>
      <c r="I540" s="3891"/>
      <c r="J540" s="3891"/>
      <c r="K540" s="3891"/>
      <c r="L540" s="3891"/>
      <c r="M540" s="3891"/>
      <c r="N540" s="3891"/>
      <c r="O540" s="3891"/>
      <c r="P540" s="3891"/>
      <c r="Q540" s="3891"/>
      <c r="R540" s="3891"/>
      <c r="S540" s="3891"/>
      <c r="T540" s="3891"/>
      <c r="U540" s="3891"/>
      <c r="V540" s="3891"/>
      <c r="W540" s="3891"/>
      <c r="X540" s="3891"/>
      <c r="Y540" s="3891"/>
      <c r="Z540" s="3891"/>
      <c r="AA540" s="3891"/>
      <c r="AB540" s="3891"/>
      <c r="AC540" s="389">
        <f t="shared" si="303"/>
        <v>0</v>
      </c>
      <c r="AD540" s="5"/>
      <c r="AE540" s="5"/>
      <c r="AF540" s="5"/>
      <c r="AG540" s="5"/>
      <c r="AH540" s="5"/>
      <c r="AI540" s="5"/>
      <c r="AJ540" s="5"/>
      <c r="AK540" s="5"/>
      <c r="AL540" s="5"/>
      <c r="AM540" s="5"/>
      <c r="AN540" s="5"/>
      <c r="AO540" s="5"/>
      <c r="AP540" s="5"/>
      <c r="AQ540" s="5"/>
      <c r="AR540" s="5"/>
      <c r="AS540" s="5"/>
      <c r="AT540" s="20"/>
      <c r="AU540" s="1182"/>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81"/>
      <c r="E541" s="389">
        <f t="shared" si="297"/>
        <v>0</v>
      </c>
      <c r="F541" s="20"/>
      <c r="G541" s="3890">
        <f t="shared" si="301"/>
        <v>0</v>
      </c>
      <c r="H541" s="1282">
        <f t="shared" si="302"/>
        <v>0</v>
      </c>
      <c r="I541" s="3891"/>
      <c r="J541" s="3891"/>
      <c r="K541" s="3891"/>
      <c r="L541" s="3891"/>
      <c r="M541" s="3891"/>
      <c r="N541" s="3891"/>
      <c r="O541" s="3891"/>
      <c r="P541" s="3891"/>
      <c r="Q541" s="3891"/>
      <c r="R541" s="3891"/>
      <c r="S541" s="3891"/>
      <c r="T541" s="3891"/>
      <c r="U541" s="3891"/>
      <c r="V541" s="3891"/>
      <c r="W541" s="3891"/>
      <c r="X541" s="3891"/>
      <c r="Y541" s="3891"/>
      <c r="Z541" s="3891"/>
      <c r="AA541" s="3891"/>
      <c r="AB541" s="3891"/>
      <c r="AC541" s="389">
        <f t="shared" si="303"/>
        <v>0</v>
      </c>
      <c r="AD541" s="5"/>
      <c r="AE541" s="5"/>
      <c r="AF541" s="5"/>
      <c r="AG541" s="5"/>
      <c r="AH541" s="5"/>
      <c r="AI541" s="5"/>
      <c r="AJ541" s="5"/>
      <c r="AK541" s="5"/>
      <c r="AL541" s="5"/>
      <c r="AM541" s="5"/>
      <c r="AN541" s="5"/>
      <c r="AO541" s="5"/>
      <c r="AP541" s="5"/>
      <c r="AQ541" s="5"/>
      <c r="AR541" s="5"/>
      <c r="AS541" s="5"/>
      <c r="AT541" s="20"/>
      <c r="AU541" s="1182"/>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81"/>
      <c r="E542" s="389">
        <f t="shared" si="297"/>
        <v>0</v>
      </c>
      <c r="F542" s="20"/>
      <c r="G542" s="3890">
        <f t="shared" si="301"/>
        <v>0</v>
      </c>
      <c r="H542" s="1282">
        <f t="shared" si="302"/>
        <v>0</v>
      </c>
      <c r="I542" s="3891"/>
      <c r="J542" s="3891"/>
      <c r="K542" s="3891"/>
      <c r="L542" s="3891"/>
      <c r="M542" s="3891"/>
      <c r="N542" s="3891"/>
      <c r="O542" s="3891"/>
      <c r="P542" s="3891"/>
      <c r="Q542" s="3891"/>
      <c r="R542" s="3891"/>
      <c r="S542" s="3891"/>
      <c r="T542" s="3891"/>
      <c r="U542" s="3891"/>
      <c r="V542" s="3891"/>
      <c r="W542" s="3891"/>
      <c r="X542" s="3891"/>
      <c r="Y542" s="3891"/>
      <c r="Z542" s="3891"/>
      <c r="AA542" s="3891"/>
      <c r="AB542" s="3891"/>
      <c r="AC542" s="389">
        <f t="shared" si="303"/>
        <v>0</v>
      </c>
      <c r="AD542" s="5"/>
      <c r="AE542" s="5"/>
      <c r="AF542" s="5"/>
      <c r="AG542" s="5"/>
      <c r="AH542" s="5"/>
      <c r="AI542" s="5"/>
      <c r="AJ542" s="5"/>
      <c r="AK542" s="5"/>
      <c r="AL542" s="5"/>
      <c r="AM542" s="5"/>
      <c r="AN542" s="5"/>
      <c r="AO542" s="5"/>
      <c r="AP542" s="5"/>
      <c r="AQ542" s="5"/>
      <c r="AR542" s="5"/>
      <c r="AS542" s="5"/>
      <c r="AT542" s="20"/>
      <c r="AU542" s="1182"/>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81"/>
      <c r="E543" s="389">
        <f t="shared" si="297"/>
        <v>0</v>
      </c>
      <c r="F543" s="20"/>
      <c r="G543" s="3890">
        <f t="shared" si="301"/>
        <v>0</v>
      </c>
      <c r="H543" s="1282">
        <f t="shared" si="302"/>
        <v>0</v>
      </c>
      <c r="I543" s="3891"/>
      <c r="J543" s="3891"/>
      <c r="K543" s="3891"/>
      <c r="L543" s="3891"/>
      <c r="M543" s="3891"/>
      <c r="N543" s="3891"/>
      <c r="O543" s="3891"/>
      <c r="P543" s="3891"/>
      <c r="Q543" s="3891"/>
      <c r="R543" s="3891"/>
      <c r="S543" s="3891"/>
      <c r="T543" s="3891"/>
      <c r="U543" s="3891"/>
      <c r="V543" s="3891"/>
      <c r="W543" s="3891"/>
      <c r="X543" s="3891"/>
      <c r="Y543" s="3891"/>
      <c r="Z543" s="3891"/>
      <c r="AA543" s="3891"/>
      <c r="AB543" s="3891"/>
      <c r="AC543" s="389">
        <f t="shared" si="303"/>
        <v>0</v>
      </c>
      <c r="AD543" s="5"/>
      <c r="AE543" s="5"/>
      <c r="AF543" s="5"/>
      <c r="AG543" s="5"/>
      <c r="AH543" s="5"/>
      <c r="AI543" s="5"/>
      <c r="AJ543" s="5"/>
      <c r="AK543" s="5"/>
      <c r="AL543" s="5"/>
      <c r="AM543" s="5"/>
      <c r="AN543" s="5"/>
      <c r="AO543" s="5"/>
      <c r="AP543" s="5"/>
      <c r="AQ543" s="5"/>
      <c r="AR543" s="5"/>
      <c r="AS543" s="5"/>
      <c r="AT543" s="20"/>
      <c r="AU543" s="1182"/>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81"/>
      <c r="E544" s="389">
        <f t="shared" si="297"/>
        <v>0</v>
      </c>
      <c r="F544" s="20"/>
      <c r="G544" s="3890">
        <f t="shared" si="301"/>
        <v>0</v>
      </c>
      <c r="H544" s="1282">
        <f t="shared" si="302"/>
        <v>0</v>
      </c>
      <c r="I544" s="3891"/>
      <c r="J544" s="3891"/>
      <c r="K544" s="3891"/>
      <c r="L544" s="3891"/>
      <c r="M544" s="3891"/>
      <c r="N544" s="3891"/>
      <c r="O544" s="3891"/>
      <c r="P544" s="3891"/>
      <c r="Q544" s="3891"/>
      <c r="R544" s="3891"/>
      <c r="S544" s="3891"/>
      <c r="T544" s="3891"/>
      <c r="U544" s="3891"/>
      <c r="V544" s="3891"/>
      <c r="W544" s="3891"/>
      <c r="X544" s="3891"/>
      <c r="Y544" s="3891"/>
      <c r="Z544" s="3891"/>
      <c r="AA544" s="3891"/>
      <c r="AB544" s="3891"/>
      <c r="AC544" s="389">
        <f t="shared" si="303"/>
        <v>0</v>
      </c>
      <c r="AD544" s="5"/>
      <c r="AE544" s="5"/>
      <c r="AF544" s="5"/>
      <c r="AG544" s="5"/>
      <c r="AH544" s="5"/>
      <c r="AI544" s="5"/>
      <c r="AJ544" s="5"/>
      <c r="AK544" s="5"/>
      <c r="AL544" s="5"/>
      <c r="AM544" s="5"/>
      <c r="AN544" s="5"/>
      <c r="AO544" s="5"/>
      <c r="AP544" s="5"/>
      <c r="AQ544" s="5"/>
      <c r="AR544" s="5"/>
      <c r="AS544" s="5"/>
      <c r="AT544" s="20"/>
      <c r="AU544" s="1182"/>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81"/>
      <c r="E545" s="389">
        <f t="shared" si="297"/>
        <v>0</v>
      </c>
      <c r="F545" s="20"/>
      <c r="G545" s="3890">
        <f t="shared" si="301"/>
        <v>0</v>
      </c>
      <c r="H545" s="1282">
        <f t="shared" si="302"/>
        <v>0</v>
      </c>
      <c r="I545" s="3891"/>
      <c r="J545" s="3891"/>
      <c r="K545" s="3891"/>
      <c r="L545" s="3891"/>
      <c r="M545" s="3891"/>
      <c r="N545" s="3891"/>
      <c r="O545" s="3891"/>
      <c r="P545" s="3891"/>
      <c r="Q545" s="3891"/>
      <c r="R545" s="3891"/>
      <c r="S545" s="3891"/>
      <c r="T545" s="3891"/>
      <c r="U545" s="3891"/>
      <c r="V545" s="3891"/>
      <c r="W545" s="3891"/>
      <c r="X545" s="3891"/>
      <c r="Y545" s="3891"/>
      <c r="Z545" s="3891"/>
      <c r="AA545" s="3891"/>
      <c r="AB545" s="3891"/>
      <c r="AC545" s="389">
        <f t="shared" si="303"/>
        <v>0</v>
      </c>
      <c r="AD545" s="5"/>
      <c r="AE545" s="5"/>
      <c r="AF545" s="5"/>
      <c r="AG545" s="5"/>
      <c r="AH545" s="5"/>
      <c r="AI545" s="5"/>
      <c r="AJ545" s="5"/>
      <c r="AK545" s="5"/>
      <c r="AL545" s="5"/>
      <c r="AM545" s="5"/>
      <c r="AN545" s="5"/>
      <c r="AO545" s="5"/>
      <c r="AP545" s="5"/>
      <c r="AQ545" s="5"/>
      <c r="AR545" s="5"/>
      <c r="AS545" s="5"/>
      <c r="AT545" s="20"/>
      <c r="AU545" s="1182"/>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81"/>
      <c r="E546" s="389">
        <f t="shared" si="297"/>
        <v>0</v>
      </c>
      <c r="F546" s="20"/>
      <c r="G546" s="3890">
        <f t="shared" si="301"/>
        <v>0</v>
      </c>
      <c r="H546" s="1282">
        <f t="shared" si="302"/>
        <v>0</v>
      </c>
      <c r="I546" s="3891"/>
      <c r="J546" s="3891"/>
      <c r="K546" s="3891"/>
      <c r="L546" s="3891"/>
      <c r="M546" s="3891"/>
      <c r="N546" s="3891"/>
      <c r="O546" s="3891"/>
      <c r="P546" s="3891"/>
      <c r="Q546" s="3891"/>
      <c r="R546" s="3891"/>
      <c r="S546" s="3891"/>
      <c r="T546" s="3891"/>
      <c r="U546" s="3891"/>
      <c r="V546" s="3891"/>
      <c r="W546" s="3891"/>
      <c r="X546" s="3891"/>
      <c r="Y546" s="3891"/>
      <c r="Z546" s="3891"/>
      <c r="AA546" s="3891"/>
      <c r="AB546" s="3891"/>
      <c r="AC546" s="389">
        <f t="shared" si="303"/>
        <v>0</v>
      </c>
      <c r="AD546" s="5"/>
      <c r="AE546" s="5"/>
      <c r="AF546" s="5"/>
      <c r="AG546" s="5"/>
      <c r="AH546" s="5"/>
      <c r="AI546" s="5"/>
      <c r="AJ546" s="5"/>
      <c r="AK546" s="5"/>
      <c r="AL546" s="5"/>
      <c r="AM546" s="5"/>
      <c r="AN546" s="5"/>
      <c r="AO546" s="5"/>
      <c r="AP546" s="5"/>
      <c r="AQ546" s="5"/>
      <c r="AR546" s="5"/>
      <c r="AS546" s="5"/>
      <c r="AT546" s="20"/>
      <c r="AU546" s="1182"/>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81"/>
      <c r="E547" s="389">
        <f t="shared" si="297"/>
        <v>0</v>
      </c>
      <c r="F547" s="20"/>
      <c r="G547" s="3890">
        <f t="shared" si="301"/>
        <v>0</v>
      </c>
      <c r="H547" s="1282">
        <f t="shared" si="302"/>
        <v>0</v>
      </c>
      <c r="I547" s="3891"/>
      <c r="J547" s="3891"/>
      <c r="K547" s="3891"/>
      <c r="L547" s="3891"/>
      <c r="M547" s="3891"/>
      <c r="N547" s="3891"/>
      <c r="O547" s="3891"/>
      <c r="P547" s="3891"/>
      <c r="Q547" s="3891"/>
      <c r="R547" s="3891"/>
      <c r="S547" s="3891"/>
      <c r="T547" s="3891"/>
      <c r="U547" s="3891"/>
      <c r="V547" s="3891"/>
      <c r="W547" s="3891"/>
      <c r="X547" s="3891"/>
      <c r="Y547" s="3891"/>
      <c r="Z547" s="3891"/>
      <c r="AA547" s="3891"/>
      <c r="AB547" s="3891"/>
      <c r="AC547" s="389">
        <f t="shared" si="303"/>
        <v>0</v>
      </c>
      <c r="AD547" s="5"/>
      <c r="AE547" s="5"/>
      <c r="AF547" s="5"/>
      <c r="AG547" s="5"/>
      <c r="AH547" s="5"/>
      <c r="AI547" s="5"/>
      <c r="AJ547" s="5"/>
      <c r="AK547" s="5"/>
      <c r="AL547" s="5"/>
      <c r="AM547" s="5"/>
      <c r="AN547" s="5"/>
      <c r="AO547" s="5"/>
      <c r="AP547" s="5"/>
      <c r="AQ547" s="5"/>
      <c r="AR547" s="5"/>
      <c r="AS547" s="5"/>
      <c r="AT547" s="20"/>
      <c r="AU547" s="1182"/>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81"/>
      <c r="E548" s="389">
        <f t="shared" si="297"/>
        <v>0</v>
      </c>
      <c r="F548" s="20"/>
      <c r="G548" s="3890">
        <f t="shared" si="301"/>
        <v>0</v>
      </c>
      <c r="H548" s="1282">
        <f t="shared" si="302"/>
        <v>0</v>
      </c>
      <c r="I548" s="3891"/>
      <c r="J548" s="3891"/>
      <c r="K548" s="3891"/>
      <c r="L548" s="3891"/>
      <c r="M548" s="3891"/>
      <c r="N548" s="3891"/>
      <c r="O548" s="3891"/>
      <c r="P548" s="3891"/>
      <c r="Q548" s="3891"/>
      <c r="R548" s="3891"/>
      <c r="S548" s="3891"/>
      <c r="T548" s="3891"/>
      <c r="U548" s="3891"/>
      <c r="V548" s="3891"/>
      <c r="W548" s="3891"/>
      <c r="X548" s="3891"/>
      <c r="Y548" s="3891"/>
      <c r="Z548" s="3891"/>
      <c r="AA548" s="3891"/>
      <c r="AB548" s="3891"/>
      <c r="AC548" s="389">
        <f t="shared" si="303"/>
        <v>0</v>
      </c>
      <c r="AD548" s="5"/>
      <c r="AE548" s="5"/>
      <c r="AF548" s="5"/>
      <c r="AG548" s="5"/>
      <c r="AH548" s="5"/>
      <c r="AI548" s="5"/>
      <c r="AJ548" s="5"/>
      <c r="AK548" s="5"/>
      <c r="AL548" s="5"/>
      <c r="AM548" s="5"/>
      <c r="AN548" s="5"/>
      <c r="AO548" s="5"/>
      <c r="AP548" s="5"/>
      <c r="AQ548" s="5"/>
      <c r="AR548" s="5"/>
      <c r="AS548" s="5"/>
      <c r="AT548" s="20"/>
      <c r="AU548" s="1182"/>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81"/>
      <c r="E549" s="389">
        <f t="shared" si="297"/>
        <v>0</v>
      </c>
      <c r="F549" s="20"/>
      <c r="G549" s="3890">
        <f t="shared" si="301"/>
        <v>0</v>
      </c>
      <c r="H549" s="1282">
        <f t="shared" si="302"/>
        <v>0</v>
      </c>
      <c r="I549" s="3891"/>
      <c r="J549" s="3891"/>
      <c r="K549" s="3891"/>
      <c r="L549" s="3891"/>
      <c r="M549" s="3891"/>
      <c r="N549" s="3891"/>
      <c r="O549" s="3891"/>
      <c r="P549" s="3891"/>
      <c r="Q549" s="3891"/>
      <c r="R549" s="3891"/>
      <c r="S549" s="3891"/>
      <c r="T549" s="3891"/>
      <c r="U549" s="3891"/>
      <c r="V549" s="3891"/>
      <c r="W549" s="3891"/>
      <c r="X549" s="3891"/>
      <c r="Y549" s="3891"/>
      <c r="Z549" s="3891"/>
      <c r="AA549" s="3891"/>
      <c r="AB549" s="3891"/>
      <c r="AC549" s="389">
        <f t="shared" si="303"/>
        <v>0</v>
      </c>
      <c r="AD549" s="5"/>
      <c r="AE549" s="5"/>
      <c r="AF549" s="5"/>
      <c r="AG549" s="5"/>
      <c r="AH549" s="5"/>
      <c r="AI549" s="5"/>
      <c r="AJ549" s="5"/>
      <c r="AK549" s="5"/>
      <c r="AL549" s="5"/>
      <c r="AM549" s="5"/>
      <c r="AN549" s="5"/>
      <c r="AO549" s="5"/>
      <c r="AP549" s="5"/>
      <c r="AQ549" s="5"/>
      <c r="AR549" s="5"/>
      <c r="AS549" s="5"/>
      <c r="AT549" s="20"/>
      <c r="AU549" s="1182"/>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81"/>
      <c r="E550" s="389">
        <f t="shared" si="297"/>
        <v>0</v>
      </c>
      <c r="F550" s="20"/>
      <c r="G550" s="3890">
        <f t="shared" si="301"/>
        <v>0</v>
      </c>
      <c r="H550" s="1282">
        <f t="shared" si="302"/>
        <v>0</v>
      </c>
      <c r="I550" s="3891"/>
      <c r="J550" s="3891"/>
      <c r="K550" s="3891"/>
      <c r="L550" s="3891"/>
      <c r="M550" s="3891"/>
      <c r="N550" s="3891"/>
      <c r="O550" s="3891"/>
      <c r="P550" s="3891"/>
      <c r="Q550" s="3891"/>
      <c r="R550" s="3891"/>
      <c r="S550" s="3891"/>
      <c r="T550" s="3891"/>
      <c r="U550" s="3891"/>
      <c r="V550" s="3891"/>
      <c r="W550" s="3891"/>
      <c r="X550" s="3891"/>
      <c r="Y550" s="3891"/>
      <c r="Z550" s="3891"/>
      <c r="AA550" s="3891"/>
      <c r="AB550" s="3891"/>
      <c r="AC550" s="389">
        <f t="shared" si="303"/>
        <v>0</v>
      </c>
      <c r="AD550" s="5"/>
      <c r="AE550" s="5"/>
      <c r="AF550" s="5"/>
      <c r="AG550" s="5"/>
      <c r="AH550" s="5"/>
      <c r="AI550" s="5"/>
      <c r="AJ550" s="5"/>
      <c r="AK550" s="5"/>
      <c r="AL550" s="5"/>
      <c r="AM550" s="5"/>
      <c r="AN550" s="5"/>
      <c r="AO550" s="5"/>
      <c r="AP550" s="5"/>
      <c r="AQ550" s="5"/>
      <c r="AR550" s="5"/>
      <c r="AS550" s="5"/>
      <c r="AT550" s="20"/>
      <c r="AU550" s="1182"/>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81"/>
      <c r="E551" s="389">
        <f t="shared" si="297"/>
        <v>0</v>
      </c>
      <c r="F551" s="20"/>
      <c r="G551" s="3890">
        <f t="shared" si="301"/>
        <v>0</v>
      </c>
      <c r="H551" s="1282">
        <f t="shared" si="302"/>
        <v>0</v>
      </c>
      <c r="I551" s="3891"/>
      <c r="J551" s="3891"/>
      <c r="K551" s="3891"/>
      <c r="L551" s="3891"/>
      <c r="M551" s="3891"/>
      <c r="N551" s="3891"/>
      <c r="O551" s="3891"/>
      <c r="P551" s="3891"/>
      <c r="Q551" s="3891"/>
      <c r="R551" s="3891"/>
      <c r="S551" s="3891"/>
      <c r="T551" s="3891"/>
      <c r="U551" s="3891"/>
      <c r="V551" s="3891"/>
      <c r="W551" s="3891"/>
      <c r="X551" s="3891"/>
      <c r="Y551" s="3891"/>
      <c r="Z551" s="3891"/>
      <c r="AA551" s="3891"/>
      <c r="AB551" s="3891"/>
      <c r="AC551" s="389">
        <f t="shared" si="303"/>
        <v>0</v>
      </c>
      <c r="AD551" s="5"/>
      <c r="AE551" s="5"/>
      <c r="AF551" s="5"/>
      <c r="AG551" s="5"/>
      <c r="AH551" s="5"/>
      <c r="AI551" s="5"/>
      <c r="AJ551" s="5"/>
      <c r="AK551" s="5"/>
      <c r="AL551" s="5"/>
      <c r="AM551" s="5"/>
      <c r="AN551" s="5"/>
      <c r="AO551" s="5"/>
      <c r="AP551" s="5"/>
      <c r="AQ551" s="5"/>
      <c r="AR551" s="5"/>
      <c r="AS551" s="5"/>
      <c r="AT551" s="20"/>
      <c r="AU551" s="1182"/>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81"/>
      <c r="E552" s="389">
        <f t="shared" ref="E552:E587" si="326">IF($C$3="是",ROUND($A$3*G552/$B$3,2),ROUND($A$3*(G552-AT552)/$B$3,2))</f>
        <v>0</v>
      </c>
      <c r="F552" s="20"/>
      <c r="G552" s="3890">
        <f t="shared" si="301"/>
        <v>0</v>
      </c>
      <c r="H552" s="1282">
        <f t="shared" si="302"/>
        <v>0</v>
      </c>
      <c r="I552" s="3891"/>
      <c r="J552" s="3891"/>
      <c r="K552" s="3891"/>
      <c r="L552" s="3891"/>
      <c r="M552" s="3891"/>
      <c r="N552" s="3891"/>
      <c r="O552" s="3891"/>
      <c r="P552" s="3891"/>
      <c r="Q552" s="3891"/>
      <c r="R552" s="3891"/>
      <c r="S552" s="3891"/>
      <c r="T552" s="3891"/>
      <c r="U552" s="3891"/>
      <c r="V552" s="3891"/>
      <c r="W552" s="3891"/>
      <c r="X552" s="3891"/>
      <c r="Y552" s="3891"/>
      <c r="Z552" s="3891"/>
      <c r="AA552" s="3891"/>
      <c r="AB552" s="3891"/>
      <c r="AC552" s="389">
        <f t="shared" si="303"/>
        <v>0</v>
      </c>
      <c r="AD552" s="5"/>
      <c r="AE552" s="5"/>
      <c r="AF552" s="5"/>
      <c r="AG552" s="5"/>
      <c r="AH552" s="5"/>
      <c r="AI552" s="5"/>
      <c r="AJ552" s="5"/>
      <c r="AK552" s="5"/>
      <c r="AL552" s="5"/>
      <c r="AM552" s="5"/>
      <c r="AN552" s="5"/>
      <c r="AO552" s="5"/>
      <c r="AP552" s="5"/>
      <c r="AQ552" s="5"/>
      <c r="AR552" s="5"/>
      <c r="AS552" s="5"/>
      <c r="AT552" s="20"/>
      <c r="AU552" s="1182"/>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81"/>
      <c r="E553" s="389">
        <f t="shared" si="326"/>
        <v>0</v>
      </c>
      <c r="F553" s="20"/>
      <c r="G553" s="3890">
        <f t="shared" ref="G553:G584" si="327">H553+AC553+AT553</f>
        <v>0</v>
      </c>
      <c r="H553" s="1282">
        <f t="shared" ref="H553:H584" si="328">SUMIF(I$12:AB$12,"总值",I553:AB553)</f>
        <v>0</v>
      </c>
      <c r="I553" s="3891"/>
      <c r="J553" s="3891"/>
      <c r="K553" s="3891"/>
      <c r="L553" s="3891"/>
      <c r="M553" s="3891"/>
      <c r="N553" s="3891"/>
      <c r="O553" s="3891"/>
      <c r="P553" s="3891"/>
      <c r="Q553" s="3891"/>
      <c r="R553" s="3891"/>
      <c r="S553" s="3891"/>
      <c r="T553" s="3891"/>
      <c r="U553" s="3891"/>
      <c r="V553" s="3891"/>
      <c r="W553" s="3891"/>
      <c r="X553" s="3891"/>
      <c r="Y553" s="3891"/>
      <c r="Z553" s="3891"/>
      <c r="AA553" s="3891"/>
      <c r="AB553" s="3891"/>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82"/>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81"/>
      <c r="E554" s="389">
        <f t="shared" si="326"/>
        <v>0</v>
      </c>
      <c r="F554" s="20"/>
      <c r="G554" s="3890">
        <f t="shared" si="327"/>
        <v>0</v>
      </c>
      <c r="H554" s="1282">
        <f t="shared" si="328"/>
        <v>0</v>
      </c>
      <c r="I554" s="3891"/>
      <c r="J554" s="3891"/>
      <c r="K554" s="3891"/>
      <c r="L554" s="3891"/>
      <c r="M554" s="3891"/>
      <c r="N554" s="3891"/>
      <c r="O554" s="3891"/>
      <c r="P554" s="3891"/>
      <c r="Q554" s="3891"/>
      <c r="R554" s="3891"/>
      <c r="S554" s="3891"/>
      <c r="T554" s="3891"/>
      <c r="U554" s="3891"/>
      <c r="V554" s="3891"/>
      <c r="W554" s="3891"/>
      <c r="X554" s="3891"/>
      <c r="Y554" s="3891"/>
      <c r="Z554" s="3891"/>
      <c r="AA554" s="3891"/>
      <c r="AB554" s="3891"/>
      <c r="AC554" s="389">
        <f t="shared" si="329"/>
        <v>0</v>
      </c>
      <c r="AD554" s="5"/>
      <c r="AE554" s="5"/>
      <c r="AF554" s="5"/>
      <c r="AG554" s="5"/>
      <c r="AH554" s="5"/>
      <c r="AI554" s="5"/>
      <c r="AJ554" s="5"/>
      <c r="AK554" s="5"/>
      <c r="AL554" s="5"/>
      <c r="AM554" s="5"/>
      <c r="AN554" s="5"/>
      <c r="AO554" s="5"/>
      <c r="AP554" s="5"/>
      <c r="AQ554" s="5"/>
      <c r="AR554" s="5"/>
      <c r="AS554" s="5"/>
      <c r="AT554" s="20"/>
      <c r="AU554" s="1182"/>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81"/>
      <c r="E555" s="389">
        <f t="shared" si="326"/>
        <v>0</v>
      </c>
      <c r="F555" s="20"/>
      <c r="G555" s="3890">
        <f t="shared" si="327"/>
        <v>0</v>
      </c>
      <c r="H555" s="1282">
        <f t="shared" si="328"/>
        <v>0</v>
      </c>
      <c r="I555" s="3891"/>
      <c r="J555" s="3891"/>
      <c r="K555" s="3891"/>
      <c r="L555" s="3891"/>
      <c r="M555" s="3891"/>
      <c r="N555" s="3891"/>
      <c r="O555" s="3891"/>
      <c r="P555" s="3891"/>
      <c r="Q555" s="3891"/>
      <c r="R555" s="3891"/>
      <c r="S555" s="3891"/>
      <c r="T555" s="3891"/>
      <c r="U555" s="3891"/>
      <c r="V555" s="3891"/>
      <c r="W555" s="3891"/>
      <c r="X555" s="3891"/>
      <c r="Y555" s="3891"/>
      <c r="Z555" s="3891"/>
      <c r="AA555" s="3891"/>
      <c r="AB555" s="3891"/>
      <c r="AC555" s="389">
        <f t="shared" si="329"/>
        <v>0</v>
      </c>
      <c r="AD555" s="5"/>
      <c r="AE555" s="5"/>
      <c r="AF555" s="5"/>
      <c r="AG555" s="5"/>
      <c r="AH555" s="5"/>
      <c r="AI555" s="5"/>
      <c r="AJ555" s="5"/>
      <c r="AK555" s="5"/>
      <c r="AL555" s="5"/>
      <c r="AM555" s="5"/>
      <c r="AN555" s="5"/>
      <c r="AO555" s="5"/>
      <c r="AP555" s="5"/>
      <c r="AQ555" s="5"/>
      <c r="AR555" s="5"/>
      <c r="AS555" s="5"/>
      <c r="AT555" s="20"/>
      <c r="AU555" s="1182"/>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81"/>
      <c r="E556" s="389">
        <f t="shared" si="326"/>
        <v>0</v>
      </c>
      <c r="F556" s="20"/>
      <c r="G556" s="3890">
        <f t="shared" si="327"/>
        <v>0</v>
      </c>
      <c r="H556" s="1282">
        <f t="shared" si="328"/>
        <v>0</v>
      </c>
      <c r="I556" s="3891"/>
      <c r="J556" s="3891"/>
      <c r="K556" s="3891"/>
      <c r="L556" s="3891"/>
      <c r="M556" s="3891"/>
      <c r="N556" s="3891"/>
      <c r="O556" s="3891"/>
      <c r="P556" s="3891"/>
      <c r="Q556" s="3891"/>
      <c r="R556" s="3891"/>
      <c r="S556" s="3891"/>
      <c r="T556" s="3891"/>
      <c r="U556" s="3891"/>
      <c r="V556" s="3891"/>
      <c r="W556" s="3891"/>
      <c r="X556" s="3891"/>
      <c r="Y556" s="3891"/>
      <c r="Z556" s="3891"/>
      <c r="AA556" s="3891"/>
      <c r="AB556" s="3891"/>
      <c r="AC556" s="389">
        <f t="shared" si="329"/>
        <v>0</v>
      </c>
      <c r="AD556" s="5"/>
      <c r="AE556" s="5"/>
      <c r="AF556" s="5"/>
      <c r="AG556" s="5"/>
      <c r="AH556" s="5"/>
      <c r="AI556" s="5"/>
      <c r="AJ556" s="5"/>
      <c r="AK556" s="5"/>
      <c r="AL556" s="5"/>
      <c r="AM556" s="5"/>
      <c r="AN556" s="5"/>
      <c r="AO556" s="5"/>
      <c r="AP556" s="5"/>
      <c r="AQ556" s="5"/>
      <c r="AR556" s="5"/>
      <c r="AS556" s="5"/>
      <c r="AT556" s="20"/>
      <c r="AU556" s="1182"/>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81"/>
      <c r="E557" s="389">
        <f t="shared" si="326"/>
        <v>0</v>
      </c>
      <c r="F557" s="20"/>
      <c r="G557" s="3890">
        <f t="shared" si="327"/>
        <v>0</v>
      </c>
      <c r="H557" s="1282">
        <f t="shared" si="328"/>
        <v>0</v>
      </c>
      <c r="I557" s="3891"/>
      <c r="J557" s="3891"/>
      <c r="K557" s="3891"/>
      <c r="L557" s="3891"/>
      <c r="M557" s="3891"/>
      <c r="N557" s="3891"/>
      <c r="O557" s="3891"/>
      <c r="P557" s="3891"/>
      <c r="Q557" s="3891"/>
      <c r="R557" s="3891"/>
      <c r="S557" s="3891"/>
      <c r="T557" s="3891"/>
      <c r="U557" s="3891"/>
      <c r="V557" s="3891"/>
      <c r="W557" s="3891"/>
      <c r="X557" s="3891"/>
      <c r="Y557" s="3891"/>
      <c r="Z557" s="3891"/>
      <c r="AA557" s="3891"/>
      <c r="AB557" s="3891"/>
      <c r="AC557" s="389">
        <f t="shared" si="329"/>
        <v>0</v>
      </c>
      <c r="AD557" s="5"/>
      <c r="AE557" s="5"/>
      <c r="AF557" s="5"/>
      <c r="AG557" s="5"/>
      <c r="AH557" s="5"/>
      <c r="AI557" s="5"/>
      <c r="AJ557" s="5"/>
      <c r="AK557" s="5"/>
      <c r="AL557" s="5"/>
      <c r="AM557" s="5"/>
      <c r="AN557" s="5"/>
      <c r="AO557" s="5"/>
      <c r="AP557" s="5"/>
      <c r="AQ557" s="5"/>
      <c r="AR557" s="5"/>
      <c r="AS557" s="5"/>
      <c r="AT557" s="20"/>
      <c r="AU557" s="1182"/>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81"/>
      <c r="E558" s="389">
        <f t="shared" si="326"/>
        <v>0</v>
      </c>
      <c r="F558" s="20"/>
      <c r="G558" s="3890">
        <f t="shared" si="327"/>
        <v>0</v>
      </c>
      <c r="H558" s="1282">
        <f t="shared" si="328"/>
        <v>0</v>
      </c>
      <c r="I558" s="3891"/>
      <c r="J558" s="3891"/>
      <c r="K558" s="3891"/>
      <c r="L558" s="3891"/>
      <c r="M558" s="3891"/>
      <c r="N558" s="3891"/>
      <c r="O558" s="3891"/>
      <c r="P558" s="3891"/>
      <c r="Q558" s="3891"/>
      <c r="R558" s="3891"/>
      <c r="S558" s="3891"/>
      <c r="T558" s="3891"/>
      <c r="U558" s="3891"/>
      <c r="V558" s="3891"/>
      <c r="W558" s="3891"/>
      <c r="X558" s="3891"/>
      <c r="Y558" s="3891"/>
      <c r="Z558" s="3891"/>
      <c r="AA558" s="3891"/>
      <c r="AB558" s="3891"/>
      <c r="AC558" s="389">
        <f t="shared" si="329"/>
        <v>0</v>
      </c>
      <c r="AD558" s="5"/>
      <c r="AE558" s="5"/>
      <c r="AF558" s="5"/>
      <c r="AG558" s="5"/>
      <c r="AH558" s="5"/>
      <c r="AI558" s="5"/>
      <c r="AJ558" s="5"/>
      <c r="AK558" s="5"/>
      <c r="AL558" s="5"/>
      <c r="AM558" s="5"/>
      <c r="AN558" s="5"/>
      <c r="AO558" s="5"/>
      <c r="AP558" s="5"/>
      <c r="AQ558" s="5"/>
      <c r="AR558" s="5"/>
      <c r="AS558" s="5"/>
      <c r="AT558" s="20"/>
      <c r="AU558" s="1182"/>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81"/>
      <c r="E559" s="389">
        <f t="shared" si="326"/>
        <v>0</v>
      </c>
      <c r="F559" s="20"/>
      <c r="G559" s="3890">
        <f t="shared" si="327"/>
        <v>0</v>
      </c>
      <c r="H559" s="1282">
        <f t="shared" si="328"/>
        <v>0</v>
      </c>
      <c r="I559" s="3891"/>
      <c r="J559" s="3891"/>
      <c r="K559" s="3891"/>
      <c r="L559" s="3891"/>
      <c r="M559" s="3891"/>
      <c r="N559" s="3891"/>
      <c r="O559" s="3891"/>
      <c r="P559" s="3891"/>
      <c r="Q559" s="3891"/>
      <c r="R559" s="3891"/>
      <c r="S559" s="3891"/>
      <c r="T559" s="3891"/>
      <c r="U559" s="3891"/>
      <c r="V559" s="3891"/>
      <c r="W559" s="3891"/>
      <c r="X559" s="3891"/>
      <c r="Y559" s="3891"/>
      <c r="Z559" s="3891"/>
      <c r="AA559" s="3891"/>
      <c r="AB559" s="3891"/>
      <c r="AC559" s="389">
        <f t="shared" si="329"/>
        <v>0</v>
      </c>
      <c r="AD559" s="5"/>
      <c r="AE559" s="5"/>
      <c r="AF559" s="5"/>
      <c r="AG559" s="5"/>
      <c r="AH559" s="5"/>
      <c r="AI559" s="5"/>
      <c r="AJ559" s="5"/>
      <c r="AK559" s="5"/>
      <c r="AL559" s="5"/>
      <c r="AM559" s="5"/>
      <c r="AN559" s="5"/>
      <c r="AO559" s="5"/>
      <c r="AP559" s="5"/>
      <c r="AQ559" s="5"/>
      <c r="AR559" s="5"/>
      <c r="AS559" s="5"/>
      <c r="AT559" s="20"/>
      <c r="AU559" s="1182"/>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81"/>
      <c r="E560" s="389">
        <f t="shared" si="326"/>
        <v>0</v>
      </c>
      <c r="F560" s="20"/>
      <c r="G560" s="3890">
        <f t="shared" si="327"/>
        <v>0</v>
      </c>
      <c r="H560" s="1282">
        <f t="shared" si="328"/>
        <v>0</v>
      </c>
      <c r="I560" s="3891"/>
      <c r="J560" s="3891"/>
      <c r="K560" s="3891"/>
      <c r="L560" s="3891"/>
      <c r="M560" s="3891"/>
      <c r="N560" s="3891"/>
      <c r="O560" s="3891"/>
      <c r="P560" s="3891"/>
      <c r="Q560" s="3891"/>
      <c r="R560" s="3891"/>
      <c r="S560" s="3891"/>
      <c r="T560" s="3891"/>
      <c r="U560" s="3891"/>
      <c r="V560" s="3891"/>
      <c r="W560" s="3891"/>
      <c r="X560" s="3891"/>
      <c r="Y560" s="3891"/>
      <c r="Z560" s="3891"/>
      <c r="AA560" s="3891"/>
      <c r="AB560" s="3891"/>
      <c r="AC560" s="389">
        <f t="shared" si="329"/>
        <v>0</v>
      </c>
      <c r="AD560" s="5"/>
      <c r="AE560" s="5"/>
      <c r="AF560" s="5"/>
      <c r="AG560" s="5"/>
      <c r="AH560" s="5"/>
      <c r="AI560" s="5"/>
      <c r="AJ560" s="5"/>
      <c r="AK560" s="5"/>
      <c r="AL560" s="5"/>
      <c r="AM560" s="5"/>
      <c r="AN560" s="5"/>
      <c r="AO560" s="5"/>
      <c r="AP560" s="5"/>
      <c r="AQ560" s="5"/>
      <c r="AR560" s="5"/>
      <c r="AS560" s="5"/>
      <c r="AT560" s="20"/>
      <c r="AU560" s="1182"/>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81"/>
      <c r="E561" s="389">
        <f t="shared" si="326"/>
        <v>0</v>
      </c>
      <c r="F561" s="20"/>
      <c r="G561" s="3890">
        <f t="shared" si="327"/>
        <v>0</v>
      </c>
      <c r="H561" s="1282">
        <f t="shared" si="328"/>
        <v>0</v>
      </c>
      <c r="I561" s="3891"/>
      <c r="J561" s="3891"/>
      <c r="K561" s="3891"/>
      <c r="L561" s="3891"/>
      <c r="M561" s="3891"/>
      <c r="N561" s="3891"/>
      <c r="O561" s="3891"/>
      <c r="P561" s="3891"/>
      <c r="Q561" s="3891"/>
      <c r="R561" s="3891"/>
      <c r="S561" s="3891"/>
      <c r="T561" s="3891"/>
      <c r="U561" s="3891"/>
      <c r="V561" s="3891"/>
      <c r="W561" s="3891"/>
      <c r="X561" s="3891"/>
      <c r="Y561" s="3891"/>
      <c r="Z561" s="3891"/>
      <c r="AA561" s="3891"/>
      <c r="AB561" s="3891"/>
      <c r="AC561" s="389">
        <f t="shared" si="329"/>
        <v>0</v>
      </c>
      <c r="AD561" s="5"/>
      <c r="AE561" s="5"/>
      <c r="AF561" s="5"/>
      <c r="AG561" s="5"/>
      <c r="AH561" s="5"/>
      <c r="AI561" s="5"/>
      <c r="AJ561" s="5"/>
      <c r="AK561" s="5"/>
      <c r="AL561" s="5"/>
      <c r="AM561" s="5"/>
      <c r="AN561" s="5"/>
      <c r="AO561" s="5"/>
      <c r="AP561" s="5"/>
      <c r="AQ561" s="5"/>
      <c r="AR561" s="5"/>
      <c r="AS561" s="5"/>
      <c r="AT561" s="20"/>
      <c r="AU561" s="1182"/>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81"/>
      <c r="E562" s="389">
        <f t="shared" si="326"/>
        <v>0</v>
      </c>
      <c r="F562" s="20"/>
      <c r="G562" s="3890">
        <f t="shared" si="327"/>
        <v>0</v>
      </c>
      <c r="H562" s="1282">
        <f t="shared" si="328"/>
        <v>0</v>
      </c>
      <c r="I562" s="3891"/>
      <c r="J562" s="3891"/>
      <c r="K562" s="3891"/>
      <c r="L562" s="3891"/>
      <c r="M562" s="3891"/>
      <c r="N562" s="3891"/>
      <c r="O562" s="3891"/>
      <c r="P562" s="3891"/>
      <c r="Q562" s="3891"/>
      <c r="R562" s="3891"/>
      <c r="S562" s="3891"/>
      <c r="T562" s="3891"/>
      <c r="U562" s="3891"/>
      <c r="V562" s="3891"/>
      <c r="W562" s="3891"/>
      <c r="X562" s="3891"/>
      <c r="Y562" s="3891"/>
      <c r="Z562" s="3891"/>
      <c r="AA562" s="3891"/>
      <c r="AB562" s="3891"/>
      <c r="AC562" s="389">
        <f t="shared" si="329"/>
        <v>0</v>
      </c>
      <c r="AD562" s="5"/>
      <c r="AE562" s="5"/>
      <c r="AF562" s="5"/>
      <c r="AG562" s="5"/>
      <c r="AH562" s="5"/>
      <c r="AI562" s="5"/>
      <c r="AJ562" s="5"/>
      <c r="AK562" s="5"/>
      <c r="AL562" s="5"/>
      <c r="AM562" s="5"/>
      <c r="AN562" s="5"/>
      <c r="AO562" s="5"/>
      <c r="AP562" s="5"/>
      <c r="AQ562" s="5"/>
      <c r="AR562" s="5"/>
      <c r="AS562" s="5"/>
      <c r="AT562" s="20"/>
      <c r="AU562" s="1182"/>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81"/>
      <c r="E563" s="389">
        <f t="shared" si="326"/>
        <v>0</v>
      </c>
      <c r="F563" s="20"/>
      <c r="G563" s="3890">
        <f t="shared" si="327"/>
        <v>0</v>
      </c>
      <c r="H563" s="1282">
        <f t="shared" si="328"/>
        <v>0</v>
      </c>
      <c r="I563" s="3891"/>
      <c r="J563" s="3891"/>
      <c r="K563" s="3891"/>
      <c r="L563" s="3891"/>
      <c r="M563" s="3891"/>
      <c r="N563" s="3891"/>
      <c r="O563" s="3891"/>
      <c r="P563" s="3891"/>
      <c r="Q563" s="3891"/>
      <c r="R563" s="3891"/>
      <c r="S563" s="3891"/>
      <c r="T563" s="3891"/>
      <c r="U563" s="3891"/>
      <c r="V563" s="3891"/>
      <c r="W563" s="3891"/>
      <c r="X563" s="3891"/>
      <c r="Y563" s="3891"/>
      <c r="Z563" s="3891"/>
      <c r="AA563" s="3891"/>
      <c r="AB563" s="3891"/>
      <c r="AC563" s="389">
        <f t="shared" si="329"/>
        <v>0</v>
      </c>
      <c r="AD563" s="5"/>
      <c r="AE563" s="5"/>
      <c r="AF563" s="5"/>
      <c r="AG563" s="5"/>
      <c r="AH563" s="5"/>
      <c r="AI563" s="5"/>
      <c r="AJ563" s="5"/>
      <c r="AK563" s="5"/>
      <c r="AL563" s="5"/>
      <c r="AM563" s="5"/>
      <c r="AN563" s="5"/>
      <c r="AO563" s="5"/>
      <c r="AP563" s="5"/>
      <c r="AQ563" s="5"/>
      <c r="AR563" s="5"/>
      <c r="AS563" s="5"/>
      <c r="AT563" s="20"/>
      <c r="AU563" s="1182"/>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81"/>
      <c r="E564" s="389">
        <f t="shared" si="326"/>
        <v>0</v>
      </c>
      <c r="F564" s="20"/>
      <c r="G564" s="3890">
        <f t="shared" si="327"/>
        <v>0</v>
      </c>
      <c r="H564" s="1282">
        <f t="shared" si="328"/>
        <v>0</v>
      </c>
      <c r="I564" s="3891"/>
      <c r="J564" s="3891"/>
      <c r="K564" s="3891"/>
      <c r="L564" s="3891"/>
      <c r="M564" s="3891"/>
      <c r="N564" s="3891"/>
      <c r="O564" s="3891"/>
      <c r="P564" s="3891"/>
      <c r="Q564" s="3891"/>
      <c r="R564" s="3891"/>
      <c r="S564" s="3891"/>
      <c r="T564" s="3891"/>
      <c r="U564" s="3891"/>
      <c r="V564" s="3891"/>
      <c r="W564" s="3891"/>
      <c r="X564" s="3891"/>
      <c r="Y564" s="3891"/>
      <c r="Z564" s="3891"/>
      <c r="AA564" s="3891"/>
      <c r="AB564" s="3891"/>
      <c r="AC564" s="389">
        <f t="shared" si="329"/>
        <v>0</v>
      </c>
      <c r="AD564" s="5"/>
      <c r="AE564" s="5"/>
      <c r="AF564" s="5"/>
      <c r="AG564" s="5"/>
      <c r="AH564" s="5"/>
      <c r="AI564" s="5"/>
      <c r="AJ564" s="5"/>
      <c r="AK564" s="5"/>
      <c r="AL564" s="5"/>
      <c r="AM564" s="5"/>
      <c r="AN564" s="5"/>
      <c r="AO564" s="5"/>
      <c r="AP564" s="5"/>
      <c r="AQ564" s="5"/>
      <c r="AR564" s="5"/>
      <c r="AS564" s="5"/>
      <c r="AT564" s="20"/>
      <c r="AU564" s="1182"/>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81"/>
      <c r="E565" s="389">
        <f t="shared" si="326"/>
        <v>0</v>
      </c>
      <c r="F565" s="20"/>
      <c r="G565" s="3890">
        <f t="shared" si="327"/>
        <v>0</v>
      </c>
      <c r="H565" s="1282">
        <f t="shared" si="328"/>
        <v>0</v>
      </c>
      <c r="I565" s="3891"/>
      <c r="J565" s="3891"/>
      <c r="K565" s="3891"/>
      <c r="L565" s="3891"/>
      <c r="M565" s="3891"/>
      <c r="N565" s="3891"/>
      <c r="O565" s="3891"/>
      <c r="P565" s="3891"/>
      <c r="Q565" s="3891"/>
      <c r="R565" s="3891"/>
      <c r="S565" s="3891"/>
      <c r="T565" s="3891"/>
      <c r="U565" s="3891"/>
      <c r="V565" s="3891"/>
      <c r="W565" s="3891"/>
      <c r="X565" s="3891"/>
      <c r="Y565" s="3891"/>
      <c r="Z565" s="3891"/>
      <c r="AA565" s="3891"/>
      <c r="AB565" s="3891"/>
      <c r="AC565" s="389">
        <f t="shared" si="329"/>
        <v>0</v>
      </c>
      <c r="AD565" s="5"/>
      <c r="AE565" s="5"/>
      <c r="AF565" s="5"/>
      <c r="AG565" s="5"/>
      <c r="AH565" s="5"/>
      <c r="AI565" s="5"/>
      <c r="AJ565" s="5"/>
      <c r="AK565" s="5"/>
      <c r="AL565" s="5"/>
      <c r="AM565" s="5"/>
      <c r="AN565" s="5"/>
      <c r="AO565" s="5"/>
      <c r="AP565" s="5"/>
      <c r="AQ565" s="5"/>
      <c r="AR565" s="5"/>
      <c r="AS565" s="5"/>
      <c r="AT565" s="20"/>
      <c r="AU565" s="1182"/>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81"/>
      <c r="E566" s="389">
        <f t="shared" si="326"/>
        <v>0</v>
      </c>
      <c r="F566" s="20"/>
      <c r="G566" s="3890">
        <f t="shared" si="327"/>
        <v>0</v>
      </c>
      <c r="H566" s="1282">
        <f t="shared" si="328"/>
        <v>0</v>
      </c>
      <c r="I566" s="3891"/>
      <c r="J566" s="3891"/>
      <c r="K566" s="3891"/>
      <c r="L566" s="3891"/>
      <c r="M566" s="3891"/>
      <c r="N566" s="3891"/>
      <c r="O566" s="3891"/>
      <c r="P566" s="3891"/>
      <c r="Q566" s="3891"/>
      <c r="R566" s="3891"/>
      <c r="S566" s="3891"/>
      <c r="T566" s="3891"/>
      <c r="U566" s="3891"/>
      <c r="V566" s="3891"/>
      <c r="W566" s="3891"/>
      <c r="X566" s="3891"/>
      <c r="Y566" s="3891"/>
      <c r="Z566" s="3891"/>
      <c r="AA566" s="3891"/>
      <c r="AB566" s="3891"/>
      <c r="AC566" s="389">
        <f t="shared" si="329"/>
        <v>0</v>
      </c>
      <c r="AD566" s="5"/>
      <c r="AE566" s="5"/>
      <c r="AF566" s="5"/>
      <c r="AG566" s="5"/>
      <c r="AH566" s="5"/>
      <c r="AI566" s="5"/>
      <c r="AJ566" s="5"/>
      <c r="AK566" s="5"/>
      <c r="AL566" s="5"/>
      <c r="AM566" s="5"/>
      <c r="AN566" s="5"/>
      <c r="AO566" s="5"/>
      <c r="AP566" s="5"/>
      <c r="AQ566" s="5"/>
      <c r="AR566" s="5"/>
      <c r="AS566" s="5"/>
      <c r="AT566" s="20"/>
      <c r="AU566" s="1182"/>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81"/>
      <c r="E567" s="389">
        <f t="shared" si="326"/>
        <v>0</v>
      </c>
      <c r="F567" s="20"/>
      <c r="G567" s="3890">
        <f t="shared" si="327"/>
        <v>0</v>
      </c>
      <c r="H567" s="1282">
        <f t="shared" si="328"/>
        <v>0</v>
      </c>
      <c r="I567" s="3891"/>
      <c r="J567" s="3891"/>
      <c r="K567" s="3891"/>
      <c r="L567" s="3891"/>
      <c r="M567" s="3891"/>
      <c r="N567" s="3891"/>
      <c r="O567" s="3891"/>
      <c r="P567" s="3891"/>
      <c r="Q567" s="3891"/>
      <c r="R567" s="3891"/>
      <c r="S567" s="3891"/>
      <c r="T567" s="3891"/>
      <c r="U567" s="3891"/>
      <c r="V567" s="3891"/>
      <c r="W567" s="3891"/>
      <c r="X567" s="3891"/>
      <c r="Y567" s="3891"/>
      <c r="Z567" s="3891"/>
      <c r="AA567" s="3891"/>
      <c r="AB567" s="3891"/>
      <c r="AC567" s="389">
        <f t="shared" si="329"/>
        <v>0</v>
      </c>
      <c r="AD567" s="5"/>
      <c r="AE567" s="5"/>
      <c r="AF567" s="5"/>
      <c r="AG567" s="5"/>
      <c r="AH567" s="5"/>
      <c r="AI567" s="5"/>
      <c r="AJ567" s="5"/>
      <c r="AK567" s="5"/>
      <c r="AL567" s="5"/>
      <c r="AM567" s="5"/>
      <c r="AN567" s="5"/>
      <c r="AO567" s="5"/>
      <c r="AP567" s="5"/>
      <c r="AQ567" s="5"/>
      <c r="AR567" s="5"/>
      <c r="AS567" s="5"/>
      <c r="AT567" s="20"/>
      <c r="AU567" s="1182"/>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81"/>
      <c r="E568" s="389">
        <f t="shared" si="326"/>
        <v>0</v>
      </c>
      <c r="F568" s="20"/>
      <c r="G568" s="3890">
        <f t="shared" si="327"/>
        <v>0</v>
      </c>
      <c r="H568" s="1282">
        <f t="shared" si="328"/>
        <v>0</v>
      </c>
      <c r="I568" s="3891"/>
      <c r="J568" s="3891"/>
      <c r="K568" s="3891"/>
      <c r="L568" s="3891"/>
      <c r="M568" s="3891"/>
      <c r="N568" s="3891"/>
      <c r="O568" s="3891"/>
      <c r="P568" s="3891"/>
      <c r="Q568" s="3891"/>
      <c r="R568" s="3891"/>
      <c r="S568" s="3891"/>
      <c r="T568" s="3891"/>
      <c r="U568" s="3891"/>
      <c r="V568" s="3891"/>
      <c r="W568" s="3891"/>
      <c r="X568" s="3891"/>
      <c r="Y568" s="3891"/>
      <c r="Z568" s="3891"/>
      <c r="AA568" s="3891"/>
      <c r="AB568" s="3891"/>
      <c r="AC568" s="389">
        <f t="shared" si="329"/>
        <v>0</v>
      </c>
      <c r="AD568" s="5"/>
      <c r="AE568" s="5"/>
      <c r="AF568" s="5"/>
      <c r="AG568" s="5"/>
      <c r="AH568" s="5"/>
      <c r="AI568" s="5"/>
      <c r="AJ568" s="5"/>
      <c r="AK568" s="5"/>
      <c r="AL568" s="5"/>
      <c r="AM568" s="5"/>
      <c r="AN568" s="5"/>
      <c r="AO568" s="5"/>
      <c r="AP568" s="5"/>
      <c r="AQ568" s="5"/>
      <c r="AR568" s="5"/>
      <c r="AS568" s="5"/>
      <c r="AT568" s="20"/>
      <c r="AU568" s="1182"/>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81"/>
      <c r="E569" s="389">
        <f t="shared" si="326"/>
        <v>0</v>
      </c>
      <c r="F569" s="20"/>
      <c r="G569" s="3890">
        <f t="shared" si="327"/>
        <v>0</v>
      </c>
      <c r="H569" s="1282">
        <f t="shared" si="328"/>
        <v>0</v>
      </c>
      <c r="I569" s="3891"/>
      <c r="J569" s="3891"/>
      <c r="K569" s="3891"/>
      <c r="L569" s="3891"/>
      <c r="M569" s="3891"/>
      <c r="N569" s="3891"/>
      <c r="O569" s="3891"/>
      <c r="P569" s="3891"/>
      <c r="Q569" s="3891"/>
      <c r="R569" s="3891"/>
      <c r="S569" s="3891"/>
      <c r="T569" s="3891"/>
      <c r="U569" s="3891"/>
      <c r="V569" s="3891"/>
      <c r="W569" s="3891"/>
      <c r="X569" s="3891"/>
      <c r="Y569" s="3891"/>
      <c r="Z569" s="3891"/>
      <c r="AA569" s="3891"/>
      <c r="AB569" s="3891"/>
      <c r="AC569" s="389">
        <f t="shared" si="329"/>
        <v>0</v>
      </c>
      <c r="AD569" s="5"/>
      <c r="AE569" s="5"/>
      <c r="AF569" s="5"/>
      <c r="AG569" s="5"/>
      <c r="AH569" s="5"/>
      <c r="AI569" s="5"/>
      <c r="AJ569" s="5"/>
      <c r="AK569" s="5"/>
      <c r="AL569" s="5"/>
      <c r="AM569" s="5"/>
      <c r="AN569" s="5"/>
      <c r="AO569" s="5"/>
      <c r="AP569" s="5"/>
      <c r="AQ569" s="5"/>
      <c r="AR569" s="5"/>
      <c r="AS569" s="5"/>
      <c r="AT569" s="20"/>
      <c r="AU569" s="1182"/>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81"/>
      <c r="E570" s="389">
        <f t="shared" si="326"/>
        <v>0</v>
      </c>
      <c r="F570" s="20"/>
      <c r="G570" s="3890">
        <f t="shared" si="327"/>
        <v>0</v>
      </c>
      <c r="H570" s="1282">
        <f t="shared" si="328"/>
        <v>0</v>
      </c>
      <c r="I570" s="3891"/>
      <c r="J570" s="3891"/>
      <c r="K570" s="3891"/>
      <c r="L570" s="3891"/>
      <c r="M570" s="3891"/>
      <c r="N570" s="3891"/>
      <c r="O570" s="3891"/>
      <c r="P570" s="3891"/>
      <c r="Q570" s="3891"/>
      <c r="R570" s="3891"/>
      <c r="S570" s="3891"/>
      <c r="T570" s="3891"/>
      <c r="U570" s="3891"/>
      <c r="V570" s="3891"/>
      <c r="W570" s="3891"/>
      <c r="X570" s="3891"/>
      <c r="Y570" s="3891"/>
      <c r="Z570" s="3891"/>
      <c r="AA570" s="3891"/>
      <c r="AB570" s="3891"/>
      <c r="AC570" s="389">
        <f t="shared" si="329"/>
        <v>0</v>
      </c>
      <c r="AD570" s="5"/>
      <c r="AE570" s="5"/>
      <c r="AF570" s="5"/>
      <c r="AG570" s="5"/>
      <c r="AH570" s="5"/>
      <c r="AI570" s="5"/>
      <c r="AJ570" s="5"/>
      <c r="AK570" s="5"/>
      <c r="AL570" s="5"/>
      <c r="AM570" s="5"/>
      <c r="AN570" s="5"/>
      <c r="AO570" s="5"/>
      <c r="AP570" s="5"/>
      <c r="AQ570" s="5"/>
      <c r="AR570" s="5"/>
      <c r="AS570" s="5"/>
      <c r="AT570" s="20"/>
      <c r="AU570" s="1182"/>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81"/>
      <c r="E571" s="389">
        <f t="shared" si="326"/>
        <v>0</v>
      </c>
      <c r="F571" s="20"/>
      <c r="G571" s="3890">
        <f t="shared" si="327"/>
        <v>0</v>
      </c>
      <c r="H571" s="1282">
        <f t="shared" si="328"/>
        <v>0</v>
      </c>
      <c r="I571" s="3891"/>
      <c r="J571" s="3891"/>
      <c r="K571" s="3891"/>
      <c r="L571" s="3891"/>
      <c r="M571" s="3891"/>
      <c r="N571" s="3891"/>
      <c r="O571" s="3891"/>
      <c r="P571" s="3891"/>
      <c r="Q571" s="3891"/>
      <c r="R571" s="3891"/>
      <c r="S571" s="3891"/>
      <c r="T571" s="3891"/>
      <c r="U571" s="3891"/>
      <c r="V571" s="3891"/>
      <c r="W571" s="3891"/>
      <c r="X571" s="3891"/>
      <c r="Y571" s="3891"/>
      <c r="Z571" s="3891"/>
      <c r="AA571" s="3891"/>
      <c r="AB571" s="3891"/>
      <c r="AC571" s="389">
        <f t="shared" si="329"/>
        <v>0</v>
      </c>
      <c r="AD571" s="5"/>
      <c r="AE571" s="5"/>
      <c r="AF571" s="5"/>
      <c r="AG571" s="5"/>
      <c r="AH571" s="5"/>
      <c r="AI571" s="5"/>
      <c r="AJ571" s="5"/>
      <c r="AK571" s="5"/>
      <c r="AL571" s="5"/>
      <c r="AM571" s="5"/>
      <c r="AN571" s="5"/>
      <c r="AO571" s="5"/>
      <c r="AP571" s="5"/>
      <c r="AQ571" s="5"/>
      <c r="AR571" s="5"/>
      <c r="AS571" s="5"/>
      <c r="AT571" s="20"/>
      <c r="AU571" s="1182"/>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81"/>
      <c r="E572" s="389">
        <f t="shared" si="326"/>
        <v>0</v>
      </c>
      <c r="F572" s="20"/>
      <c r="G572" s="3890">
        <f t="shared" si="327"/>
        <v>0</v>
      </c>
      <c r="H572" s="1282">
        <f t="shared" si="328"/>
        <v>0</v>
      </c>
      <c r="I572" s="3891"/>
      <c r="J572" s="3891"/>
      <c r="K572" s="3891"/>
      <c r="L572" s="3891"/>
      <c r="M572" s="3891"/>
      <c r="N572" s="3891"/>
      <c r="O572" s="3891"/>
      <c r="P572" s="3891"/>
      <c r="Q572" s="3891"/>
      <c r="R572" s="3891"/>
      <c r="S572" s="3891"/>
      <c r="T572" s="3891"/>
      <c r="U572" s="3891"/>
      <c r="V572" s="3891"/>
      <c r="W572" s="3891"/>
      <c r="X572" s="3891"/>
      <c r="Y572" s="3891"/>
      <c r="Z572" s="3891"/>
      <c r="AA572" s="3891"/>
      <c r="AB572" s="3891"/>
      <c r="AC572" s="389">
        <f t="shared" si="329"/>
        <v>0</v>
      </c>
      <c r="AD572" s="5"/>
      <c r="AE572" s="5"/>
      <c r="AF572" s="5"/>
      <c r="AG572" s="5"/>
      <c r="AH572" s="5"/>
      <c r="AI572" s="5"/>
      <c r="AJ572" s="5"/>
      <c r="AK572" s="5"/>
      <c r="AL572" s="5"/>
      <c r="AM572" s="5"/>
      <c r="AN572" s="5"/>
      <c r="AO572" s="5"/>
      <c r="AP572" s="5"/>
      <c r="AQ572" s="5"/>
      <c r="AR572" s="5"/>
      <c r="AS572" s="5"/>
      <c r="AT572" s="20"/>
      <c r="AU572" s="1182"/>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81"/>
      <c r="E573" s="389">
        <f t="shared" si="326"/>
        <v>0</v>
      </c>
      <c r="F573" s="20"/>
      <c r="G573" s="3890">
        <f t="shared" si="327"/>
        <v>0</v>
      </c>
      <c r="H573" s="1282">
        <f t="shared" si="328"/>
        <v>0</v>
      </c>
      <c r="I573" s="3891"/>
      <c r="J573" s="3891"/>
      <c r="K573" s="3891"/>
      <c r="L573" s="3891"/>
      <c r="M573" s="3891"/>
      <c r="N573" s="3891"/>
      <c r="O573" s="3891"/>
      <c r="P573" s="3891"/>
      <c r="Q573" s="3891"/>
      <c r="R573" s="3891"/>
      <c r="S573" s="3891"/>
      <c r="T573" s="3891"/>
      <c r="U573" s="3891"/>
      <c r="V573" s="3891"/>
      <c r="W573" s="3891"/>
      <c r="X573" s="3891"/>
      <c r="Y573" s="3891"/>
      <c r="Z573" s="3891"/>
      <c r="AA573" s="3891"/>
      <c r="AB573" s="3891"/>
      <c r="AC573" s="389">
        <f t="shared" si="329"/>
        <v>0</v>
      </c>
      <c r="AD573" s="5"/>
      <c r="AE573" s="5"/>
      <c r="AF573" s="5"/>
      <c r="AG573" s="5"/>
      <c r="AH573" s="5"/>
      <c r="AI573" s="5"/>
      <c r="AJ573" s="5"/>
      <c r="AK573" s="5"/>
      <c r="AL573" s="5"/>
      <c r="AM573" s="5"/>
      <c r="AN573" s="5"/>
      <c r="AO573" s="5"/>
      <c r="AP573" s="5"/>
      <c r="AQ573" s="5"/>
      <c r="AR573" s="5"/>
      <c r="AS573" s="5"/>
      <c r="AT573" s="20"/>
      <c r="AU573" s="1182"/>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81"/>
      <c r="E574" s="389">
        <f t="shared" si="326"/>
        <v>0</v>
      </c>
      <c r="F574" s="20"/>
      <c r="G574" s="3890">
        <f t="shared" si="327"/>
        <v>0</v>
      </c>
      <c r="H574" s="1282">
        <f t="shared" si="328"/>
        <v>0</v>
      </c>
      <c r="I574" s="3891"/>
      <c r="J574" s="3891"/>
      <c r="K574" s="3891"/>
      <c r="L574" s="3891"/>
      <c r="M574" s="3891"/>
      <c r="N574" s="3891"/>
      <c r="O574" s="3891"/>
      <c r="P574" s="3891"/>
      <c r="Q574" s="3891"/>
      <c r="R574" s="3891"/>
      <c r="S574" s="3891"/>
      <c r="T574" s="3891"/>
      <c r="U574" s="3891"/>
      <c r="V574" s="3891"/>
      <c r="W574" s="3891"/>
      <c r="X574" s="3891"/>
      <c r="Y574" s="3891"/>
      <c r="Z574" s="3891"/>
      <c r="AA574" s="3891"/>
      <c r="AB574" s="3891"/>
      <c r="AC574" s="389">
        <f t="shared" si="329"/>
        <v>0</v>
      </c>
      <c r="AD574" s="5"/>
      <c r="AE574" s="5"/>
      <c r="AF574" s="5"/>
      <c r="AG574" s="5"/>
      <c r="AH574" s="5"/>
      <c r="AI574" s="5"/>
      <c r="AJ574" s="5"/>
      <c r="AK574" s="5"/>
      <c r="AL574" s="5"/>
      <c r="AM574" s="5"/>
      <c r="AN574" s="5"/>
      <c r="AO574" s="5"/>
      <c r="AP574" s="5"/>
      <c r="AQ574" s="5"/>
      <c r="AR574" s="5"/>
      <c r="AS574" s="5"/>
      <c r="AT574" s="20"/>
      <c r="AU574" s="1182"/>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81"/>
      <c r="E575" s="389">
        <f t="shared" si="326"/>
        <v>0</v>
      </c>
      <c r="F575" s="20"/>
      <c r="G575" s="3890">
        <f t="shared" si="327"/>
        <v>0</v>
      </c>
      <c r="H575" s="1282">
        <f t="shared" si="328"/>
        <v>0</v>
      </c>
      <c r="I575" s="3891"/>
      <c r="J575" s="3891"/>
      <c r="K575" s="3891"/>
      <c r="L575" s="3891"/>
      <c r="M575" s="3891"/>
      <c r="N575" s="3891"/>
      <c r="O575" s="3891"/>
      <c r="P575" s="3891"/>
      <c r="Q575" s="3891"/>
      <c r="R575" s="3891"/>
      <c r="S575" s="3891"/>
      <c r="T575" s="3891"/>
      <c r="U575" s="3891"/>
      <c r="V575" s="3891"/>
      <c r="W575" s="3891"/>
      <c r="X575" s="3891"/>
      <c r="Y575" s="3891"/>
      <c r="Z575" s="3891"/>
      <c r="AA575" s="3891"/>
      <c r="AB575" s="3891"/>
      <c r="AC575" s="389">
        <f t="shared" si="329"/>
        <v>0</v>
      </c>
      <c r="AD575" s="5"/>
      <c r="AE575" s="5"/>
      <c r="AF575" s="5"/>
      <c r="AG575" s="5"/>
      <c r="AH575" s="5"/>
      <c r="AI575" s="5"/>
      <c r="AJ575" s="5"/>
      <c r="AK575" s="5"/>
      <c r="AL575" s="5"/>
      <c r="AM575" s="5"/>
      <c r="AN575" s="5"/>
      <c r="AO575" s="5"/>
      <c r="AP575" s="5"/>
      <c r="AQ575" s="5"/>
      <c r="AR575" s="5"/>
      <c r="AS575" s="5"/>
      <c r="AT575" s="20"/>
      <c r="AU575" s="1182"/>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81"/>
      <c r="E576" s="389">
        <f t="shared" si="326"/>
        <v>0</v>
      </c>
      <c r="F576" s="20"/>
      <c r="G576" s="3890">
        <f t="shared" si="327"/>
        <v>0</v>
      </c>
      <c r="H576" s="1282">
        <f t="shared" si="328"/>
        <v>0</v>
      </c>
      <c r="I576" s="3891"/>
      <c r="J576" s="3891"/>
      <c r="K576" s="3891"/>
      <c r="L576" s="3891"/>
      <c r="M576" s="3891"/>
      <c r="N576" s="3891"/>
      <c r="O576" s="3891"/>
      <c r="P576" s="3891"/>
      <c r="Q576" s="3891"/>
      <c r="R576" s="3891"/>
      <c r="S576" s="3891"/>
      <c r="T576" s="3891"/>
      <c r="U576" s="3891"/>
      <c r="V576" s="3891"/>
      <c r="W576" s="3891"/>
      <c r="X576" s="3891"/>
      <c r="Y576" s="3891"/>
      <c r="Z576" s="3891"/>
      <c r="AA576" s="3891"/>
      <c r="AB576" s="3891"/>
      <c r="AC576" s="389">
        <f t="shared" si="329"/>
        <v>0</v>
      </c>
      <c r="AD576" s="5"/>
      <c r="AE576" s="5"/>
      <c r="AF576" s="5"/>
      <c r="AG576" s="5"/>
      <c r="AH576" s="5"/>
      <c r="AI576" s="5"/>
      <c r="AJ576" s="5"/>
      <c r="AK576" s="5"/>
      <c r="AL576" s="5"/>
      <c r="AM576" s="5"/>
      <c r="AN576" s="5"/>
      <c r="AO576" s="5"/>
      <c r="AP576" s="5"/>
      <c r="AQ576" s="5"/>
      <c r="AR576" s="5"/>
      <c r="AS576" s="5"/>
      <c r="AT576" s="20"/>
      <c r="AU576" s="1182"/>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81"/>
      <c r="E577" s="389">
        <f t="shared" si="326"/>
        <v>0</v>
      </c>
      <c r="F577" s="20"/>
      <c r="G577" s="3890">
        <f t="shared" si="327"/>
        <v>0</v>
      </c>
      <c r="H577" s="1282">
        <f t="shared" si="328"/>
        <v>0</v>
      </c>
      <c r="I577" s="3891"/>
      <c r="J577" s="3891"/>
      <c r="K577" s="3891"/>
      <c r="L577" s="3891"/>
      <c r="M577" s="3891"/>
      <c r="N577" s="3891"/>
      <c r="O577" s="3891"/>
      <c r="P577" s="3891"/>
      <c r="Q577" s="3891"/>
      <c r="R577" s="3891"/>
      <c r="S577" s="3891"/>
      <c r="T577" s="3891"/>
      <c r="U577" s="3891"/>
      <c r="V577" s="3891"/>
      <c r="W577" s="3891"/>
      <c r="X577" s="3891"/>
      <c r="Y577" s="3891"/>
      <c r="Z577" s="3891"/>
      <c r="AA577" s="3891"/>
      <c r="AB577" s="3891"/>
      <c r="AC577" s="389">
        <f t="shared" si="329"/>
        <v>0</v>
      </c>
      <c r="AD577" s="5"/>
      <c r="AE577" s="5"/>
      <c r="AF577" s="5"/>
      <c r="AG577" s="5"/>
      <c r="AH577" s="5"/>
      <c r="AI577" s="5"/>
      <c r="AJ577" s="5"/>
      <c r="AK577" s="5"/>
      <c r="AL577" s="5"/>
      <c r="AM577" s="5"/>
      <c r="AN577" s="5"/>
      <c r="AO577" s="5"/>
      <c r="AP577" s="5"/>
      <c r="AQ577" s="5"/>
      <c r="AR577" s="5"/>
      <c r="AS577" s="5"/>
      <c r="AT577" s="20"/>
      <c r="AU577" s="1182"/>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81"/>
      <c r="E578" s="389">
        <f t="shared" si="326"/>
        <v>0</v>
      </c>
      <c r="F578" s="20"/>
      <c r="G578" s="3890">
        <f t="shared" si="327"/>
        <v>0</v>
      </c>
      <c r="H578" s="1282">
        <f t="shared" si="328"/>
        <v>0</v>
      </c>
      <c r="I578" s="3891"/>
      <c r="J578" s="3891"/>
      <c r="K578" s="3891"/>
      <c r="L578" s="3891"/>
      <c r="M578" s="3891"/>
      <c r="N578" s="3891"/>
      <c r="O578" s="3891"/>
      <c r="P578" s="3891"/>
      <c r="Q578" s="3891"/>
      <c r="R578" s="3891"/>
      <c r="S578" s="3891"/>
      <c r="T578" s="3891"/>
      <c r="U578" s="3891"/>
      <c r="V578" s="3891"/>
      <c r="W578" s="3891"/>
      <c r="X578" s="3891"/>
      <c r="Y578" s="3891"/>
      <c r="Z578" s="3891"/>
      <c r="AA578" s="3891"/>
      <c r="AB578" s="3891"/>
      <c r="AC578" s="389">
        <f t="shared" si="329"/>
        <v>0</v>
      </c>
      <c r="AD578" s="5"/>
      <c r="AE578" s="5"/>
      <c r="AF578" s="5"/>
      <c r="AG578" s="5"/>
      <c r="AH578" s="5"/>
      <c r="AI578" s="5"/>
      <c r="AJ578" s="5"/>
      <c r="AK578" s="5"/>
      <c r="AL578" s="5"/>
      <c r="AM578" s="5"/>
      <c r="AN578" s="5"/>
      <c r="AO578" s="5"/>
      <c r="AP578" s="5"/>
      <c r="AQ578" s="5"/>
      <c r="AR578" s="5"/>
      <c r="AS578" s="5"/>
      <c r="AT578" s="20"/>
      <c r="AU578" s="1182"/>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81"/>
      <c r="E579" s="389">
        <f t="shared" si="326"/>
        <v>0</v>
      </c>
      <c r="F579" s="20"/>
      <c r="G579" s="3890">
        <f t="shared" si="327"/>
        <v>0</v>
      </c>
      <c r="H579" s="1282">
        <f t="shared" si="328"/>
        <v>0</v>
      </c>
      <c r="I579" s="3891"/>
      <c r="J579" s="3891"/>
      <c r="K579" s="3891"/>
      <c r="L579" s="3891"/>
      <c r="M579" s="3891"/>
      <c r="N579" s="3891"/>
      <c r="O579" s="3891"/>
      <c r="P579" s="3891"/>
      <c r="Q579" s="3891"/>
      <c r="R579" s="3891"/>
      <c r="S579" s="3891"/>
      <c r="T579" s="3891"/>
      <c r="U579" s="3891"/>
      <c r="V579" s="3891"/>
      <c r="W579" s="3891"/>
      <c r="X579" s="3891"/>
      <c r="Y579" s="3891"/>
      <c r="Z579" s="3891"/>
      <c r="AA579" s="3891"/>
      <c r="AB579" s="3891"/>
      <c r="AC579" s="389">
        <f t="shared" si="329"/>
        <v>0</v>
      </c>
      <c r="AD579" s="5"/>
      <c r="AE579" s="5"/>
      <c r="AF579" s="5"/>
      <c r="AG579" s="5"/>
      <c r="AH579" s="5"/>
      <c r="AI579" s="5"/>
      <c r="AJ579" s="5"/>
      <c r="AK579" s="5"/>
      <c r="AL579" s="5"/>
      <c r="AM579" s="5"/>
      <c r="AN579" s="5"/>
      <c r="AO579" s="5"/>
      <c r="AP579" s="5"/>
      <c r="AQ579" s="5"/>
      <c r="AR579" s="5"/>
      <c r="AS579" s="5"/>
      <c r="AT579" s="20"/>
      <c r="AU579" s="1182"/>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81"/>
      <c r="E580" s="389">
        <f t="shared" si="326"/>
        <v>0</v>
      </c>
      <c r="F580" s="20"/>
      <c r="G580" s="3890">
        <f t="shared" si="327"/>
        <v>0</v>
      </c>
      <c r="H580" s="1282">
        <f t="shared" si="328"/>
        <v>0</v>
      </c>
      <c r="I580" s="3891"/>
      <c r="J580" s="3891"/>
      <c r="K580" s="3891"/>
      <c r="L580" s="3891"/>
      <c r="M580" s="3891"/>
      <c r="N580" s="3891"/>
      <c r="O580" s="3891"/>
      <c r="P580" s="3891"/>
      <c r="Q580" s="3891"/>
      <c r="R580" s="3891"/>
      <c r="S580" s="3891"/>
      <c r="T580" s="3891"/>
      <c r="U580" s="3891"/>
      <c r="V580" s="3891"/>
      <c r="W580" s="3891"/>
      <c r="X580" s="3891"/>
      <c r="Y580" s="3891"/>
      <c r="Z580" s="3891"/>
      <c r="AA580" s="3891"/>
      <c r="AB580" s="3891"/>
      <c r="AC580" s="389">
        <f t="shared" si="329"/>
        <v>0</v>
      </c>
      <c r="AD580" s="5"/>
      <c r="AE580" s="5"/>
      <c r="AF580" s="5"/>
      <c r="AG580" s="5"/>
      <c r="AH580" s="5"/>
      <c r="AI580" s="5"/>
      <c r="AJ580" s="5"/>
      <c r="AK580" s="5"/>
      <c r="AL580" s="5"/>
      <c r="AM580" s="5"/>
      <c r="AN580" s="5"/>
      <c r="AO580" s="5"/>
      <c r="AP580" s="5"/>
      <c r="AQ580" s="5"/>
      <c r="AR580" s="5"/>
      <c r="AS580" s="5"/>
      <c r="AT580" s="20"/>
      <c r="AU580" s="1182"/>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81"/>
      <c r="E581" s="389">
        <f t="shared" si="326"/>
        <v>0</v>
      </c>
      <c r="F581" s="20"/>
      <c r="G581" s="3890">
        <f t="shared" si="327"/>
        <v>0</v>
      </c>
      <c r="H581" s="1282">
        <f t="shared" si="328"/>
        <v>0</v>
      </c>
      <c r="I581" s="3891"/>
      <c r="J581" s="3891"/>
      <c r="K581" s="3891"/>
      <c r="L581" s="3891"/>
      <c r="M581" s="3891"/>
      <c r="N581" s="3891"/>
      <c r="O581" s="3891"/>
      <c r="P581" s="3891"/>
      <c r="Q581" s="3891"/>
      <c r="R581" s="3891"/>
      <c r="S581" s="3891"/>
      <c r="T581" s="3891"/>
      <c r="U581" s="3891"/>
      <c r="V581" s="3891"/>
      <c r="W581" s="3891"/>
      <c r="X581" s="3891"/>
      <c r="Y581" s="3891"/>
      <c r="Z581" s="3891"/>
      <c r="AA581" s="3891"/>
      <c r="AB581" s="3891"/>
      <c r="AC581" s="389">
        <f t="shared" si="329"/>
        <v>0</v>
      </c>
      <c r="AD581" s="5"/>
      <c r="AE581" s="5"/>
      <c r="AF581" s="5"/>
      <c r="AG581" s="5"/>
      <c r="AH581" s="5"/>
      <c r="AI581" s="5"/>
      <c r="AJ581" s="5"/>
      <c r="AK581" s="5"/>
      <c r="AL581" s="5"/>
      <c r="AM581" s="5"/>
      <c r="AN581" s="5"/>
      <c r="AO581" s="5"/>
      <c r="AP581" s="5"/>
      <c r="AQ581" s="5"/>
      <c r="AR581" s="5"/>
      <c r="AS581" s="5"/>
      <c r="AT581" s="20"/>
      <c r="AU581" s="1182"/>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81"/>
      <c r="E582" s="389">
        <f t="shared" si="326"/>
        <v>0</v>
      </c>
      <c r="F582" s="20"/>
      <c r="G582" s="3890">
        <f t="shared" si="327"/>
        <v>0</v>
      </c>
      <c r="H582" s="1282">
        <f t="shared" si="328"/>
        <v>0</v>
      </c>
      <c r="I582" s="3891"/>
      <c r="J582" s="3891"/>
      <c r="K582" s="3891"/>
      <c r="L582" s="3891"/>
      <c r="M582" s="3891"/>
      <c r="N582" s="3891"/>
      <c r="O582" s="3891"/>
      <c r="P582" s="3891"/>
      <c r="Q582" s="3891"/>
      <c r="R582" s="3891"/>
      <c r="S582" s="3891"/>
      <c r="T582" s="3891"/>
      <c r="U582" s="3891"/>
      <c r="V582" s="3891"/>
      <c r="W582" s="3891"/>
      <c r="X582" s="3891"/>
      <c r="Y582" s="3891"/>
      <c r="Z582" s="3891"/>
      <c r="AA582" s="3891"/>
      <c r="AB582" s="3891"/>
      <c r="AC582" s="389">
        <f t="shared" si="329"/>
        <v>0</v>
      </c>
      <c r="AD582" s="5"/>
      <c r="AE582" s="5"/>
      <c r="AF582" s="5"/>
      <c r="AG582" s="5"/>
      <c r="AH582" s="5"/>
      <c r="AI582" s="5"/>
      <c r="AJ582" s="5"/>
      <c r="AK582" s="5"/>
      <c r="AL582" s="5"/>
      <c r="AM582" s="5"/>
      <c r="AN582" s="5"/>
      <c r="AO582" s="5"/>
      <c r="AP582" s="5"/>
      <c r="AQ582" s="5"/>
      <c r="AR582" s="5"/>
      <c r="AS582" s="5"/>
      <c r="AT582" s="20"/>
      <c r="AU582" s="1182"/>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81"/>
      <c r="E583" s="389">
        <f t="shared" si="326"/>
        <v>0</v>
      </c>
      <c r="F583" s="20"/>
      <c r="G583" s="3890">
        <f t="shared" si="327"/>
        <v>0</v>
      </c>
      <c r="H583" s="1282">
        <f t="shared" si="328"/>
        <v>0</v>
      </c>
      <c r="I583" s="3891"/>
      <c r="J583" s="3891"/>
      <c r="K583" s="3891"/>
      <c r="L583" s="3891"/>
      <c r="M583" s="3891"/>
      <c r="N583" s="3891"/>
      <c r="O583" s="3891"/>
      <c r="P583" s="3891"/>
      <c r="Q583" s="3891"/>
      <c r="R583" s="3891"/>
      <c r="S583" s="3891"/>
      <c r="T583" s="3891"/>
      <c r="U583" s="3891"/>
      <c r="V583" s="3891"/>
      <c r="W583" s="3891"/>
      <c r="X583" s="3891"/>
      <c r="Y583" s="3891"/>
      <c r="Z583" s="3891"/>
      <c r="AA583" s="3891"/>
      <c r="AB583" s="3891"/>
      <c r="AC583" s="389">
        <f t="shared" si="329"/>
        <v>0</v>
      </c>
      <c r="AD583" s="5"/>
      <c r="AE583" s="5"/>
      <c r="AF583" s="5"/>
      <c r="AG583" s="5"/>
      <c r="AH583" s="5"/>
      <c r="AI583" s="5"/>
      <c r="AJ583" s="5"/>
      <c r="AK583" s="5"/>
      <c r="AL583" s="5"/>
      <c r="AM583" s="5"/>
      <c r="AN583" s="5"/>
      <c r="AO583" s="5"/>
      <c r="AP583" s="5"/>
      <c r="AQ583" s="5"/>
      <c r="AR583" s="5"/>
      <c r="AS583" s="5"/>
      <c r="AT583" s="20"/>
      <c r="AU583" s="1182"/>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81"/>
      <c r="E584" s="389">
        <f t="shared" si="326"/>
        <v>0</v>
      </c>
      <c r="F584" s="20"/>
      <c r="G584" s="3890">
        <f t="shared" si="327"/>
        <v>0</v>
      </c>
      <c r="H584" s="1282">
        <f t="shared" si="328"/>
        <v>0</v>
      </c>
      <c r="I584" s="3891"/>
      <c r="J584" s="3891"/>
      <c r="K584" s="3891"/>
      <c r="L584" s="3891"/>
      <c r="M584" s="3891"/>
      <c r="N584" s="3891"/>
      <c r="O584" s="3891"/>
      <c r="P584" s="3891"/>
      <c r="Q584" s="3891"/>
      <c r="R584" s="3891"/>
      <c r="S584" s="3891"/>
      <c r="T584" s="3891"/>
      <c r="U584" s="3891"/>
      <c r="V584" s="3891"/>
      <c r="W584" s="3891"/>
      <c r="X584" s="3891"/>
      <c r="Y584" s="3891"/>
      <c r="Z584" s="3891"/>
      <c r="AA584" s="3891"/>
      <c r="AB584" s="3891"/>
      <c r="AC584" s="389">
        <f t="shared" si="329"/>
        <v>0</v>
      </c>
      <c r="AD584" s="5"/>
      <c r="AE584" s="5"/>
      <c r="AF584" s="5"/>
      <c r="AG584" s="5"/>
      <c r="AH584" s="5"/>
      <c r="AI584" s="5"/>
      <c r="AJ584" s="5"/>
      <c r="AK584" s="5"/>
      <c r="AL584" s="5"/>
      <c r="AM584" s="5"/>
      <c r="AN584" s="5"/>
      <c r="AO584" s="5"/>
      <c r="AP584" s="5"/>
      <c r="AQ584" s="5"/>
      <c r="AR584" s="5"/>
      <c r="AS584" s="5"/>
      <c r="AT584" s="20"/>
      <c r="AU584" s="1182"/>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81"/>
      <c r="E585" s="389">
        <f t="shared" si="326"/>
        <v>0</v>
      </c>
      <c r="F585" s="5"/>
      <c r="G585" s="3890">
        <f>H585+AC585+AT585</f>
        <v>0</v>
      </c>
      <c r="H585" s="1282">
        <f>SUMIF(I$12:AB$12,"总值",I585:AB585)</f>
        <v>0</v>
      </c>
      <c r="I585" s="3891"/>
      <c r="J585" s="3891"/>
      <c r="K585" s="3891"/>
      <c r="L585" s="3891"/>
      <c r="M585" s="3891"/>
      <c r="N585" s="3891"/>
      <c r="O585" s="3891"/>
      <c r="P585" s="3891"/>
      <c r="Q585" s="3891"/>
      <c r="R585" s="3891"/>
      <c r="S585" s="3891"/>
      <c r="T585" s="3891"/>
      <c r="U585" s="3891"/>
      <c r="V585" s="3891"/>
      <c r="W585" s="3891"/>
      <c r="X585" s="3891"/>
      <c r="Y585" s="3891"/>
      <c r="Z585" s="3891"/>
      <c r="AA585" s="3891"/>
      <c r="AB585" s="3891"/>
      <c r="AC585" s="389">
        <f>SUMIF(AD$12:AS$12,"总值",AD585:AS585)</f>
        <v>0</v>
      </c>
      <c r="AD585" s="5"/>
      <c r="AE585" s="5"/>
      <c r="AF585" s="5"/>
      <c r="AG585" s="5"/>
      <c r="AH585" s="5"/>
      <c r="AI585" s="5"/>
      <c r="AJ585" s="5"/>
      <c r="AK585" s="5"/>
      <c r="AL585" s="5"/>
      <c r="AM585" s="5"/>
      <c r="AN585" s="5"/>
      <c r="AO585" s="5"/>
      <c r="AP585" s="5"/>
      <c r="AQ585" s="5"/>
      <c r="AR585" s="5"/>
      <c r="AS585" s="5"/>
      <c r="AT585" s="5"/>
      <c r="AU585" s="783"/>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81"/>
      <c r="E586" s="389">
        <f t="shared" si="326"/>
        <v>0</v>
      </c>
      <c r="F586" s="5"/>
      <c r="G586" s="3890">
        <f>H586+AC586+AT586</f>
        <v>0</v>
      </c>
      <c r="H586" s="1282">
        <f>SUMIF(I$12:AB$12,"总值",I586:AB586)</f>
        <v>0</v>
      </c>
      <c r="I586" s="3891"/>
      <c r="J586" s="3891"/>
      <c r="K586" s="3891"/>
      <c r="L586" s="3891"/>
      <c r="M586" s="3891"/>
      <c r="N586" s="3891"/>
      <c r="O586" s="3891"/>
      <c r="P586" s="3891"/>
      <c r="Q586" s="3891"/>
      <c r="R586" s="3891"/>
      <c r="S586" s="3891"/>
      <c r="T586" s="3891"/>
      <c r="U586" s="3891"/>
      <c r="V586" s="3891"/>
      <c r="W586" s="3891"/>
      <c r="X586" s="3891"/>
      <c r="Y586" s="3891"/>
      <c r="Z586" s="3891"/>
      <c r="AA586" s="3891"/>
      <c r="AB586" s="3891"/>
      <c r="AC586" s="389">
        <f>SUMIF(AD$12:AS$12,"总值",AD586:AS586)</f>
        <v>0</v>
      </c>
      <c r="AD586" s="5"/>
      <c r="AE586" s="5"/>
      <c r="AF586" s="5"/>
      <c r="AG586" s="5"/>
      <c r="AH586" s="5"/>
      <c r="AI586" s="5"/>
      <c r="AJ586" s="5"/>
      <c r="AK586" s="5"/>
      <c r="AL586" s="5"/>
      <c r="AM586" s="5"/>
      <c r="AN586" s="5"/>
      <c r="AO586" s="5"/>
      <c r="AP586" s="5"/>
      <c r="AQ586" s="5"/>
      <c r="AR586" s="5"/>
      <c r="AS586" s="5"/>
      <c r="AT586" s="5"/>
      <c r="AU586" s="783"/>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81"/>
      <c r="E587" s="389">
        <f t="shared" si="326"/>
        <v>0</v>
      </c>
      <c r="F587" s="5"/>
      <c r="G587" s="3890">
        <f>H587+AC587+AT587</f>
        <v>0</v>
      </c>
      <c r="H587" s="1282">
        <f>SUMIF(I$12:AB$12,"总值",I587:AB587)</f>
        <v>0</v>
      </c>
      <c r="I587" s="3891"/>
      <c r="J587" s="3891"/>
      <c r="K587" s="3891"/>
      <c r="L587" s="3891"/>
      <c r="M587" s="3891"/>
      <c r="N587" s="3891"/>
      <c r="O587" s="3891"/>
      <c r="P587" s="3891"/>
      <c r="Q587" s="3891"/>
      <c r="R587" s="3891"/>
      <c r="S587" s="3891"/>
      <c r="T587" s="3891"/>
      <c r="U587" s="3891"/>
      <c r="V587" s="3891"/>
      <c r="W587" s="3891"/>
      <c r="X587" s="3891"/>
      <c r="Y587" s="3891"/>
      <c r="Z587" s="3891"/>
      <c r="AA587" s="3891"/>
      <c r="AB587" s="3891"/>
      <c r="AC587" s="389">
        <f>SUMIF(AD$12:AS$12,"总值",AD587:AS587)</f>
        <v>0</v>
      </c>
      <c r="AD587" s="5"/>
      <c r="AE587" s="5"/>
      <c r="AF587" s="5"/>
      <c r="AG587" s="5"/>
      <c r="AH587" s="5"/>
      <c r="AI587" s="5"/>
      <c r="AJ587" s="5"/>
      <c r="AK587" s="5"/>
      <c r="AL587" s="5"/>
      <c r="AM587" s="5"/>
      <c r="AN587" s="5"/>
      <c r="AO587" s="5"/>
      <c r="AP587" s="5"/>
      <c r="AQ587" s="5"/>
      <c r="AR587" s="5"/>
      <c r="AS587" s="5"/>
      <c r="AT587" s="5"/>
      <c r="AU587" s="783"/>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83"/>
      <c r="F588" s="1183"/>
      <c r="H588" s="1183"/>
      <c r="I588" s="1183"/>
      <c r="J588" s="1183"/>
      <c r="K588" s="1183"/>
      <c r="L588" s="1183"/>
      <c r="M588" s="1183"/>
      <c r="N588" s="1183"/>
      <c r="O588" s="1183"/>
      <c r="P588" s="1183"/>
      <c r="Q588" s="1183"/>
      <c r="R588" s="1183"/>
      <c r="S588" s="1183"/>
      <c r="T588" s="1183"/>
      <c r="U588" s="1183"/>
      <c r="V588" s="1183"/>
      <c r="W588" s="1183"/>
      <c r="X588" s="1183"/>
      <c r="Y588" s="1183"/>
      <c r="Z588" s="1183"/>
      <c r="AA588" s="1183"/>
      <c r="AB588" s="1183"/>
      <c r="AC588" s="1183"/>
      <c r="AD588" s="1183"/>
      <c r="AE588" s="1183"/>
      <c r="AF588" s="1183"/>
      <c r="AG588" s="1183"/>
      <c r="AH588" s="1183"/>
      <c r="AI588" s="1183"/>
      <c r="AJ588" s="1183"/>
      <c r="AK588" s="1183"/>
      <c r="AL588" s="1183"/>
      <c r="AM588" s="1183"/>
      <c r="AN588" s="1183"/>
      <c r="AO588" s="1183"/>
      <c r="AP588" s="1183"/>
      <c r="AQ588" s="1183"/>
      <c r="AR588" s="1183"/>
      <c r="AS588" s="1183"/>
      <c r="AT588" s="1183"/>
    </row>
    <row r="589" spans="1:72" s="1184" customFormat="1">
      <c r="C589" s="1185"/>
      <c r="D589" s="1185"/>
    </row>
    <row r="590" spans="1:72" s="1184" customFormat="1">
      <c r="C590" s="1185"/>
      <c r="D590" s="1185"/>
    </row>
    <row r="593" spans="2:2">
      <c r="B593" s="1185"/>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11903-E422-4507-87A4-A4454F0BD13B}">
  <dimension ref="G1:O31"/>
  <sheetViews>
    <sheetView workbookViewId="0">
      <selection activeCell="M17" sqref="M17"/>
    </sheetView>
  </sheetViews>
  <sheetFormatPr defaultRowHeight="13.5"/>
  <cols>
    <col min="7" max="7" width="7.375" bestFit="1" customWidth="1"/>
    <col min="8" max="8" width="5.5" bestFit="1" customWidth="1"/>
    <col min="9" max="9" width="9.5" bestFit="1" customWidth="1"/>
    <col min="10" max="10" width="33.875" bestFit="1" customWidth="1"/>
    <col min="11" max="11" width="7.375" bestFit="1" customWidth="1"/>
    <col min="12" max="12" width="5.5" bestFit="1" customWidth="1"/>
    <col min="13" max="13" width="9.5" bestFit="1" customWidth="1"/>
    <col min="14" max="14" width="21.375" bestFit="1" customWidth="1"/>
    <col min="15" max="15" width="9.5" bestFit="1" customWidth="1"/>
    <col min="16" max="16" width="21.375" bestFit="1" customWidth="1"/>
  </cols>
  <sheetData>
    <row r="1" spans="7:14">
      <c r="G1" t="s">
        <v>3998</v>
      </c>
      <c r="H1">
        <v>301</v>
      </c>
      <c r="I1">
        <v>1123.47</v>
      </c>
      <c r="J1" t="s">
        <v>3999</v>
      </c>
      <c r="K1" t="s">
        <v>4000</v>
      </c>
      <c r="L1">
        <v>301</v>
      </c>
      <c r="M1">
        <v>1124.71</v>
      </c>
      <c r="N1" t="s">
        <v>3999</v>
      </c>
    </row>
    <row r="2" spans="7:14">
      <c r="G2" t="s">
        <v>4001</v>
      </c>
      <c r="H2">
        <v>401</v>
      </c>
      <c r="I2">
        <v>1277.1400000000001</v>
      </c>
      <c r="J2" t="s">
        <v>3999</v>
      </c>
      <c r="K2" t="s">
        <v>4001</v>
      </c>
      <c r="L2">
        <v>401</v>
      </c>
      <c r="M2">
        <v>1277.1099999999999</v>
      </c>
      <c r="N2" t="s">
        <v>3999</v>
      </c>
    </row>
    <row r="3" spans="7:14">
      <c r="H3">
        <v>501</v>
      </c>
      <c r="I3">
        <v>1277.1400000000001</v>
      </c>
      <c r="J3" t="s">
        <v>3999</v>
      </c>
      <c r="L3">
        <v>501</v>
      </c>
      <c r="M3">
        <v>1277.1099999999999</v>
      </c>
      <c r="N3" t="s">
        <v>3999</v>
      </c>
    </row>
    <row r="4" spans="7:14">
      <c r="H4">
        <v>601</v>
      </c>
      <c r="I4">
        <f>I3</f>
        <v>1277.1400000000001</v>
      </c>
      <c r="J4" t="s">
        <v>3999</v>
      </c>
      <c r="L4">
        <v>601</v>
      </c>
      <c r="M4">
        <v>1277.1099999999999</v>
      </c>
      <c r="N4" t="s">
        <v>3999</v>
      </c>
    </row>
    <row r="5" spans="7:14">
      <c r="H5">
        <v>701</v>
      </c>
      <c r="I5">
        <f>I4</f>
        <v>1277.1400000000001</v>
      </c>
      <c r="J5" t="s">
        <v>3999</v>
      </c>
      <c r="L5">
        <v>701</v>
      </c>
      <c r="M5">
        <v>1277.1099999999999</v>
      </c>
      <c r="N5" t="s">
        <v>3999</v>
      </c>
    </row>
    <row r="6" spans="7:14">
      <c r="H6">
        <v>801</v>
      </c>
      <c r="I6">
        <v>1277.1400000000001</v>
      </c>
      <c r="J6" t="s">
        <v>3999</v>
      </c>
      <c r="L6">
        <v>801</v>
      </c>
      <c r="M6">
        <v>1277.1099999999999</v>
      </c>
      <c r="N6" t="s">
        <v>3999</v>
      </c>
    </row>
    <row r="7" spans="7:14">
      <c r="H7">
        <v>901</v>
      </c>
      <c r="I7">
        <v>1277.1400000000001</v>
      </c>
      <c r="J7" t="s">
        <v>3999</v>
      </c>
      <c r="L7">
        <v>901</v>
      </c>
      <c r="M7">
        <v>1277.1099999999999</v>
      </c>
      <c r="N7" t="s">
        <v>3999</v>
      </c>
    </row>
    <row r="8" spans="7:14">
      <c r="H8">
        <v>1001</v>
      </c>
      <c r="I8">
        <f>I7</f>
        <v>1277.1400000000001</v>
      </c>
      <c r="J8" t="s">
        <v>3999</v>
      </c>
      <c r="L8">
        <v>1001</v>
      </c>
      <c r="M8">
        <f>M7</f>
        <v>1277.1099999999999</v>
      </c>
      <c r="N8" t="s">
        <v>3999</v>
      </c>
    </row>
    <row r="9" spans="7:14">
      <c r="H9">
        <v>1101</v>
      </c>
      <c r="I9">
        <f>I8</f>
        <v>1277.1400000000001</v>
      </c>
      <c r="J9" t="s">
        <v>3999</v>
      </c>
      <c r="L9">
        <v>1101</v>
      </c>
      <c r="M9">
        <f>M8</f>
        <v>1277.1099999999999</v>
      </c>
      <c r="N9" t="s">
        <v>3999</v>
      </c>
    </row>
    <row r="10" spans="7:14">
      <c r="H10">
        <v>1201</v>
      </c>
      <c r="I10">
        <f>I9</f>
        <v>1277.1400000000001</v>
      </c>
      <c r="J10" t="s">
        <v>3999</v>
      </c>
      <c r="L10">
        <v>1201</v>
      </c>
      <c r="M10">
        <v>1277.1099999999999</v>
      </c>
      <c r="N10" t="s">
        <v>3999</v>
      </c>
    </row>
    <row r="11" spans="7:14">
      <c r="H11">
        <v>1301</v>
      </c>
      <c r="I11">
        <v>1277.1400000000001</v>
      </c>
      <c r="J11" t="s">
        <v>3999</v>
      </c>
      <c r="L11">
        <v>1301</v>
      </c>
      <c r="M11">
        <v>1277.1099999999999</v>
      </c>
      <c r="N11" t="s">
        <v>3999</v>
      </c>
    </row>
    <row r="12" spans="7:14">
      <c r="H12">
        <v>1401</v>
      </c>
      <c r="I12">
        <v>1277.1400000000001</v>
      </c>
      <c r="J12" t="s">
        <v>3999</v>
      </c>
      <c r="L12">
        <v>1401</v>
      </c>
      <c r="M12">
        <v>1277.1099999999999</v>
      </c>
      <c r="N12" t="s">
        <v>3999</v>
      </c>
    </row>
    <row r="13" spans="7:14">
      <c r="H13">
        <v>1501</v>
      </c>
      <c r="I13">
        <v>1277.1400000000001</v>
      </c>
      <c r="J13" t="s">
        <v>3999</v>
      </c>
      <c r="L13">
        <v>1501</v>
      </c>
      <c r="M13">
        <v>1277.1099999999999</v>
      </c>
      <c r="N13" t="s">
        <v>3999</v>
      </c>
    </row>
    <row r="14" spans="7:14">
      <c r="H14">
        <v>1601</v>
      </c>
      <c r="I14">
        <v>1199.48</v>
      </c>
      <c r="J14" t="s">
        <v>3999</v>
      </c>
      <c r="L14">
        <v>1601</v>
      </c>
      <c r="M14">
        <v>1199.45</v>
      </c>
      <c r="N14" t="s">
        <v>3999</v>
      </c>
    </row>
    <row r="15" spans="7:14">
      <c r="H15">
        <v>1701</v>
      </c>
      <c r="I15">
        <v>1150.94</v>
      </c>
      <c r="J15" t="s">
        <v>3999</v>
      </c>
      <c r="L15">
        <v>1701</v>
      </c>
      <c r="M15">
        <v>1150.92</v>
      </c>
      <c r="N15" t="s">
        <v>3999</v>
      </c>
    </row>
    <row r="16" spans="7:14">
      <c r="H16">
        <v>1801</v>
      </c>
      <c r="I16">
        <v>928.16</v>
      </c>
      <c r="J16" t="s">
        <v>3999</v>
      </c>
      <c r="L16">
        <v>1801</v>
      </c>
      <c r="M16">
        <v>928.14</v>
      </c>
      <c r="N16" t="s">
        <v>3999</v>
      </c>
    </row>
    <row r="17" spans="7:15">
      <c r="I17">
        <f>SUM(I1:I16)</f>
        <v>19727.729999999996</v>
      </c>
      <c r="M17">
        <f>SUM(M1:M16)</f>
        <v>19728.54</v>
      </c>
    </row>
    <row r="19" spans="7:15">
      <c r="G19" t="s">
        <v>4002</v>
      </c>
      <c r="H19">
        <v>-101</v>
      </c>
      <c r="I19">
        <v>2.65</v>
      </c>
      <c r="J19" t="s">
        <v>4003</v>
      </c>
    </row>
    <row r="20" spans="7:15">
      <c r="H20">
        <v>-103</v>
      </c>
      <c r="I20">
        <v>12.41</v>
      </c>
      <c r="J20" t="s">
        <v>4003</v>
      </c>
      <c r="N20" s="1075" t="s">
        <v>4015</v>
      </c>
      <c r="O20">
        <f>I17+M17+I31</f>
        <v>57408.259999999995</v>
      </c>
    </row>
    <row r="21" spans="7:15">
      <c r="H21">
        <v>-105</v>
      </c>
      <c r="I21">
        <v>14.16</v>
      </c>
      <c r="J21" t="s">
        <v>4003</v>
      </c>
      <c r="N21" s="1075" t="s">
        <v>4008</v>
      </c>
      <c r="O21">
        <f>I17+M17</f>
        <v>39456.269999999997</v>
      </c>
    </row>
    <row r="22" spans="7:15">
      <c r="H22">
        <v>-106</v>
      </c>
      <c r="I22">
        <v>40.36</v>
      </c>
      <c r="J22" t="s">
        <v>4003</v>
      </c>
      <c r="N22" s="1075" t="s">
        <v>4009</v>
      </c>
      <c r="O22">
        <f>I29+I30</f>
        <v>11357.59</v>
      </c>
    </row>
    <row r="23" spans="7:15">
      <c r="H23">
        <v>-107</v>
      </c>
      <c r="I23">
        <v>109.62</v>
      </c>
      <c r="J23" t="s">
        <v>4004</v>
      </c>
      <c r="N23" s="1075" t="s">
        <v>4010</v>
      </c>
      <c r="O23">
        <f>I23+I24+I25+I27</f>
        <v>1614.85</v>
      </c>
    </row>
    <row r="24" spans="7:15">
      <c r="H24">
        <v>-108</v>
      </c>
      <c r="I24">
        <v>161</v>
      </c>
      <c r="J24" t="s">
        <v>4004</v>
      </c>
      <c r="N24" s="1075" t="s">
        <v>4012</v>
      </c>
      <c r="O24">
        <f>I19+I20+I21+I22+I26</f>
        <v>195.18</v>
      </c>
    </row>
    <row r="25" spans="7:15">
      <c r="H25">
        <v>-109</v>
      </c>
      <c r="I25">
        <v>1140.8399999999999</v>
      </c>
      <c r="J25" t="s">
        <v>4004</v>
      </c>
      <c r="N25" s="1075" t="s">
        <v>4014</v>
      </c>
      <c r="O25">
        <f>I28</f>
        <v>4784.37</v>
      </c>
    </row>
    <row r="26" spans="7:15">
      <c r="H26">
        <v>-112</v>
      </c>
      <c r="I26">
        <v>125.6</v>
      </c>
      <c r="J26" t="s">
        <v>4003</v>
      </c>
      <c r="N26" s="1075"/>
    </row>
    <row r="27" spans="7:15">
      <c r="H27">
        <v>-115</v>
      </c>
      <c r="I27">
        <v>203.39</v>
      </c>
      <c r="J27" t="s">
        <v>4004</v>
      </c>
    </row>
    <row r="28" spans="7:15">
      <c r="H28">
        <v>-116</v>
      </c>
      <c r="I28">
        <v>4784.37</v>
      </c>
      <c r="J28" t="s">
        <v>4005</v>
      </c>
    </row>
    <row r="29" spans="7:15">
      <c r="H29">
        <v>101</v>
      </c>
      <c r="I29">
        <v>6115.54</v>
      </c>
      <c r="J29" t="s">
        <v>4006</v>
      </c>
    </row>
    <row r="30" spans="7:15">
      <c r="H30">
        <v>201</v>
      </c>
      <c r="I30">
        <v>5242.05</v>
      </c>
      <c r="J30" t="s">
        <v>4007</v>
      </c>
    </row>
    <row r="31" spans="7:15">
      <c r="I31">
        <f>SUM(I19:I30)</f>
        <v>17951.989999999998</v>
      </c>
    </row>
  </sheetData>
  <sortState xmlns:xlrd2="http://schemas.microsoft.com/office/spreadsheetml/2017/richdata2" ref="G19:J44">
    <sortCondition ref="H19:H44"/>
  </sortState>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J36" sqref="J36"/>
    </sheetView>
  </sheetViews>
  <sheetFormatPr defaultColWidth="9.25" defaultRowHeight="14.25"/>
  <cols>
    <col min="1" max="1" width="12.125" style="1187" customWidth="1"/>
    <col min="2" max="2" width="10.25" style="1187" customWidth="1"/>
    <col min="3" max="3" width="18.5" style="1187" customWidth="1"/>
    <col min="4" max="4" width="11.625" style="1187" customWidth="1"/>
    <col min="5" max="5" width="13.375" style="1187" customWidth="1"/>
    <col min="6" max="8" width="11.5" style="1187" customWidth="1"/>
    <col min="9" max="9" width="11.125" style="1187" customWidth="1"/>
    <col min="10" max="10" width="3.125" style="1187" customWidth="1"/>
    <col min="11" max="16" width="10" style="1187" customWidth="1"/>
    <col min="17" max="17" width="2.625" style="1187" customWidth="1"/>
    <col min="18" max="18" width="9.625" style="1187" bestFit="1" customWidth="1"/>
    <col min="19" max="19" width="10.625" style="1187" bestFit="1" customWidth="1"/>
    <col min="20" max="16384" width="9.25" style="1187"/>
  </cols>
  <sheetData>
    <row r="1" spans="1:16" ht="19.5" thickBot="1">
      <c r="A1" s="1186" t="s">
        <v>1114</v>
      </c>
      <c r="B1" s="785"/>
      <c r="C1" s="785"/>
      <c r="D1" s="785"/>
      <c r="E1" s="785"/>
      <c r="F1" s="785"/>
      <c r="G1" s="785"/>
      <c r="H1" s="785"/>
      <c r="I1" s="785"/>
      <c r="J1" s="785"/>
      <c r="K1" s="785"/>
      <c r="L1" s="785"/>
      <c r="M1" s="785"/>
      <c r="N1" s="785"/>
      <c r="O1" s="785"/>
      <c r="P1" s="785"/>
    </row>
    <row r="2" spans="1:16" ht="15">
      <c r="A2" s="4422" t="s">
        <v>1115</v>
      </c>
      <c r="B2" s="4422"/>
      <c r="C2" s="4422"/>
      <c r="D2" s="538" t="s">
        <v>1091</v>
      </c>
      <c r="E2" s="1188" t="s">
        <v>1092</v>
      </c>
      <c r="F2" s="1961"/>
      <c r="G2" s="1955"/>
      <c r="H2" s="1956"/>
      <c r="I2" s="1727" t="s">
        <v>1116</v>
      </c>
      <c r="J2" s="1961"/>
      <c r="K2" s="1961"/>
      <c r="L2" s="1961"/>
      <c r="M2" s="1961"/>
      <c r="N2" s="1962"/>
      <c r="O2" s="1961"/>
      <c r="P2" s="1961"/>
    </row>
    <row r="3" spans="1:16" ht="15.75" thickBot="1">
      <c r="A3" s="4423" t="s">
        <v>1089</v>
      </c>
      <c r="B3" s="4423"/>
      <c r="C3" s="4423"/>
      <c r="D3" s="3913">
        <f>'数据-基础表'!AY6</f>
        <v>16447.62</v>
      </c>
      <c r="E3" s="3913">
        <f>'数据-基础表'!AZ5</f>
        <v>57408.26</v>
      </c>
      <c r="F3" s="1961"/>
      <c r="G3" s="24"/>
      <c r="H3" s="25" t="s">
        <v>1090</v>
      </c>
      <c r="I3" s="2659">
        <f>ROUND('数据-基础表'!B3/'数据-基础表'!A3,2)</f>
        <v>3.49</v>
      </c>
      <c r="J3" s="1961"/>
      <c r="K3" s="1961"/>
      <c r="L3" s="1961"/>
      <c r="M3" s="1961"/>
      <c r="N3" s="1962"/>
      <c r="O3" s="1961"/>
      <c r="P3" s="1961"/>
    </row>
    <row r="4" spans="1:16" ht="15">
      <c r="A4" s="4424"/>
      <c r="B4" s="4425"/>
      <c r="C4" s="4426"/>
      <c r="D4" s="1190" t="s">
        <v>1091</v>
      </c>
      <c r="E4" s="1191" t="s">
        <v>1092</v>
      </c>
      <c r="F4" s="1961"/>
      <c r="G4" s="1957" t="s">
        <v>1117</v>
      </c>
      <c r="H4" s="25" t="s">
        <v>1097</v>
      </c>
      <c r="I4" s="2659">
        <f>ROUND(SUMIF('数据-基础表'!I9:AS9,"地上",'数据-基础表'!I5:AS5)/'数据-基础表'!A3,2)</f>
        <v>3.09</v>
      </c>
      <c r="J4" s="1961"/>
      <c r="K4" s="1961"/>
      <c r="L4" s="1961"/>
      <c r="M4" s="1961"/>
      <c r="N4" s="1962"/>
      <c r="O4" s="1961"/>
      <c r="P4" s="1961"/>
    </row>
    <row r="5" spans="1:16">
      <c r="A5" s="24" t="s">
        <v>1093</v>
      </c>
      <c r="B5" s="4427" t="s">
        <v>1094</v>
      </c>
      <c r="C5" s="4427"/>
      <c r="D5" s="3895">
        <f>ROUND($D$3*E5/$E$3,2)</f>
        <v>0</v>
      </c>
      <c r="E5" s="3786">
        <f>SUMIF('数据-基础表'!$11:$11,"住宅",'数据-基础表'!$5:$5)</f>
        <v>0</v>
      </c>
      <c r="F5" s="1961"/>
      <c r="G5" s="24"/>
      <c r="H5" s="25" t="s">
        <v>1090</v>
      </c>
      <c r="I5" s="2659">
        <f>ROUND(E31/D31,2)</f>
        <v>3.49</v>
      </c>
      <c r="J5" s="1961"/>
      <c r="K5" s="1961"/>
      <c r="L5" s="1961"/>
      <c r="M5" s="1961"/>
      <c r="N5" s="1961"/>
      <c r="O5" s="1961"/>
      <c r="P5" s="1961"/>
    </row>
    <row r="6" spans="1:16" ht="15" thickBot="1">
      <c r="A6" s="1193"/>
      <c r="B6" s="4427" t="s">
        <v>1095</v>
      </c>
      <c r="C6" s="4427"/>
      <c r="D6" s="3895">
        <f>ROUND($D$3*E6/$E$3,2)</f>
        <v>16447.62</v>
      </c>
      <c r="E6" s="3786">
        <f>E3-E5</f>
        <v>57408.26</v>
      </c>
      <c r="F6" s="1961"/>
      <c r="G6" s="1195" t="s">
        <v>1096</v>
      </c>
      <c r="H6" s="26" t="s">
        <v>1097</v>
      </c>
      <c r="I6" s="2660">
        <f>ROUND(F31/D31,2)</f>
        <v>3.09</v>
      </c>
      <c r="J6" s="1961"/>
      <c r="K6" s="1961"/>
      <c r="L6" s="1961"/>
      <c r="M6" s="1961"/>
      <c r="N6" s="1961"/>
      <c r="O6" s="1961"/>
      <c r="P6" s="1961"/>
    </row>
    <row r="7" spans="1:16" ht="15.75" thickBot="1">
      <c r="A7" s="4419"/>
      <c r="B7" s="4420"/>
      <c r="C7" s="4421"/>
      <c r="D7" s="1190" t="s">
        <v>1091</v>
      </c>
      <c r="E7" s="1194" t="s">
        <v>1098</v>
      </c>
      <c r="F7" s="1961"/>
      <c r="G7" s="1958" t="s">
        <v>1099</v>
      </c>
      <c r="H7" s="1959"/>
      <c r="I7" s="2661"/>
      <c r="J7" s="1961"/>
      <c r="K7" s="1961"/>
      <c r="L7" s="1961"/>
      <c r="M7" s="1961"/>
      <c r="N7" s="1961"/>
      <c r="O7" s="1961"/>
      <c r="P7" s="1961"/>
    </row>
    <row r="8" spans="1:16">
      <c r="A8" s="24" t="s">
        <v>1100</v>
      </c>
      <c r="B8" s="26" t="s">
        <v>1101</v>
      </c>
      <c r="C8" s="25" t="s">
        <v>1102</v>
      </c>
      <c r="D8" s="3895">
        <f t="shared" ref="D8:D15" si="0">ROUND($D$3*E8/$E$3,2)</f>
        <v>14558.31</v>
      </c>
      <c r="E8" s="3786">
        <f>SUMIF('数据-基础表'!BB10:BK10,"地上",'数据-基础表'!BB5:BK5)</f>
        <v>50813.86</v>
      </c>
      <c r="F8" s="1961"/>
      <c r="G8" s="1961"/>
      <c r="H8" s="1961"/>
      <c r="I8" s="1961"/>
      <c r="J8" s="1961"/>
      <c r="K8" s="1961"/>
      <c r="L8" s="1961"/>
      <c r="M8" s="1961"/>
      <c r="N8" s="1961"/>
      <c r="O8" s="1961"/>
      <c r="P8" s="1961"/>
    </row>
    <row r="9" spans="1:16">
      <c r="A9" s="1195"/>
      <c r="B9" s="1196"/>
      <c r="C9" s="25" t="s">
        <v>1103</v>
      </c>
      <c r="D9" s="3895">
        <f t="shared" si="0"/>
        <v>0</v>
      </c>
      <c r="E9" s="3914"/>
      <c r="F9" s="1961"/>
      <c r="G9" s="1961"/>
      <c r="H9" s="1961"/>
      <c r="I9" s="1961"/>
      <c r="J9" s="1961"/>
      <c r="K9" s="1961"/>
      <c r="L9" s="1961"/>
      <c r="M9" s="1961"/>
      <c r="N9" s="1961"/>
      <c r="O9" s="1961"/>
      <c r="P9" s="1961"/>
    </row>
    <row r="10" spans="1:16">
      <c r="A10" s="1195"/>
      <c r="B10" s="1196"/>
      <c r="C10" s="25" t="s">
        <v>1112</v>
      </c>
      <c r="D10" s="3895">
        <f t="shared" si="0"/>
        <v>462.66</v>
      </c>
      <c r="E10" s="3786">
        <f>SUMPRODUCT(('数据-基础表'!BB10:BK10="地下")*('数据-基础表'!BB11:BK11="商业")*('数据-基础表'!BB5:BK5))</f>
        <v>1614.85</v>
      </c>
      <c r="F10" s="1961"/>
      <c r="G10" s="1961"/>
      <c r="H10" s="1961"/>
      <c r="I10" s="1961"/>
      <c r="J10" s="1961"/>
      <c r="K10" s="1961"/>
      <c r="L10" s="1961"/>
      <c r="M10" s="1961"/>
      <c r="N10" s="1961"/>
      <c r="O10" s="1961"/>
      <c r="P10" s="1961"/>
    </row>
    <row r="11" spans="1:16">
      <c r="A11" s="1195"/>
      <c r="B11" s="1196"/>
      <c r="C11" s="25" t="s">
        <v>1104</v>
      </c>
      <c r="D11" s="3895">
        <f t="shared" si="0"/>
        <v>0</v>
      </c>
      <c r="E11" s="3786">
        <f>SUMPRODUCT(('数据-基础表'!BB10:BK10="地下")*('数据-基础表'!BB11:BK11="办公")*('数据-基础表'!BB5:BK5))+'数据-基础表'!BP5</f>
        <v>0</v>
      </c>
      <c r="F11" s="1961"/>
      <c r="G11" s="1961"/>
      <c r="H11" s="1961"/>
      <c r="I11" s="1961"/>
      <c r="J11" s="1961"/>
      <c r="K11" s="1961"/>
      <c r="L11" s="1961"/>
      <c r="M11" s="1961"/>
      <c r="N11" s="1961"/>
      <c r="O11" s="1961"/>
      <c r="P11" s="1961"/>
    </row>
    <row r="12" spans="1:16">
      <c r="A12" s="1195"/>
      <c r="B12" s="1196"/>
      <c r="C12" s="25" t="s">
        <v>1105</v>
      </c>
      <c r="D12" s="3895">
        <f t="shared" si="0"/>
        <v>55.92</v>
      </c>
      <c r="E12" s="3786">
        <f>SUMPRODUCT(('数据-基础表'!BB10:BK10="地下")*('数据-基础表'!BB11:BK11="仓储")*('数据-基础表'!BB5:BK5))</f>
        <v>195.18</v>
      </c>
      <c r="F12" s="1961"/>
      <c r="G12" s="1961"/>
      <c r="H12" s="1961"/>
      <c r="I12" s="1961"/>
      <c r="J12" s="1961"/>
      <c r="K12" s="1961"/>
      <c r="L12" s="1961"/>
      <c r="M12" s="1961"/>
      <c r="N12" s="1961"/>
      <c r="O12" s="1961"/>
      <c r="P12" s="1961"/>
    </row>
    <row r="13" spans="1:16">
      <c r="A13" s="1195"/>
      <c r="B13" s="1196"/>
      <c r="C13" s="25" t="s">
        <v>1106</v>
      </c>
      <c r="D13" s="3895">
        <f t="shared" si="0"/>
        <v>0</v>
      </c>
      <c r="E13" s="3786">
        <f>SUMPRODUCT(('数据-基础表'!BB10:BK10="地下")*('数据-基础表'!BB11:BK11="车库")*('数据-基础表'!BB5:BK5))</f>
        <v>0</v>
      </c>
      <c r="F13" s="1961"/>
      <c r="G13" s="1961"/>
      <c r="H13" s="1961"/>
      <c r="I13" s="1961"/>
      <c r="J13" s="1961"/>
      <c r="K13" s="1961"/>
      <c r="L13" s="1961"/>
      <c r="M13" s="1961"/>
      <c r="N13" s="1961"/>
      <c r="O13" s="1961"/>
      <c r="P13" s="1961"/>
    </row>
    <row r="14" spans="1:16">
      <c r="A14" s="1195"/>
      <c r="B14" s="1196"/>
      <c r="C14" s="25" t="s">
        <v>1118</v>
      </c>
      <c r="D14" s="3895">
        <f t="shared" si="0"/>
        <v>0</v>
      </c>
      <c r="E14" s="3786">
        <f>SUMPRODUCT(('数据-基础表'!BB10:BK10="地下")*('数据-基础表'!BB11:BK11="车库—商业")*('数据-基础表'!BB5:BK5))</f>
        <v>0</v>
      </c>
      <c r="F14" s="1961"/>
      <c r="G14" s="1961"/>
      <c r="H14" s="1961"/>
      <c r="I14" s="1961"/>
      <c r="J14" s="1961"/>
      <c r="K14" s="1961"/>
      <c r="L14" s="1961"/>
      <c r="M14" s="1961"/>
      <c r="N14" s="1961"/>
      <c r="O14" s="1961"/>
      <c r="P14" s="1961"/>
    </row>
    <row r="15" spans="1:16" ht="15" thickBot="1">
      <c r="A15" s="1195"/>
      <c r="B15" s="1196"/>
      <c r="C15" s="25" t="s">
        <v>1113</v>
      </c>
      <c r="D15" s="3895">
        <f t="shared" si="0"/>
        <v>1370.73</v>
      </c>
      <c r="E15" s="3786">
        <f>SUMPRODUCT(('数据-基础表'!BB10:BK10="地下")*('数据-基础表'!BB11:BK11="车库—办公")*('数据-基础表'!BB5:BK5))</f>
        <v>4784.37</v>
      </c>
      <c r="F15" s="1961"/>
      <c r="G15" s="1961"/>
      <c r="H15" s="1961"/>
      <c r="I15" s="1961"/>
      <c r="J15" s="1961"/>
      <c r="K15" s="1961"/>
      <c r="L15" s="1961"/>
      <c r="M15" s="1961"/>
      <c r="N15" s="1961"/>
      <c r="O15" s="1961"/>
      <c r="P15" s="1961"/>
    </row>
    <row r="16" spans="1:16" ht="15.75" thickBot="1">
      <c r="A16" s="1193"/>
      <c r="B16" s="1196"/>
      <c r="C16" s="26" t="s">
        <v>1107</v>
      </c>
      <c r="D16" s="3740">
        <f>SUM(D8:D15)</f>
        <v>16447.62</v>
      </c>
      <c r="E16" s="3905">
        <f>SUM(E8:E15)</f>
        <v>57408.26</v>
      </c>
      <c r="F16" s="1961"/>
      <c r="G16" s="1961"/>
      <c r="H16" s="1197" t="s">
        <v>1119</v>
      </c>
      <c r="I16" s="1198"/>
      <c r="J16" s="785"/>
      <c r="K16" s="4416" t="s">
        <v>1119</v>
      </c>
      <c r="L16" s="4417"/>
      <c r="M16" s="4417"/>
      <c r="N16" s="4417"/>
      <c r="O16" s="4417"/>
      <c r="P16" s="4418"/>
    </row>
    <row r="17" spans="1:19" ht="15">
      <c r="A17" s="1199" t="s">
        <v>1120</v>
      </c>
      <c r="B17" s="1200" t="s">
        <v>1121</v>
      </c>
      <c r="C17" s="1201" t="s">
        <v>1122</v>
      </c>
      <c r="D17" s="1202" t="s">
        <v>1110</v>
      </c>
      <c r="E17" s="1203" t="s">
        <v>1111</v>
      </c>
      <c r="F17" s="1204"/>
      <c r="G17" s="1205"/>
      <c r="H17" s="1206" t="s">
        <v>1123</v>
      </c>
      <c r="I17" s="1207" t="s">
        <v>1108</v>
      </c>
      <c r="J17" s="785"/>
      <c r="K17" s="4413" t="s">
        <v>1124</v>
      </c>
      <c r="L17" s="4414"/>
      <c r="M17" s="4415"/>
      <c r="N17" s="4413" t="s">
        <v>1125</v>
      </c>
      <c r="O17" s="4414"/>
      <c r="P17" s="4415"/>
      <c r="R17" s="1189" t="s">
        <v>1126</v>
      </c>
      <c r="S17" s="30"/>
    </row>
    <row r="18" spans="1:19" ht="15">
      <c r="A18" s="1195"/>
      <c r="B18" s="1192"/>
      <c r="C18" s="1208"/>
      <c r="D18" s="1209"/>
      <c r="E18" s="1210" t="s">
        <v>1127</v>
      </c>
      <c r="F18" s="1211" t="s">
        <v>1128</v>
      </c>
      <c r="G18" s="1212" t="s">
        <v>1129</v>
      </c>
      <c r="H18" s="703" t="s">
        <v>1130</v>
      </c>
      <c r="I18" s="1213" t="s">
        <v>1131</v>
      </c>
      <c r="J18" s="785"/>
      <c r="K18" s="703" t="s">
        <v>1132</v>
      </c>
      <c r="L18" s="1214" t="s">
        <v>1133</v>
      </c>
      <c r="M18" s="563" t="s">
        <v>1134</v>
      </c>
      <c r="N18" s="703" t="s">
        <v>1132</v>
      </c>
      <c r="O18" s="1214" t="s">
        <v>1133</v>
      </c>
      <c r="P18" s="563" t="s">
        <v>1134</v>
      </c>
      <c r="R18" s="25" t="s">
        <v>1135</v>
      </c>
      <c r="S18" s="25" t="s">
        <v>1136</v>
      </c>
    </row>
    <row r="19" spans="1:19">
      <c r="A19" s="1215"/>
      <c r="B19" s="26" t="s">
        <v>1109</v>
      </c>
      <c r="C19" s="2528" t="str">
        <f>'数据-基础表'!C13</f>
        <v>办公</v>
      </c>
      <c r="D19" s="3895">
        <f>ROUND($D$3*E19/$E$3,2)</f>
        <v>11304.33</v>
      </c>
      <c r="E19" s="3895">
        <f t="shared" ref="E19:E26" si="1">SUM(F19:G19)</f>
        <v>39456.269999999997</v>
      </c>
      <c r="F19" s="3896">
        <f>'数据-基础表'!I13</f>
        <v>39456.269999999997</v>
      </c>
      <c r="G19" s="3758"/>
      <c r="H19" s="3897">
        <f>ROUND($D$3*I19/$E$3,2)</f>
        <v>0</v>
      </c>
      <c r="I19" s="3786">
        <f t="shared" ref="I19:I26" si="2">IF($I$17="自定义",P19,M19)</f>
        <v>0</v>
      </c>
      <c r="J19" s="785"/>
      <c r="K19" s="3897">
        <f t="shared" ref="K19:K26" si="3">ROUND(E$28*E19/E$27,2)</f>
        <v>0</v>
      </c>
      <c r="L19" s="3895">
        <f t="shared" ref="L19:L26" si="4">ROUND(IF(COUNTIF(C19,"*住宅*")&gt;0,E$29*E19/E$32,0),2)</f>
        <v>0</v>
      </c>
      <c r="M19" s="3786">
        <f>K19+L19</f>
        <v>0</v>
      </c>
      <c r="N19" s="3909"/>
      <c r="O19" s="3910"/>
      <c r="P19" s="3786">
        <f>N19+O19</f>
        <v>0</v>
      </c>
      <c r="R19" s="3895">
        <f t="shared" ref="R19:S26" si="5">D19+H19</f>
        <v>11304.33</v>
      </c>
      <c r="S19" s="3895">
        <f t="shared" si="5"/>
        <v>39456.269999999997</v>
      </c>
    </row>
    <row r="20" spans="1:19">
      <c r="A20" s="1215"/>
      <c r="B20" s="26" t="s">
        <v>1137</v>
      </c>
      <c r="C20" s="2528" t="str">
        <f>'数据-基础表'!C14</f>
        <v>商业</v>
      </c>
      <c r="D20" s="3895">
        <f t="shared" ref="D20:D26" si="6">ROUND($D$3*E20/$E$3,2)</f>
        <v>3716.64</v>
      </c>
      <c r="E20" s="3895">
        <f t="shared" si="1"/>
        <v>12972.44</v>
      </c>
      <c r="F20" s="3896">
        <f>'数据-基础表'!K14</f>
        <v>11357.59</v>
      </c>
      <c r="G20" s="3758">
        <f>'数据-基础表'!M14</f>
        <v>1614.85</v>
      </c>
      <c r="H20" s="3897">
        <f t="shared" ref="H20:H26" si="7">ROUND($D$3*I20/$E$3,2)</f>
        <v>0</v>
      </c>
      <c r="I20" s="3786">
        <f t="shared" si="2"/>
        <v>0</v>
      </c>
      <c r="J20" s="785"/>
      <c r="K20" s="3897">
        <f t="shared" si="3"/>
        <v>0</v>
      </c>
      <c r="L20" s="3895">
        <f t="shared" si="4"/>
        <v>0</v>
      </c>
      <c r="M20" s="3786">
        <f t="shared" ref="M20:M26" si="8">K20+L20</f>
        <v>0</v>
      </c>
      <c r="N20" s="3909"/>
      <c r="O20" s="3910"/>
      <c r="P20" s="3786">
        <f t="shared" ref="P20:P26" si="9">N20+O20</f>
        <v>0</v>
      </c>
      <c r="R20" s="3895">
        <f t="shared" si="5"/>
        <v>3716.64</v>
      </c>
      <c r="S20" s="3895">
        <f t="shared" si="5"/>
        <v>12972.44</v>
      </c>
    </row>
    <row r="21" spans="1:19">
      <c r="A21" s="1215"/>
      <c r="B21" s="26" t="s">
        <v>1137</v>
      </c>
      <c r="C21" s="2528" t="str">
        <f>'数据-基础表'!C15</f>
        <v>地下仓储</v>
      </c>
      <c r="D21" s="3895">
        <f t="shared" si="6"/>
        <v>55.92</v>
      </c>
      <c r="E21" s="3895">
        <f t="shared" si="1"/>
        <v>195.18</v>
      </c>
      <c r="F21" s="3896"/>
      <c r="G21" s="3758">
        <f>'数据-基础表'!O15</f>
        <v>195.18</v>
      </c>
      <c r="H21" s="3897">
        <f t="shared" si="7"/>
        <v>0</v>
      </c>
      <c r="I21" s="3786">
        <f t="shared" si="2"/>
        <v>0</v>
      </c>
      <c r="J21" s="785"/>
      <c r="K21" s="3897">
        <f t="shared" si="3"/>
        <v>0</v>
      </c>
      <c r="L21" s="3895">
        <f t="shared" si="4"/>
        <v>0</v>
      </c>
      <c r="M21" s="3786">
        <f t="shared" si="8"/>
        <v>0</v>
      </c>
      <c r="N21" s="3909"/>
      <c r="O21" s="3910"/>
      <c r="P21" s="3786">
        <f t="shared" si="9"/>
        <v>0</v>
      </c>
      <c r="R21" s="3895">
        <f t="shared" si="5"/>
        <v>55.92</v>
      </c>
      <c r="S21" s="3895">
        <f t="shared" si="5"/>
        <v>195.18</v>
      </c>
    </row>
    <row r="22" spans="1:19">
      <c r="A22" s="1215"/>
      <c r="B22" s="26" t="s">
        <v>1137</v>
      </c>
      <c r="C22" s="2529" t="str">
        <f>'数据-基础表'!C16</f>
        <v>地下车库</v>
      </c>
      <c r="D22" s="3895">
        <f t="shared" si="6"/>
        <v>1370.73</v>
      </c>
      <c r="E22" s="3895">
        <f t="shared" si="1"/>
        <v>4784.37</v>
      </c>
      <c r="F22" s="3898"/>
      <c r="G22" s="3899">
        <f>'数据-基础表'!Q16</f>
        <v>4784.37</v>
      </c>
      <c r="H22" s="3897">
        <f t="shared" si="7"/>
        <v>0</v>
      </c>
      <c r="I22" s="3786">
        <f t="shared" si="2"/>
        <v>0</v>
      </c>
      <c r="J22" s="785"/>
      <c r="K22" s="3897">
        <f t="shared" si="3"/>
        <v>0</v>
      </c>
      <c r="L22" s="3895">
        <f t="shared" si="4"/>
        <v>0</v>
      </c>
      <c r="M22" s="3786">
        <f t="shared" si="8"/>
        <v>0</v>
      </c>
      <c r="N22" s="3909"/>
      <c r="O22" s="3910"/>
      <c r="P22" s="3786">
        <f t="shared" si="9"/>
        <v>0</v>
      </c>
      <c r="R22" s="3895">
        <f t="shared" si="5"/>
        <v>1370.73</v>
      </c>
      <c r="S22" s="3895">
        <f t="shared" si="5"/>
        <v>4784.37</v>
      </c>
    </row>
    <row r="23" spans="1:19">
      <c r="A23" s="1215"/>
      <c r="B23" s="26" t="s">
        <v>1137</v>
      </c>
      <c r="C23" s="2529"/>
      <c r="D23" s="3895">
        <f>ROUND($D$3*E23/$E$3,2)</f>
        <v>0</v>
      </c>
      <c r="E23" s="3895">
        <f>SUM(F23:G23)</f>
        <v>0</v>
      </c>
      <c r="F23" s="3898"/>
      <c r="G23" s="3899"/>
      <c r="H23" s="3897">
        <f>ROUND($D$3*I23/$E$3,2)</f>
        <v>0</v>
      </c>
      <c r="I23" s="3786">
        <f t="shared" si="2"/>
        <v>0</v>
      </c>
      <c r="J23" s="785"/>
      <c r="K23" s="3897">
        <f t="shared" si="3"/>
        <v>0</v>
      </c>
      <c r="L23" s="3895">
        <f t="shared" si="4"/>
        <v>0</v>
      </c>
      <c r="M23" s="3786">
        <f t="shared" si="8"/>
        <v>0</v>
      </c>
      <c r="N23" s="3909"/>
      <c r="O23" s="3910"/>
      <c r="P23" s="3786">
        <f t="shared" si="9"/>
        <v>0</v>
      </c>
      <c r="R23" s="3895">
        <f t="shared" si="5"/>
        <v>0</v>
      </c>
      <c r="S23" s="3895">
        <f t="shared" si="5"/>
        <v>0</v>
      </c>
    </row>
    <row r="24" spans="1:19">
      <c r="A24" s="1215"/>
      <c r="B24" s="26" t="s">
        <v>1137</v>
      </c>
      <c r="C24" s="2529"/>
      <c r="D24" s="3895">
        <f>ROUND($D$3*E24/$E$3,2)</f>
        <v>0</v>
      </c>
      <c r="E24" s="3895">
        <f>SUM(F24:G24)</f>
        <v>0</v>
      </c>
      <c r="F24" s="3898"/>
      <c r="G24" s="3899"/>
      <c r="H24" s="3897">
        <f>ROUND($D$3*I24/$E$3,2)</f>
        <v>0</v>
      </c>
      <c r="I24" s="3786">
        <f t="shared" si="2"/>
        <v>0</v>
      </c>
      <c r="J24" s="785"/>
      <c r="K24" s="3897">
        <f t="shared" si="3"/>
        <v>0</v>
      </c>
      <c r="L24" s="3895">
        <f t="shared" si="4"/>
        <v>0</v>
      </c>
      <c r="M24" s="3786">
        <f t="shared" si="8"/>
        <v>0</v>
      </c>
      <c r="N24" s="3909"/>
      <c r="O24" s="3910"/>
      <c r="P24" s="3786">
        <f t="shared" si="9"/>
        <v>0</v>
      </c>
      <c r="R24" s="3895">
        <f t="shared" si="5"/>
        <v>0</v>
      </c>
      <c r="S24" s="3895">
        <f t="shared" si="5"/>
        <v>0</v>
      </c>
    </row>
    <row r="25" spans="1:19">
      <c r="A25" s="1215"/>
      <c r="B25" s="26" t="s">
        <v>1137</v>
      </c>
      <c r="C25" s="2529"/>
      <c r="D25" s="3895">
        <f t="shared" si="6"/>
        <v>0</v>
      </c>
      <c r="E25" s="3895">
        <f t="shared" si="1"/>
        <v>0</v>
      </c>
      <c r="F25" s="3898"/>
      <c r="G25" s="3899"/>
      <c r="H25" s="3900">
        <f t="shared" si="7"/>
        <v>0</v>
      </c>
      <c r="I25" s="3786">
        <f t="shared" si="2"/>
        <v>0</v>
      </c>
      <c r="J25" s="785"/>
      <c r="K25" s="3897">
        <f t="shared" si="3"/>
        <v>0</v>
      </c>
      <c r="L25" s="3895">
        <f t="shared" si="4"/>
        <v>0</v>
      </c>
      <c r="M25" s="3786">
        <f t="shared" si="8"/>
        <v>0</v>
      </c>
      <c r="N25" s="3909"/>
      <c r="O25" s="3910"/>
      <c r="P25" s="3786">
        <f t="shared" si="9"/>
        <v>0</v>
      </c>
      <c r="R25" s="3895">
        <f t="shared" si="5"/>
        <v>0</v>
      </c>
      <c r="S25" s="3895">
        <f t="shared" si="5"/>
        <v>0</v>
      </c>
    </row>
    <row r="26" spans="1:19">
      <c r="A26" s="1215"/>
      <c r="B26" s="26" t="s">
        <v>1137</v>
      </c>
      <c r="C26" s="29"/>
      <c r="D26" s="3895">
        <f t="shared" si="6"/>
        <v>0</v>
      </c>
      <c r="E26" s="3895">
        <f t="shared" si="1"/>
        <v>0</v>
      </c>
      <c r="F26" s="3898"/>
      <c r="G26" s="3899"/>
      <c r="H26" s="3900">
        <f t="shared" si="7"/>
        <v>0</v>
      </c>
      <c r="I26" s="3786">
        <f t="shared" si="2"/>
        <v>0</v>
      </c>
      <c r="J26" s="785"/>
      <c r="K26" s="3900">
        <f t="shared" si="3"/>
        <v>0</v>
      </c>
      <c r="L26" s="3740">
        <f t="shared" si="4"/>
        <v>0</v>
      </c>
      <c r="M26" s="3905">
        <f t="shared" si="8"/>
        <v>0</v>
      </c>
      <c r="N26" s="3911"/>
      <c r="O26" s="3912"/>
      <c r="P26" s="3905">
        <f t="shared" si="9"/>
        <v>0</v>
      </c>
      <c r="R26" s="3895">
        <f t="shared" si="5"/>
        <v>0</v>
      </c>
      <c r="S26" s="3895">
        <f t="shared" si="5"/>
        <v>0</v>
      </c>
    </row>
    <row r="27" spans="1:19" ht="15.75" thickBot="1">
      <c r="A27" s="1215"/>
      <c r="B27" s="25"/>
      <c r="C27" s="1216" t="s">
        <v>1138</v>
      </c>
      <c r="D27" s="172">
        <f>SUM(D19:D26)</f>
        <v>16447.62</v>
      </c>
      <c r="E27" s="172">
        <f>IF(SUM(E19:E26)='数据-基础表'!BA5,SUM(E19:E26),IF(F27="地上面积有误","面积有误","地下面积有误"))</f>
        <v>57408.26</v>
      </c>
      <c r="F27" s="172">
        <f>IF(SUM(F19:F26)=E8,SUM(F19:F26),"地上面积有误")</f>
        <v>50813.86</v>
      </c>
      <c r="G27" s="3784">
        <f>SUM(G19:G26)</f>
        <v>6594.4</v>
      </c>
      <c r="H27" s="3901">
        <f>SUM(H19:H26)</f>
        <v>0</v>
      </c>
      <c r="I27" s="3902">
        <f>SUM(I19:I26)</f>
        <v>0</v>
      </c>
      <c r="J27" s="785"/>
      <c r="K27" s="3901">
        <f>SUM(K19:K26)</f>
        <v>0</v>
      </c>
      <c r="L27" s="3907">
        <f>SUM(L19:L26)</f>
        <v>0</v>
      </c>
      <c r="M27" s="3908">
        <f>SUM(M19:M26)</f>
        <v>0</v>
      </c>
      <c r="N27" s="3901">
        <f t="shared" ref="N27:O27" si="10">SUM(N19:N26)</f>
        <v>0</v>
      </c>
      <c r="O27" s="3907">
        <f t="shared" si="10"/>
        <v>0</v>
      </c>
      <c r="P27" s="3746">
        <f>SUM(P19:P26)</f>
        <v>0</v>
      </c>
      <c r="R27" s="697">
        <f>IF(SUM(R19:R26)=$D$3,SUM(R19:R26),SUM(R19:R26)&amp;"误差"&amp;ROUND(SUM(R19:R26)-$D$3,2))</f>
        <v>16447.62</v>
      </c>
      <c r="S27" s="3895">
        <f>IF(SUM(S19:S26)=$E$3,SUM(S19:S26),SUM(S19:S26)&amp;"误差"&amp;ROUND(SUM(S19:S26)-E3,2))</f>
        <v>57408.26</v>
      </c>
    </row>
    <row r="28" spans="1:19">
      <c r="A28" s="1215"/>
      <c r="B28" s="26" t="s">
        <v>1139</v>
      </c>
      <c r="C28" s="30" t="s">
        <v>1140</v>
      </c>
      <c r="D28" s="3895">
        <f>ROUND($D$3*E28/$E$3,2)</f>
        <v>0</v>
      </c>
      <c r="E28" s="3895">
        <f>SUM(F28:G28)</f>
        <v>0</v>
      </c>
      <c r="F28" s="3654">
        <f>'数据-基础表'!BQ5+'数据-基础表'!BS5</f>
        <v>0</v>
      </c>
      <c r="G28" s="3903">
        <f>'数据-基础表'!BR5+'数据-基础表'!BT5</f>
        <v>0</v>
      </c>
      <c r="H28" s="1961"/>
      <c r="I28" s="1961"/>
      <c r="J28" s="1961"/>
      <c r="K28" s="1961"/>
      <c r="L28" s="1961"/>
      <c r="M28" s="1961"/>
      <c r="N28" s="1961"/>
      <c r="O28" s="1961"/>
      <c r="P28" s="1961"/>
    </row>
    <row r="29" spans="1:19">
      <c r="A29" s="1215"/>
      <c r="B29" s="26" t="s">
        <v>1139</v>
      </c>
      <c r="C29" s="1217" t="s">
        <v>1141</v>
      </c>
      <c r="D29" s="3895">
        <f>ROUND($D$3*E29/$E$3,2)</f>
        <v>0</v>
      </c>
      <c r="E29" s="3895">
        <f>SUM(F29:G29)</f>
        <v>0</v>
      </c>
      <c r="F29" s="3904">
        <f>'数据-基础表'!BM5+'数据-基础表'!BO5</f>
        <v>0</v>
      </c>
      <c r="G29" s="3905">
        <f>'数据-基础表'!BN5+'数据-基础表'!BP5</f>
        <v>0</v>
      </c>
      <c r="H29" s="1961"/>
      <c r="I29" s="1961"/>
      <c r="J29" s="1961"/>
      <c r="K29" s="1961"/>
      <c r="L29" s="1961"/>
      <c r="M29" s="1961"/>
      <c r="N29" s="1961"/>
      <c r="O29" s="1961"/>
      <c r="P29" s="1961"/>
    </row>
    <row r="30" spans="1:19" ht="15">
      <c r="A30" s="1215"/>
      <c r="B30" s="26"/>
      <c r="C30" s="1218" t="s">
        <v>1138</v>
      </c>
      <c r="D30" s="172">
        <f>SUM(D28:D29)</f>
        <v>0</v>
      </c>
      <c r="E30" s="172">
        <f>SUM(E28:E29)</f>
        <v>0</v>
      </c>
      <c r="F30" s="172">
        <f>SUM(F28:F29)</f>
        <v>0</v>
      </c>
      <c r="G30" s="3784">
        <f>SUM(G28:G29)</f>
        <v>0</v>
      </c>
      <c r="H30" s="1961"/>
      <c r="I30" s="1961"/>
      <c r="J30" s="1961"/>
      <c r="K30" s="1961"/>
      <c r="L30" s="1961"/>
      <c r="M30" s="1961"/>
      <c r="N30" s="1961"/>
      <c r="O30" s="1961"/>
      <c r="P30" s="1961"/>
    </row>
    <row r="31" spans="1:19" ht="15.75" thickBot="1">
      <c r="A31" s="1219"/>
      <c r="B31" s="45"/>
      <c r="C31" s="552" t="s">
        <v>1142</v>
      </c>
      <c r="D31" s="3906">
        <f>D27+D30</f>
        <v>16447.62</v>
      </c>
      <c r="E31" s="3906">
        <f>E27+E30</f>
        <v>57408.26</v>
      </c>
      <c r="F31" s="3907">
        <f>F27+F30</f>
        <v>50813.86</v>
      </c>
      <c r="G31" s="3908">
        <f>G27+G30</f>
        <v>6594.4</v>
      </c>
      <c r="H31" s="1961"/>
      <c r="I31" s="1961"/>
      <c r="J31" s="1961"/>
      <c r="K31" s="1961"/>
      <c r="L31" s="1961"/>
      <c r="M31" s="1961"/>
      <c r="N31" s="1961"/>
      <c r="O31" s="1961"/>
      <c r="P31" s="1961"/>
    </row>
    <row r="32" spans="1:19">
      <c r="A32" s="1192"/>
      <c r="B32" s="1192" t="s">
        <v>1143</v>
      </c>
      <c r="C32" s="1192"/>
      <c r="D32" s="3739"/>
      <c r="E32" s="3739">
        <f>SUMIF(C19:C26,"*住宅*",E19:E26)</f>
        <v>0</v>
      </c>
      <c r="F32" s="3739"/>
      <c r="G32" s="3739"/>
      <c r="H32" s="1961"/>
      <c r="I32" s="1961"/>
      <c r="J32" s="1961"/>
      <c r="K32" s="1961"/>
      <c r="L32" s="1961"/>
      <c r="M32" s="1961"/>
      <c r="N32" s="1961"/>
      <c r="O32" s="1961"/>
      <c r="P32" s="1961"/>
    </row>
    <row r="33" spans="4:7">
      <c r="D33" s="1220"/>
      <c r="G33" s="1187">
        <f>G31/E31</f>
        <v>0.11486848756607497</v>
      </c>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18" sqref="B18:I24"/>
    </sheetView>
  </sheetViews>
  <sheetFormatPr defaultColWidth="13.75" defaultRowHeight="12.75"/>
  <cols>
    <col min="1" max="1" width="31.625" style="1275" customWidth="1"/>
    <col min="2" max="2" width="12" style="1223" customWidth="1"/>
    <col min="3" max="3" width="12.75" style="1223" customWidth="1"/>
    <col min="4" max="4" width="9.125" style="1276" customWidth="1"/>
    <col min="5" max="5" width="15" style="1223" bestFit="1" customWidth="1"/>
    <col min="6" max="10" width="8.875" style="1223" customWidth="1"/>
    <col min="11" max="12" width="12.375" style="1155" customWidth="1"/>
    <col min="13" max="13" width="8.625" style="1223" customWidth="1"/>
    <col min="14" max="14" width="11.875" style="1223" customWidth="1"/>
    <col min="15" max="15" width="8.5" style="1223" customWidth="1"/>
    <col min="16" max="17" width="10.875" style="1223" customWidth="1"/>
    <col min="18" max="19" width="12.5" style="1223" customWidth="1"/>
    <col min="20" max="20" width="12.125" style="1223" customWidth="1"/>
    <col min="21" max="21" width="7.5" style="1223" customWidth="1"/>
    <col min="22" max="22" width="6.375" style="1223" customWidth="1"/>
    <col min="23" max="30" width="6.75" style="1223" customWidth="1"/>
    <col min="31" max="31" width="8" style="1223" customWidth="1"/>
    <col min="32" max="33" width="7.25" style="1223" customWidth="1"/>
    <col min="34" max="34" width="9.625" style="1223" customWidth="1"/>
    <col min="35" max="39" width="8" style="1223" customWidth="1"/>
    <col min="40" max="40" width="13.75" style="48"/>
    <col min="41" max="45" width="14.375" style="3423" customWidth="1"/>
    <col min="46" max="67" width="13.75" style="48"/>
    <col min="68" max="16384" width="13.75" style="1223"/>
  </cols>
  <sheetData>
    <row r="1" spans="1:67" ht="19.5" thickBot="1">
      <c r="A1" s="1221" t="s">
        <v>1144</v>
      </c>
      <c r="B1" s="464"/>
      <c r="C1" s="47"/>
      <c r="D1" s="1222"/>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71"/>
      <c r="AO1" s="3422"/>
      <c r="AP1" s="3422"/>
      <c r="AQ1" s="3422"/>
      <c r="AR1" s="3422"/>
    </row>
    <row r="2" spans="1:67" s="1121" customFormat="1" ht="15.75" thickBot="1">
      <c r="A2" s="1224" t="s">
        <v>1145</v>
      </c>
      <c r="B2" s="707">
        <f>项目基本情况!D3</f>
        <v>46049</v>
      </c>
      <c r="C2" s="785"/>
      <c r="D2" s="1225"/>
      <c r="E2" s="785"/>
      <c r="F2" s="785"/>
      <c r="G2" s="785"/>
      <c r="H2" s="785"/>
      <c r="I2" s="785"/>
      <c r="J2" s="785"/>
      <c r="K2" s="613"/>
      <c r="L2" s="613"/>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1961"/>
      <c r="AO2" s="3424"/>
      <c r="AP2" s="3424"/>
      <c r="AQ2" s="3424"/>
      <c r="AR2" s="3424"/>
      <c r="AS2" s="3425"/>
      <c r="AT2" s="1187"/>
      <c r="AU2" s="1187"/>
      <c r="AV2" s="1187"/>
      <c r="AW2" s="1187"/>
      <c r="AX2" s="1187"/>
      <c r="AY2" s="1187"/>
      <c r="AZ2" s="1187"/>
      <c r="BA2" s="1187"/>
      <c r="BB2" s="1187"/>
      <c r="BC2" s="1187"/>
      <c r="BD2" s="1187"/>
      <c r="BE2" s="1187"/>
      <c r="BF2" s="1187"/>
      <c r="BG2" s="1187"/>
      <c r="BH2" s="1187"/>
      <c r="BI2" s="1187"/>
      <c r="BJ2" s="1187"/>
      <c r="BK2" s="1187"/>
      <c r="BL2" s="1187"/>
      <c r="BM2" s="1187"/>
      <c r="BN2" s="1187"/>
      <c r="BO2" s="1187"/>
    </row>
    <row r="3" spans="1:67" s="1121" customFormat="1" ht="15" thickBot="1">
      <c r="A3" s="1119"/>
      <c r="B3" s="1208"/>
      <c r="C3" s="785"/>
      <c r="D3" s="1225"/>
      <c r="E3" s="785"/>
      <c r="F3" s="785"/>
      <c r="G3" s="785"/>
      <c r="H3" s="785"/>
      <c r="I3" s="785"/>
      <c r="J3" s="785"/>
      <c r="K3" s="613"/>
      <c r="L3" s="613"/>
      <c r="M3" s="785"/>
      <c r="N3" s="785"/>
      <c r="O3" s="785"/>
      <c r="P3" s="785"/>
      <c r="Q3" s="785"/>
      <c r="R3" s="785"/>
      <c r="S3" s="785"/>
      <c r="T3" s="785"/>
      <c r="U3" s="785"/>
      <c r="V3" s="785"/>
      <c r="W3" s="785"/>
      <c r="X3" s="785"/>
      <c r="Y3" s="785"/>
      <c r="Z3" s="785"/>
      <c r="AA3" s="785"/>
      <c r="AB3" s="785"/>
      <c r="AC3" s="785"/>
      <c r="AD3" s="785"/>
      <c r="AE3" s="785"/>
      <c r="AF3" s="785"/>
      <c r="AG3" s="785"/>
      <c r="AH3" s="785"/>
      <c r="AI3" s="785"/>
      <c r="AJ3" s="785"/>
      <c r="AK3" s="785"/>
      <c r="AL3" s="785"/>
      <c r="AM3" s="785"/>
      <c r="AN3" s="1961"/>
      <c r="AO3" s="3424"/>
      <c r="AP3" s="3424"/>
      <c r="AQ3" s="3424"/>
      <c r="AR3" s="3424"/>
      <c r="AS3" s="3425"/>
      <c r="AT3" s="1187"/>
      <c r="AU3" s="1187"/>
      <c r="AV3" s="1187"/>
      <c r="AW3" s="1187"/>
      <c r="AX3" s="1187"/>
      <c r="AY3" s="1187"/>
      <c r="AZ3" s="1187"/>
      <c r="BA3" s="1187"/>
      <c r="BB3" s="1187"/>
      <c r="BC3" s="1187"/>
      <c r="BD3" s="1187"/>
      <c r="BE3" s="1187"/>
      <c r="BF3" s="1187"/>
      <c r="BG3" s="1187"/>
      <c r="BH3" s="1187"/>
      <c r="BI3" s="1187"/>
      <c r="BJ3" s="1187"/>
      <c r="BK3" s="1187"/>
      <c r="BL3" s="1187"/>
      <c r="BM3" s="1187"/>
      <c r="BN3" s="1187"/>
      <c r="BO3" s="1187"/>
    </row>
    <row r="4" spans="1:67" s="1121" customFormat="1" ht="15" thickBot="1">
      <c r="A4" s="31" t="s">
        <v>1146</v>
      </c>
      <c r="B4" s="1226"/>
      <c r="C4" s="1227"/>
      <c r="D4" s="1228"/>
      <c r="E4" s="1227" t="s">
        <v>1147</v>
      </c>
      <c r="F4" s="1227"/>
      <c r="G4" s="1227"/>
      <c r="H4" s="1227"/>
      <c r="I4" s="1227"/>
      <c r="J4" s="1229"/>
      <c r="K4" s="1230"/>
      <c r="L4" s="1231"/>
      <c r="M4" s="1227"/>
      <c r="N4" s="1227" t="s">
        <v>1148</v>
      </c>
      <c r="O4" s="1227"/>
      <c r="P4" s="1227"/>
      <c r="Q4" s="1227"/>
      <c r="R4" s="1227"/>
      <c r="S4" s="1229"/>
      <c r="T4" s="1960" t="str">
        <f>'数据-汇总表'!I17</f>
        <v>按面积比例</v>
      </c>
      <c r="U4" s="1226" t="s">
        <v>1149</v>
      </c>
      <c r="V4" s="1227"/>
      <c r="W4" s="1227"/>
      <c r="X4" s="1227"/>
      <c r="Y4" s="1229"/>
      <c r="Z4" s="1201" t="s">
        <v>1150</v>
      </c>
      <c r="AA4" s="1201"/>
      <c r="AB4" s="1201"/>
      <c r="AC4" s="1201"/>
      <c r="AD4" s="1201"/>
      <c r="AE4" s="1199" t="s">
        <v>1151</v>
      </c>
      <c r="AF4" s="1201"/>
      <c r="AG4" s="1232"/>
      <c r="AH4" s="1226"/>
      <c r="AI4" s="1227"/>
      <c r="AJ4" s="1227"/>
      <c r="AK4" s="1227"/>
      <c r="AL4" s="1227"/>
      <c r="AM4" s="1229"/>
      <c r="AN4" s="1961"/>
      <c r="AO4" s="3424"/>
      <c r="AP4" s="3424"/>
      <c r="AQ4" s="3424"/>
      <c r="AR4" s="3424"/>
      <c r="AS4" s="3425"/>
      <c r="AT4" s="1187"/>
      <c r="AU4" s="1187"/>
      <c r="AV4" s="1187"/>
      <c r="AW4" s="1187"/>
      <c r="AX4" s="1187"/>
      <c r="AY4" s="1187"/>
      <c r="AZ4" s="1187"/>
      <c r="BA4" s="1187"/>
      <c r="BB4" s="1187"/>
      <c r="BC4" s="1187"/>
      <c r="BD4" s="1187"/>
      <c r="BE4" s="1187"/>
      <c r="BF4" s="1187"/>
      <c r="BG4" s="1187"/>
      <c r="BH4" s="1187"/>
      <c r="BI4" s="1187"/>
      <c r="BJ4" s="1187"/>
      <c r="BK4" s="1187"/>
      <c r="BL4" s="1187"/>
      <c r="BM4" s="1187"/>
      <c r="BN4" s="1187"/>
      <c r="BO4" s="1187"/>
    </row>
    <row r="5" spans="1:67" s="1122" customFormat="1" ht="42">
      <c r="A5" s="1233" t="s">
        <v>1152</v>
      </c>
      <c r="B5" s="1234" t="s">
        <v>1153</v>
      </c>
      <c r="C5" s="1235" t="s">
        <v>1154</v>
      </c>
      <c r="D5" s="1236" t="s">
        <v>1155</v>
      </c>
      <c r="E5" s="364" t="s">
        <v>1156</v>
      </c>
      <c r="F5" s="1237" t="s">
        <v>1157</v>
      </c>
      <c r="G5" s="364" t="s">
        <v>1158</v>
      </c>
      <c r="H5" s="364" t="s">
        <v>1159</v>
      </c>
      <c r="I5" s="364" t="s">
        <v>1160</v>
      </c>
      <c r="J5" s="916" t="s">
        <v>1161</v>
      </c>
      <c r="K5" s="1238" t="s">
        <v>1162</v>
      </c>
      <c r="L5" s="1239" t="s">
        <v>1163</v>
      </c>
      <c r="M5" s="1240" t="s">
        <v>1164</v>
      </c>
      <c r="N5" s="1241" t="s">
        <v>4158</v>
      </c>
      <c r="O5" s="1239" t="s">
        <v>1165</v>
      </c>
      <c r="P5" s="1242" t="s">
        <v>1166</v>
      </c>
      <c r="Q5" s="32" t="s">
        <v>1167</v>
      </c>
      <c r="R5" s="1243" t="s">
        <v>1168</v>
      </c>
      <c r="S5" s="1244" t="s">
        <v>1169</v>
      </c>
      <c r="T5" s="1245" t="s">
        <v>1170</v>
      </c>
      <c r="U5" s="708" t="s">
        <v>1171</v>
      </c>
      <c r="V5" s="364" t="s">
        <v>1172</v>
      </c>
      <c r="W5" s="364" t="s">
        <v>1173</v>
      </c>
      <c r="X5" s="34"/>
      <c r="Y5" s="33" t="s">
        <v>1174</v>
      </c>
      <c r="Z5" s="801" t="s">
        <v>1171</v>
      </c>
      <c r="AA5" s="364" t="s">
        <v>1172</v>
      </c>
      <c r="AB5" s="364" t="s">
        <v>1173</v>
      </c>
      <c r="AC5" s="34"/>
      <c r="AD5" s="34" t="s">
        <v>1174</v>
      </c>
      <c r="AE5" s="708" t="s">
        <v>1175</v>
      </c>
      <c r="AF5" s="364" t="s">
        <v>1176</v>
      </c>
      <c r="AG5" s="33" t="s">
        <v>1177</v>
      </c>
      <c r="AH5" s="708" t="s">
        <v>1178</v>
      </c>
      <c r="AI5" s="801" t="s">
        <v>1179</v>
      </c>
      <c r="AJ5" s="801" t="s">
        <v>1180</v>
      </c>
      <c r="AK5" s="364" t="s">
        <v>1181</v>
      </c>
      <c r="AL5" s="364" t="s">
        <v>1182</v>
      </c>
      <c r="AM5" s="33" t="s">
        <v>1183</v>
      </c>
      <c r="AN5" s="1246" t="s">
        <v>1184</v>
      </c>
      <c r="AO5" s="697" t="s">
        <v>1185</v>
      </c>
      <c r="AP5" s="697" t="s">
        <v>1186</v>
      </c>
      <c r="AQ5" s="3426" t="s">
        <v>1187</v>
      </c>
      <c r="AR5" s="3426" t="s">
        <v>1188</v>
      </c>
      <c r="AS5" s="3427" t="s">
        <v>3611</v>
      </c>
      <c r="AT5" s="1132"/>
      <c r="AU5" s="1132"/>
      <c r="AV5" s="1132"/>
      <c r="AW5" s="1132"/>
      <c r="AX5" s="1132"/>
      <c r="AY5" s="1132"/>
      <c r="AZ5" s="1132"/>
      <c r="BA5" s="1132"/>
      <c r="BB5" s="1132"/>
      <c r="BC5" s="1132"/>
      <c r="BD5" s="1132"/>
      <c r="BE5" s="1132"/>
      <c r="BF5" s="1132"/>
      <c r="BG5" s="1132"/>
      <c r="BH5" s="1132"/>
      <c r="BI5" s="1132"/>
      <c r="BJ5" s="1132"/>
      <c r="BK5" s="1132"/>
      <c r="BL5" s="1132"/>
      <c r="BM5" s="1132"/>
      <c r="BN5" s="1132"/>
      <c r="BO5" s="1132"/>
    </row>
    <row r="6" spans="1:67" s="1121" customFormat="1" ht="14.25">
      <c r="A6" s="1247" t="str">
        <f>'数据-汇总表'!C19</f>
        <v>办公</v>
      </c>
      <c r="B6" s="1248" t="str">
        <f>IF(A6=0,"","经营性")</f>
        <v>经营性</v>
      </c>
      <c r="C6" s="1249" t="s">
        <v>19</v>
      </c>
      <c r="D6" s="3399">
        <f>SUMIF(项目基本情况!C$12:I$12,C6,项目基本情况!C$14:I$14)</f>
        <v>50</v>
      </c>
      <c r="E6" s="565">
        <f>IF(B6="","",SUMIF(项目基本情况!C$12:I$12,C6,项目基本情况!C$13:I$13))</f>
        <v>56457</v>
      </c>
      <c r="F6" s="3401">
        <f>SUMIF(项目基本情况!C$12:I$12,C6,项目基本情况!C$15:I$15)</f>
        <v>28.51</v>
      </c>
      <c r="G6" s="3402">
        <f t="shared" ref="G6:G13" si="0">IF(ISERROR(ROUND(POWER(1+H6,D6-F6)*(POWER(1+H6,F6)-1)/(POWER(1+H6,D6)-1),4)),0,ROUND(POWER(1+H6,D6-F6)*(POWER(1+H6,F6)-1)/(POWER(1+H6,D6)-1),4))</f>
        <v>0.82289999999999996</v>
      </c>
      <c r="H6" s="3403">
        <v>0.05</v>
      </c>
      <c r="I6" s="3403">
        <v>5.5E-2</v>
      </c>
      <c r="J6" s="3404">
        <v>7.0000000000000007E-2</v>
      </c>
      <c r="K6" s="3915">
        <f>SUMIF('数据-汇总表'!C$19:C$33,A6,'数据-汇总表'!E$19:E$33)</f>
        <v>39456.269999999997</v>
      </c>
      <c r="L6" s="3916">
        <v>5000</v>
      </c>
      <c r="M6" s="3917">
        <f t="shared" ref="M6:M14" si="1">ROUND(K6*L6/10000,0)</f>
        <v>19728</v>
      </c>
      <c r="N6" s="3391">
        <v>0.92</v>
      </c>
      <c r="O6" s="3917" t="str">
        <f>IF($N$5="成新度","——",ROUND(M6*N6,0))</f>
        <v>——</v>
      </c>
      <c r="P6" s="3748" t="str">
        <f>IF($N$5="成新度","——",M6-O6)</f>
        <v>——</v>
      </c>
      <c r="Q6" s="3392">
        <v>0.15</v>
      </c>
      <c r="R6" s="3931">
        <f ca="1">SUMIF('数据-汇总表'!C$19:C$33,A6,'数据-汇总表'!R$19:R$27)</f>
        <v>11304.33</v>
      </c>
      <c r="S6" s="3895">
        <f>IF('数据-汇总表'!$I$17="按面积比例",SUMIF('数据-汇总表'!C$19:C$33,A6,'数据-汇总表'!K$19:K$33),SUMIF('数据-汇总表'!C$19:C$33,A6,'数据-汇总表'!N$19:N$33))</f>
        <v>0</v>
      </c>
      <c r="T6" s="3932">
        <f>ROUND($L$14*S6/10000,0)</f>
        <v>0</v>
      </c>
      <c r="U6" s="3936">
        <v>3.1</v>
      </c>
      <c r="V6" s="36">
        <v>0.02</v>
      </c>
      <c r="W6" s="36">
        <v>0.1</v>
      </c>
      <c r="X6" s="702"/>
      <c r="Y6" s="37">
        <f>N6</f>
        <v>0.92</v>
      </c>
      <c r="Z6" s="3941"/>
      <c r="AA6" s="35"/>
      <c r="AB6" s="35"/>
      <c r="AC6" s="702"/>
      <c r="AD6" s="38"/>
      <c r="AE6" s="703">
        <f ca="1">IF(AN6="",0,SUMIF(INDIRECT("'"&amp;AN6&amp;"'"&amp;"!E:E"),$AE$5,INDIRECT("'"&amp;AN6&amp;"'"&amp;"!F:F")))</f>
        <v>28.51</v>
      </c>
      <c r="AF6" s="3943"/>
      <c r="AG6" s="52">
        <f>IF(AF6="",0,AE6-AF6)</f>
        <v>0</v>
      </c>
      <c r="AH6" s="3936"/>
      <c r="AI6" s="3944">
        <v>365</v>
      </c>
      <c r="AJ6" s="3943"/>
      <c r="AK6" s="39">
        <v>2E-3</v>
      </c>
      <c r="AL6" s="40">
        <v>1E-3</v>
      </c>
      <c r="AM6" s="41">
        <v>0.01</v>
      </c>
      <c r="AN6" s="1250" t="s">
        <v>4159</v>
      </c>
      <c r="AO6" s="3895">
        <f ca="1">SUMIF(INDIRECT("'"&amp;AN6&amp;"'"&amp;"!A:A"),"总价",INDIRECT("'"&amp;AN6&amp;"'"&amp;"!B:B"))</f>
        <v>66416</v>
      </c>
      <c r="AP6" s="3895">
        <f>IF(C6="住宅",K6*L6,0)</f>
        <v>0</v>
      </c>
      <c r="AQ6" s="3895">
        <f>ROUND($L$14*$N$14*S6/10000,0)</f>
        <v>0</v>
      </c>
      <c r="AR6" s="3895">
        <f>ROUND($L$14*(1-$N$14)*S6/10000,0)</f>
        <v>0</v>
      </c>
      <c r="AS6" s="3895">
        <f>ROUND(1-1/(1+H6)^F6,3)</f>
        <v>0.751</v>
      </c>
      <c r="AT6" s="1187"/>
      <c r="AU6" s="1187"/>
      <c r="AV6" s="1187"/>
      <c r="AW6" s="1187"/>
      <c r="AX6" s="1187"/>
      <c r="AY6" s="1187"/>
      <c r="AZ6" s="1187"/>
      <c r="BA6" s="1187"/>
      <c r="BB6" s="1187"/>
      <c r="BC6" s="1187"/>
      <c r="BD6" s="1187"/>
      <c r="BE6" s="1187"/>
      <c r="BF6" s="1187"/>
      <c r="BG6" s="1187"/>
      <c r="BH6" s="1187"/>
      <c r="BI6" s="1187"/>
      <c r="BJ6" s="1187"/>
      <c r="BK6" s="1187"/>
      <c r="BL6" s="1187"/>
      <c r="BM6" s="1187"/>
      <c r="BN6" s="1187"/>
      <c r="BO6" s="1187"/>
    </row>
    <row r="7" spans="1:67" s="1121" customFormat="1" ht="14.25">
      <c r="A7" s="1247" t="str">
        <f>'数据-汇总表'!C20</f>
        <v>商业</v>
      </c>
      <c r="B7" s="1248" t="str">
        <f t="shared" ref="B7:B13" si="2">IF(A7=0,"","经营性")</f>
        <v>经营性</v>
      </c>
      <c r="C7" s="1249" t="s">
        <v>660</v>
      </c>
      <c r="D7" s="3399">
        <f>SUMIF(项目基本情况!C$12:I$12,C7,项目基本情况!C$14:I$14)</f>
        <v>40</v>
      </c>
      <c r="E7" s="565">
        <f>IF(B7="","",SUMIF(项目基本情况!C$12:I$12,C7,项目基本情况!C$13:I$13))</f>
        <v>52805</v>
      </c>
      <c r="F7" s="3401">
        <f>SUMIF(项目基本情况!C$12:I$12,C7,项目基本情况!C$15:I$15)</f>
        <v>18.5</v>
      </c>
      <c r="G7" s="3402">
        <f t="shared" si="0"/>
        <v>0.69289999999999996</v>
      </c>
      <c r="H7" s="3403">
        <v>0.05</v>
      </c>
      <c r="I7" s="3403">
        <v>5.5E-2</v>
      </c>
      <c r="J7" s="3404">
        <v>7.0000000000000007E-2</v>
      </c>
      <c r="K7" s="3915">
        <f>SUMIF('数据-汇总表'!C$19:C$33,A7,'数据-汇总表'!E$19:E$33)</f>
        <v>12972.44</v>
      </c>
      <c r="L7" s="3916">
        <v>5000</v>
      </c>
      <c r="M7" s="3917">
        <f t="shared" si="1"/>
        <v>6486</v>
      </c>
      <c r="N7" s="3391">
        <v>0.92</v>
      </c>
      <c r="O7" s="3917" t="str">
        <f t="shared" ref="O7:O14" si="3">IF($N$5="成新度","——",ROUND(M7*N7,0))</f>
        <v>——</v>
      </c>
      <c r="P7" s="3748" t="str">
        <f t="shared" ref="P7:P14" si="4">IF($N$5="成新度","——",M7-O7)</f>
        <v>——</v>
      </c>
      <c r="Q7" s="3392">
        <v>0.2</v>
      </c>
      <c r="R7" s="3931">
        <f ca="1">SUMIF('数据-汇总表'!C$19:C$33,A7,'数据-汇总表'!R$19:R$27)</f>
        <v>3716.64</v>
      </c>
      <c r="S7" s="3895">
        <f>IF('数据-汇总表'!$I$17="按面积比例",SUMIF('数据-汇总表'!C$19:C$33,A7,'数据-汇总表'!K$19:K$33),SUMIF('数据-汇总表'!C$19:C$33,A7,'数据-汇总表'!N$19:N$33))</f>
        <v>0</v>
      </c>
      <c r="T7" s="3932">
        <f t="shared" ref="T7:T13" si="5">ROUND($L$14*S7/10000,0)</f>
        <v>0</v>
      </c>
      <c r="U7" s="3936">
        <v>3.5</v>
      </c>
      <c r="V7" s="36">
        <v>0.02</v>
      </c>
      <c r="W7" s="36">
        <v>0.1</v>
      </c>
      <c r="X7" s="702"/>
      <c r="Y7" s="37">
        <f t="shared" ref="Y7:Y9" si="6">N7</f>
        <v>0.92</v>
      </c>
      <c r="Z7" s="3941"/>
      <c r="AA7" s="35"/>
      <c r="AB7" s="35"/>
      <c r="AC7" s="702"/>
      <c r="AD7" s="38"/>
      <c r="AE7" s="703">
        <f t="shared" ref="AE7:AE13" ca="1" si="7">IF(AN7="",0,SUMIF(INDIRECT("'"&amp;AN7&amp;"'"&amp;"!E:E"),$AE$5,INDIRECT("'"&amp;AN7&amp;"'"&amp;"!F:F")))</f>
        <v>18.5</v>
      </c>
      <c r="AF7" s="3943"/>
      <c r="AG7" s="52">
        <f t="shared" ref="AG7:AG13" si="8">IF(AF7="",0,AE7-AF7)</f>
        <v>0</v>
      </c>
      <c r="AH7" s="3936"/>
      <c r="AI7" s="3944">
        <v>365</v>
      </c>
      <c r="AJ7" s="3943"/>
      <c r="AK7" s="39">
        <v>2E-3</v>
      </c>
      <c r="AL7" s="40">
        <v>1E-3</v>
      </c>
      <c r="AM7" s="41">
        <v>0.01</v>
      </c>
      <c r="AN7" s="1250" t="s">
        <v>4161</v>
      </c>
      <c r="AO7" s="3895">
        <f t="shared" ref="AO7:AO13" ca="1" si="9">SUMIF(INDIRECT("'"&amp;AN7&amp;"'"&amp;"!A:A"),"总价",INDIRECT("'"&amp;AN7&amp;"'"&amp;"!B:B"))</f>
        <v>19729</v>
      </c>
      <c r="AP7" s="3895">
        <f t="shared" ref="AP7:AP13" si="10">IF(C7="住宅",K7*L7,0)</f>
        <v>0</v>
      </c>
      <c r="AQ7" s="3895">
        <f t="shared" ref="AQ7:AQ13" si="11">ROUND($L$14*$N$14*S7/10000,0)</f>
        <v>0</v>
      </c>
      <c r="AR7" s="3895">
        <f t="shared" ref="AR7:AR13" si="12">ROUND($L$14*(1-$N$14)*S7/10000,0)</f>
        <v>0</v>
      </c>
      <c r="AS7" s="3895">
        <f t="shared" ref="AS7:AS13" si="13">ROUND(1-1/(1+H7)^F7,3)</f>
        <v>0.59399999999999997</v>
      </c>
      <c r="AT7" s="1187"/>
      <c r="AU7" s="1187"/>
      <c r="AV7" s="1187"/>
      <c r="AW7" s="1187"/>
      <c r="AX7" s="1187"/>
      <c r="AY7" s="1187"/>
      <c r="AZ7" s="1187"/>
      <c r="BA7" s="1187"/>
      <c r="BB7" s="1187"/>
      <c r="BC7" s="1187"/>
      <c r="BD7" s="1187"/>
      <c r="BE7" s="1187"/>
      <c r="BF7" s="1187"/>
      <c r="BG7" s="1187"/>
      <c r="BH7" s="1187"/>
      <c r="BI7" s="1187"/>
      <c r="BJ7" s="1187"/>
      <c r="BK7" s="1187"/>
      <c r="BL7" s="1187"/>
      <c r="BM7" s="1187"/>
      <c r="BN7" s="1187"/>
      <c r="BO7" s="1187"/>
    </row>
    <row r="8" spans="1:67" s="1121" customFormat="1" ht="14.25">
      <c r="A8" s="1247" t="str">
        <f>'数据-汇总表'!C21</f>
        <v>地下仓储</v>
      </c>
      <c r="B8" s="1248" t="str">
        <f t="shared" si="2"/>
        <v>经营性</v>
      </c>
      <c r="C8" s="1249" t="s">
        <v>3217</v>
      </c>
      <c r="D8" s="3399">
        <f>SUMIF(项目基本情况!C$12:I$12,C8,项目基本情况!C$14:I$14)</f>
        <v>50</v>
      </c>
      <c r="E8" s="565">
        <f>IF(B8="","",SUMIF(项目基本情况!C$12:I$12,C8,项目基本情况!C$13:I$13))</f>
        <v>56457</v>
      </c>
      <c r="F8" s="3401">
        <f>SUMIF(项目基本情况!C$12:I$12,C8,项目基本情况!C$15:I$15)</f>
        <v>28.51</v>
      </c>
      <c r="G8" s="3402">
        <f t="shared" si="0"/>
        <v>0.82289999999999996</v>
      </c>
      <c r="H8" s="3403">
        <v>0.05</v>
      </c>
      <c r="I8" s="3403">
        <v>5.5E-2</v>
      </c>
      <c r="J8" s="3404">
        <v>7.0000000000000007E-2</v>
      </c>
      <c r="K8" s="3915">
        <f>SUMIF('数据-汇总表'!C$19:C$33,A8,'数据-汇总表'!E$19:E$33)</f>
        <v>195.18</v>
      </c>
      <c r="L8" s="3916">
        <v>5000</v>
      </c>
      <c r="M8" s="3917">
        <f>ROUND(K8*L8/10000,0)</f>
        <v>98</v>
      </c>
      <c r="N8" s="3391">
        <v>0.92</v>
      </c>
      <c r="O8" s="3917" t="str">
        <f t="shared" si="3"/>
        <v>——</v>
      </c>
      <c r="P8" s="3748" t="str">
        <f t="shared" si="4"/>
        <v>——</v>
      </c>
      <c r="Q8" s="3392">
        <v>0.05</v>
      </c>
      <c r="R8" s="3931">
        <f ca="1">SUMIF('数据-汇总表'!C$19:C$33,A8,'数据-汇总表'!R$19:R$27)</f>
        <v>55.92</v>
      </c>
      <c r="S8" s="3895">
        <f>IF('数据-汇总表'!$I$17="按面积比例",SUMIF('数据-汇总表'!C$19:C$33,A8,'数据-汇总表'!K$19:K$33),SUMIF('数据-汇总表'!C$19:C$33,A8,'数据-汇总表'!N$19:N$33))</f>
        <v>0</v>
      </c>
      <c r="T8" s="3932">
        <f t="shared" si="5"/>
        <v>0</v>
      </c>
      <c r="U8" s="3937">
        <v>0.5</v>
      </c>
      <c r="V8" s="499">
        <v>0.02</v>
      </c>
      <c r="W8" s="499">
        <v>0.1</v>
      </c>
      <c r="X8" s="702"/>
      <c r="Y8" s="37">
        <f t="shared" si="6"/>
        <v>0.92</v>
      </c>
      <c r="Z8" s="3941"/>
      <c r="AA8" s="35"/>
      <c r="AB8" s="35"/>
      <c r="AC8" s="702"/>
      <c r="AD8" s="38"/>
      <c r="AE8" s="703">
        <f t="shared" ca="1" si="7"/>
        <v>28.51</v>
      </c>
      <c r="AF8" s="3943"/>
      <c r="AG8" s="52">
        <f t="shared" si="8"/>
        <v>0</v>
      </c>
      <c r="AH8" s="3937"/>
      <c r="AI8" s="3944">
        <v>365</v>
      </c>
      <c r="AJ8" s="3943"/>
      <c r="AK8" s="500">
        <v>2E-3</v>
      </c>
      <c r="AL8" s="501">
        <v>1E-3</v>
      </c>
      <c r="AM8" s="502">
        <v>0.01</v>
      </c>
      <c r="AN8" s="1250" t="s">
        <v>4163</v>
      </c>
      <c r="AO8" s="3895">
        <f t="shared" ca="1" si="9"/>
        <v>52.482799999999997</v>
      </c>
      <c r="AP8" s="3895">
        <f t="shared" si="10"/>
        <v>0</v>
      </c>
      <c r="AQ8" s="3895">
        <f t="shared" si="11"/>
        <v>0</v>
      </c>
      <c r="AR8" s="3895">
        <f t="shared" si="12"/>
        <v>0</v>
      </c>
      <c r="AS8" s="3895">
        <f t="shared" si="13"/>
        <v>0.751</v>
      </c>
      <c r="AT8" s="1187"/>
      <c r="AU8" s="1187"/>
      <c r="AV8" s="1187"/>
      <c r="AW8" s="1187"/>
      <c r="AX8" s="1187"/>
      <c r="AY8" s="1187"/>
      <c r="AZ8" s="1187"/>
      <c r="BA8" s="1187"/>
      <c r="BB8" s="1187"/>
      <c r="BC8" s="1187"/>
      <c r="BD8" s="1187"/>
      <c r="BE8" s="1187"/>
      <c r="BF8" s="1187"/>
      <c r="BG8" s="1187"/>
      <c r="BH8" s="1187"/>
      <c r="BI8" s="1187"/>
      <c r="BJ8" s="1187"/>
      <c r="BK8" s="1187"/>
      <c r="BL8" s="1187"/>
      <c r="BM8" s="1187"/>
      <c r="BN8" s="1187"/>
      <c r="BO8" s="1187"/>
    </row>
    <row r="9" spans="1:67" s="1121" customFormat="1" ht="14.25">
      <c r="A9" s="1247" t="str">
        <f>'数据-汇总表'!C22</f>
        <v>地下车库</v>
      </c>
      <c r="B9" s="1248" t="str">
        <f t="shared" si="2"/>
        <v>经营性</v>
      </c>
      <c r="C9" s="1249" t="s">
        <v>3216</v>
      </c>
      <c r="D9" s="3399">
        <f>SUMIF(项目基本情况!C$12:I$12,C9,项目基本情况!C$14:I$14)</f>
        <v>50</v>
      </c>
      <c r="E9" s="565">
        <f>IF(B9="","",SUMIF(项目基本情况!C$12:I$12,C9,项目基本情况!C$13:I$13))</f>
        <v>56457</v>
      </c>
      <c r="F9" s="3401">
        <f>SUMIF(项目基本情况!C$12:I$12,C9,项目基本情况!C$15:I$15)</f>
        <v>28.51</v>
      </c>
      <c r="G9" s="3402">
        <f t="shared" si="0"/>
        <v>0.82289999999999996</v>
      </c>
      <c r="H9" s="3403">
        <v>0.05</v>
      </c>
      <c r="I9" s="3403">
        <v>5.5E-2</v>
      </c>
      <c r="J9" s="3404">
        <v>7.0000000000000007E-2</v>
      </c>
      <c r="K9" s="3915">
        <f>SUMIF('数据-汇总表'!C$19:C$33,A9,'数据-汇总表'!E$19:E$33)</f>
        <v>4784.37</v>
      </c>
      <c r="L9" s="3916">
        <v>5000</v>
      </c>
      <c r="M9" s="3917">
        <f t="shared" si="1"/>
        <v>2392</v>
      </c>
      <c r="N9" s="3391">
        <v>0.92</v>
      </c>
      <c r="O9" s="3917" t="str">
        <f t="shared" si="3"/>
        <v>——</v>
      </c>
      <c r="P9" s="3748" t="str">
        <f t="shared" si="4"/>
        <v>——</v>
      </c>
      <c r="Q9" s="3393">
        <v>0.05</v>
      </c>
      <c r="R9" s="3931">
        <f ca="1">SUMIF('数据-汇总表'!C$19:C$33,A9,'数据-汇总表'!R$19:R$27)</f>
        <v>1370.73</v>
      </c>
      <c r="S9" s="3895">
        <f>IF('数据-汇总表'!$I$17="按面积比例",SUMIF('数据-汇总表'!C$19:C$33,A9,'数据-汇总表'!K$19:K$33),SUMIF('数据-汇总表'!C$19:C$33,A9,'数据-汇总表'!N$19:N$33))</f>
        <v>0</v>
      </c>
      <c r="T9" s="3932">
        <f t="shared" si="5"/>
        <v>0</v>
      </c>
      <c r="U9" s="3936">
        <f>ROUND(600/30/35,2)</f>
        <v>0.56999999999999995</v>
      </c>
      <c r="V9" s="36">
        <v>0.01</v>
      </c>
      <c r="W9" s="36">
        <v>0.1</v>
      </c>
      <c r="X9" s="702"/>
      <c r="Y9" s="37">
        <f t="shared" si="6"/>
        <v>0.92</v>
      </c>
      <c r="Z9" s="3941"/>
      <c r="AA9" s="35"/>
      <c r="AB9" s="35"/>
      <c r="AC9" s="702"/>
      <c r="AD9" s="38"/>
      <c r="AE9" s="703">
        <f t="shared" ca="1" si="7"/>
        <v>28.51</v>
      </c>
      <c r="AF9" s="3943"/>
      <c r="AG9" s="52">
        <f t="shared" si="8"/>
        <v>0</v>
      </c>
      <c r="AH9" s="3936"/>
      <c r="AI9" s="3944">
        <v>365</v>
      </c>
      <c r="AJ9" s="3943"/>
      <c r="AK9" s="39">
        <v>2E-3</v>
      </c>
      <c r="AL9" s="40">
        <v>1E-3</v>
      </c>
      <c r="AM9" s="41">
        <v>0.01</v>
      </c>
      <c r="AN9" s="1250" t="s">
        <v>4165</v>
      </c>
      <c r="AO9" s="3895">
        <f t="shared" ca="1" si="9"/>
        <v>1340</v>
      </c>
      <c r="AP9" s="3895">
        <f t="shared" si="10"/>
        <v>0</v>
      </c>
      <c r="AQ9" s="3895">
        <f t="shared" si="11"/>
        <v>0</v>
      </c>
      <c r="AR9" s="3895">
        <f t="shared" si="12"/>
        <v>0</v>
      </c>
      <c r="AS9" s="3895">
        <f t="shared" si="13"/>
        <v>0.751</v>
      </c>
      <c r="AT9" s="1187"/>
      <c r="AU9" s="1187"/>
      <c r="AV9" s="1187"/>
      <c r="AW9" s="1187"/>
      <c r="AX9" s="1187"/>
      <c r="AY9" s="1187"/>
      <c r="AZ9" s="1187"/>
      <c r="BA9" s="1187"/>
      <c r="BB9" s="1187"/>
      <c r="BC9" s="1187"/>
      <c r="BD9" s="1187"/>
      <c r="BE9" s="1187"/>
      <c r="BF9" s="1187"/>
      <c r="BG9" s="1187"/>
      <c r="BH9" s="1187"/>
      <c r="BI9" s="1187"/>
      <c r="BJ9" s="1187"/>
      <c r="BK9" s="1187"/>
      <c r="BL9" s="1187"/>
      <c r="BM9" s="1187"/>
      <c r="BN9" s="1187"/>
      <c r="BO9" s="1187"/>
    </row>
    <row r="10" spans="1:67" s="1121" customFormat="1" ht="14.25">
      <c r="A10" s="1247">
        <f>'数据-汇总表'!C23</f>
        <v>0</v>
      </c>
      <c r="B10" s="1248" t="str">
        <f t="shared" si="2"/>
        <v/>
      </c>
      <c r="C10" s="1249"/>
      <c r="D10" s="3399">
        <f>SUMIF(项目基本情况!C$12:I$12,C10,项目基本情况!C$14:I$14)</f>
        <v>0</v>
      </c>
      <c r="E10" s="565" t="str">
        <f>IF(B10="","",SUMIF(项目基本情况!C$12:I$12,C10,项目基本情况!C$13:I$13))</f>
        <v/>
      </c>
      <c r="F10" s="3401">
        <f>SUMIF(项目基本情况!C$12:I$12,C10,项目基本情况!C$15:I$15)</f>
        <v>0</v>
      </c>
      <c r="G10" s="3402">
        <f t="shared" si="0"/>
        <v>0</v>
      </c>
      <c r="H10" s="3404"/>
      <c r="I10" s="3404"/>
      <c r="J10" s="3404"/>
      <c r="K10" s="3915">
        <f>SUMIF('数据-汇总表'!C$19:C$33,A10,'数据-汇总表'!E$19:E$33)</f>
        <v>0</v>
      </c>
      <c r="L10" s="3916"/>
      <c r="M10" s="3917">
        <f t="shared" si="1"/>
        <v>0</v>
      </c>
      <c r="N10" s="3391"/>
      <c r="O10" s="3917" t="str">
        <f t="shared" si="3"/>
        <v>——</v>
      </c>
      <c r="P10" s="3748" t="str">
        <f t="shared" si="4"/>
        <v>——</v>
      </c>
      <c r="Q10" s="3393"/>
      <c r="R10" s="3931">
        <f ca="1">SUMIF('数据-汇总表'!C$19:C$33,A10,'数据-汇总表'!R$19:R$27)</f>
        <v>0</v>
      </c>
      <c r="S10" s="3895">
        <f>IF('数据-汇总表'!$I$17="按面积比例",SUMIF('数据-汇总表'!C$19:C$33,A10,'数据-汇总表'!K$19:K$33),SUMIF('数据-汇总表'!C$19:C$33,A10,'数据-汇总表'!N$19:N$33))</f>
        <v>0</v>
      </c>
      <c r="T10" s="3932">
        <f t="shared" si="5"/>
        <v>0</v>
      </c>
      <c r="U10" s="3936"/>
      <c r="V10" s="36"/>
      <c r="W10" s="36"/>
      <c r="X10" s="702"/>
      <c r="Y10" s="37"/>
      <c r="Z10" s="3941"/>
      <c r="AA10" s="35"/>
      <c r="AB10" s="35"/>
      <c r="AC10" s="702"/>
      <c r="AD10" s="38"/>
      <c r="AE10" s="703">
        <f t="shared" ca="1" si="7"/>
        <v>0</v>
      </c>
      <c r="AF10" s="3943"/>
      <c r="AG10" s="52">
        <f t="shared" si="8"/>
        <v>0</v>
      </c>
      <c r="AH10" s="3936"/>
      <c r="AI10" s="3944"/>
      <c r="AJ10" s="3943"/>
      <c r="AK10" s="39"/>
      <c r="AL10" s="40"/>
      <c r="AM10" s="41"/>
      <c r="AN10" s="1250"/>
      <c r="AO10" s="3895" t="e">
        <f t="shared" ca="1" si="9"/>
        <v>#REF!</v>
      </c>
      <c r="AP10" s="3895">
        <f t="shared" si="10"/>
        <v>0</v>
      </c>
      <c r="AQ10" s="3895">
        <f t="shared" si="11"/>
        <v>0</v>
      </c>
      <c r="AR10" s="3895">
        <f t="shared" si="12"/>
        <v>0</v>
      </c>
      <c r="AS10" s="3895">
        <f t="shared" si="13"/>
        <v>0</v>
      </c>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row>
    <row r="11" spans="1:67" s="1121" customFormat="1" ht="14.25">
      <c r="A11" s="1247">
        <f>'数据-汇总表'!C24</f>
        <v>0</v>
      </c>
      <c r="B11" s="1248" t="str">
        <f t="shared" si="2"/>
        <v/>
      </c>
      <c r="C11" s="1249"/>
      <c r="D11" s="3399">
        <f>SUMIF(项目基本情况!C$12:I$12,C11,项目基本情况!C$14:I$14)</f>
        <v>0</v>
      </c>
      <c r="E11" s="565" t="str">
        <f>IF(B11="","",SUMIF(项目基本情况!C$12:I$12,C11,项目基本情况!C$13:I$13))</f>
        <v/>
      </c>
      <c r="F11" s="3401">
        <f>SUMIF(项目基本情况!C$12:I$12,C11,项目基本情况!C$15:I$15)</f>
        <v>0</v>
      </c>
      <c r="G11" s="3402">
        <f t="shared" si="0"/>
        <v>0</v>
      </c>
      <c r="H11" s="3404"/>
      <c r="I11" s="3404"/>
      <c r="J11" s="3404"/>
      <c r="K11" s="3915">
        <f>SUMIF('数据-汇总表'!C$19:C$33,A11,'数据-汇总表'!E$19:E$33)</f>
        <v>0</v>
      </c>
      <c r="L11" s="3918"/>
      <c r="M11" s="3917">
        <f t="shared" si="1"/>
        <v>0</v>
      </c>
      <c r="N11" s="3391"/>
      <c r="O11" s="3917" t="str">
        <f t="shared" si="3"/>
        <v>——</v>
      </c>
      <c r="P11" s="3748" t="str">
        <f t="shared" si="4"/>
        <v>——</v>
      </c>
      <c r="Q11" s="3393"/>
      <c r="R11" s="3931">
        <f ca="1">SUMIF('数据-汇总表'!C$19:C$33,A11,'数据-汇总表'!R$19:R$27)</f>
        <v>0</v>
      </c>
      <c r="S11" s="3895">
        <f>IF('数据-汇总表'!$I$17="按面积比例",SUMIF('数据-汇总表'!C$19:C$33,A11,'数据-汇总表'!K$19:K$33),SUMIF('数据-汇总表'!C$19:C$33,A11,'数据-汇总表'!N$19:N$33))</f>
        <v>0</v>
      </c>
      <c r="T11" s="3932">
        <f t="shared" si="5"/>
        <v>0</v>
      </c>
      <c r="U11" s="3936"/>
      <c r="V11" s="35"/>
      <c r="W11" s="35"/>
      <c r="X11" s="702"/>
      <c r="Y11" s="37"/>
      <c r="Z11" s="3942"/>
      <c r="AA11" s="35"/>
      <c r="AB11" s="35"/>
      <c r="AC11" s="702"/>
      <c r="AD11" s="38"/>
      <c r="AE11" s="703">
        <f t="shared" ca="1" si="7"/>
        <v>0</v>
      </c>
      <c r="AF11" s="3943"/>
      <c r="AG11" s="52">
        <f t="shared" si="8"/>
        <v>0</v>
      </c>
      <c r="AH11" s="3936"/>
      <c r="AI11" s="3944"/>
      <c r="AJ11" s="3943"/>
      <c r="AK11" s="39"/>
      <c r="AL11" s="40"/>
      <c r="AM11" s="41"/>
      <c r="AN11" s="1250"/>
      <c r="AO11" s="3895" t="e">
        <f t="shared" ca="1" si="9"/>
        <v>#REF!</v>
      </c>
      <c r="AP11" s="3895">
        <f t="shared" si="10"/>
        <v>0</v>
      </c>
      <c r="AQ11" s="3895">
        <f t="shared" si="11"/>
        <v>0</v>
      </c>
      <c r="AR11" s="3895">
        <f t="shared" si="12"/>
        <v>0</v>
      </c>
      <c r="AS11" s="3895">
        <f t="shared" si="13"/>
        <v>0</v>
      </c>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row>
    <row r="12" spans="1:67" s="1121" customFormat="1" ht="14.25">
      <c r="A12" s="1247">
        <f>'数据-汇总表'!C25</f>
        <v>0</v>
      </c>
      <c r="B12" s="1248" t="str">
        <f t="shared" si="2"/>
        <v/>
      </c>
      <c r="C12" s="1249"/>
      <c r="D12" s="3399">
        <f>SUMIF(项目基本情况!C$12:I$12,C12,项目基本情况!C$14:I$14)</f>
        <v>0</v>
      </c>
      <c r="E12" s="565" t="str">
        <f>IF(B12="","",SUMIF(项目基本情况!C$12:I$12,C12,项目基本情况!C$13:I$13))</f>
        <v/>
      </c>
      <c r="F12" s="3401">
        <f>SUMIF(项目基本情况!C$12:I$12,C12,项目基本情况!C$15:I$15)</f>
        <v>0</v>
      </c>
      <c r="G12" s="3402">
        <f t="shared" si="0"/>
        <v>0</v>
      </c>
      <c r="H12" s="3404"/>
      <c r="I12" s="3404"/>
      <c r="J12" s="3404"/>
      <c r="K12" s="3915">
        <f>SUMIF('数据-汇总表'!C$19:C$33,A12,'数据-汇总表'!E$19:E$33)</f>
        <v>0</v>
      </c>
      <c r="L12" s="3918"/>
      <c r="M12" s="3917">
        <f>ROUND(K12*L12/10000,0)</f>
        <v>0</v>
      </c>
      <c r="N12" s="3391"/>
      <c r="O12" s="3917" t="str">
        <f t="shared" si="3"/>
        <v>——</v>
      </c>
      <c r="P12" s="3748" t="str">
        <f t="shared" si="4"/>
        <v>——</v>
      </c>
      <c r="Q12" s="3393"/>
      <c r="R12" s="3931">
        <f ca="1">SUMIF('数据-汇总表'!C$19:C$33,A12,'数据-汇总表'!R$19:R$27)</f>
        <v>0</v>
      </c>
      <c r="S12" s="3895">
        <f>IF('数据-汇总表'!$I$17="按面积比例",SUMIF('数据-汇总表'!C$19:C$33,A12,'数据-汇总表'!K$19:K$33),SUMIF('数据-汇总表'!C$19:C$33,A12,'数据-汇总表'!N$19:N$33))</f>
        <v>0</v>
      </c>
      <c r="T12" s="3932">
        <f t="shared" si="5"/>
        <v>0</v>
      </c>
      <c r="U12" s="3936"/>
      <c r="V12" s="35"/>
      <c r="W12" s="35"/>
      <c r="X12" s="702"/>
      <c r="Y12" s="37"/>
      <c r="Z12" s="3942"/>
      <c r="AA12" s="35"/>
      <c r="AB12" s="35"/>
      <c r="AC12" s="702"/>
      <c r="AD12" s="38"/>
      <c r="AE12" s="703">
        <f t="shared" ca="1" si="7"/>
        <v>0</v>
      </c>
      <c r="AF12" s="3943"/>
      <c r="AG12" s="52">
        <f t="shared" si="8"/>
        <v>0</v>
      </c>
      <c r="AH12" s="3936"/>
      <c r="AI12" s="3944"/>
      <c r="AJ12" s="3943"/>
      <c r="AK12" s="39"/>
      <c r="AL12" s="40"/>
      <c r="AM12" s="41"/>
      <c r="AN12" s="1250"/>
      <c r="AO12" s="3895" t="e">
        <f t="shared" ca="1" si="9"/>
        <v>#REF!</v>
      </c>
      <c r="AP12" s="3895">
        <f t="shared" si="10"/>
        <v>0</v>
      </c>
      <c r="AQ12" s="3895">
        <f t="shared" si="11"/>
        <v>0</v>
      </c>
      <c r="AR12" s="3895">
        <f t="shared" si="12"/>
        <v>0</v>
      </c>
      <c r="AS12" s="3895">
        <f t="shared" si="13"/>
        <v>0</v>
      </c>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row>
    <row r="13" spans="1:67" s="1121" customFormat="1" ht="14.25">
      <c r="A13" s="1247">
        <f>'数据-汇总表'!C26</f>
        <v>0</v>
      </c>
      <c r="B13" s="1248" t="str">
        <f t="shared" si="2"/>
        <v/>
      </c>
      <c r="C13" s="1249"/>
      <c r="D13" s="3399">
        <f>SUMIF(项目基本情况!C$12:I$12,C13,项目基本情况!C$14:I$14)</f>
        <v>0</v>
      </c>
      <c r="E13" s="565" t="str">
        <f>IF(B13="","",SUMIF(项目基本情况!C$12:I$12,C13,项目基本情况!C$13:I$13))</f>
        <v/>
      </c>
      <c r="F13" s="3401">
        <f>SUMIF(项目基本情况!C$12:I$12,C13,项目基本情况!C$15:I$15)</f>
        <v>0</v>
      </c>
      <c r="G13" s="3402">
        <f t="shared" si="0"/>
        <v>0</v>
      </c>
      <c r="H13" s="3404"/>
      <c r="I13" s="3404"/>
      <c r="J13" s="3404"/>
      <c r="K13" s="3915">
        <f>SUMIF('数据-汇总表'!C$19:C$33,A13,'数据-汇总表'!E$19:E$33)</f>
        <v>0</v>
      </c>
      <c r="L13" s="3918"/>
      <c r="M13" s="3917">
        <f>ROUND(K13*L13/10000,0)</f>
        <v>0</v>
      </c>
      <c r="N13" s="3394"/>
      <c r="O13" s="3917" t="str">
        <f t="shared" si="3"/>
        <v>——</v>
      </c>
      <c r="P13" s="3748" t="str">
        <f t="shared" si="4"/>
        <v>——</v>
      </c>
      <c r="Q13" s="3393"/>
      <c r="R13" s="3931">
        <f ca="1">SUMIF('数据-汇总表'!C$19:C$33,A13,'数据-汇总表'!R$19:R$27)</f>
        <v>0</v>
      </c>
      <c r="S13" s="3895">
        <f>IF('数据-汇总表'!$I$17="按面积比例",SUMIF('数据-汇总表'!C$19:C$33,A13,'数据-汇总表'!K$19:K$33),SUMIF('数据-汇总表'!C$19:C$33,A13,'数据-汇总表'!N$19:N$33))</f>
        <v>0</v>
      </c>
      <c r="T13" s="3932">
        <f t="shared" si="5"/>
        <v>0</v>
      </c>
      <c r="U13" s="3938"/>
      <c r="V13" s="36"/>
      <c r="W13" s="36"/>
      <c r="X13" s="702"/>
      <c r="Y13" s="37"/>
      <c r="Z13" s="3941"/>
      <c r="AA13" s="35"/>
      <c r="AB13" s="35"/>
      <c r="AC13" s="702"/>
      <c r="AD13" s="38"/>
      <c r="AE13" s="703">
        <f t="shared" ca="1" si="7"/>
        <v>0</v>
      </c>
      <c r="AF13" s="3943"/>
      <c r="AG13" s="52">
        <f t="shared" si="8"/>
        <v>0</v>
      </c>
      <c r="AH13" s="3936"/>
      <c r="AI13" s="3944"/>
      <c r="AJ13" s="3943"/>
      <c r="AK13" s="39"/>
      <c r="AL13" s="40"/>
      <c r="AM13" s="41"/>
      <c r="AN13" s="1250"/>
      <c r="AO13" s="3895" t="e">
        <f t="shared" ca="1" si="9"/>
        <v>#REF!</v>
      </c>
      <c r="AP13" s="3895">
        <f t="shared" si="10"/>
        <v>0</v>
      </c>
      <c r="AQ13" s="3895">
        <f t="shared" si="11"/>
        <v>0</v>
      </c>
      <c r="AR13" s="3895">
        <f t="shared" si="12"/>
        <v>0</v>
      </c>
      <c r="AS13" s="3895">
        <f t="shared" si="13"/>
        <v>0</v>
      </c>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row>
    <row r="14" spans="1:67" s="1121" customFormat="1" ht="14.25">
      <c r="A14" s="1251" t="s">
        <v>1189</v>
      </c>
      <c r="B14" s="1248" t="s">
        <v>1190</v>
      </c>
      <c r="C14" s="1252" t="s">
        <v>1189</v>
      </c>
      <c r="D14" s="3399"/>
      <c r="E14" s="565"/>
      <c r="F14" s="3401"/>
      <c r="G14" s="3402"/>
      <c r="H14" s="3405"/>
      <c r="I14" s="3405"/>
      <c r="J14" s="3405"/>
      <c r="K14" s="3915">
        <f>SUMIF('数据-汇总表'!C$19:C$33,A14,'数据-汇总表'!E$19:E$33)</f>
        <v>0</v>
      </c>
      <c r="L14" s="3918"/>
      <c r="M14" s="3917">
        <f t="shared" si="1"/>
        <v>0</v>
      </c>
      <c r="N14" s="3394"/>
      <c r="O14" s="3917" t="str">
        <f t="shared" si="3"/>
        <v>——</v>
      </c>
      <c r="P14" s="3748" t="str">
        <f t="shared" si="4"/>
        <v>——</v>
      </c>
      <c r="Q14" s="3395"/>
      <c r="R14" s="3931"/>
      <c r="S14" s="3895"/>
      <c r="T14" s="3932"/>
      <c r="U14" s="3939"/>
      <c r="V14" s="698"/>
      <c r="W14" s="698"/>
      <c r="X14" s="699"/>
      <c r="Y14" s="700"/>
      <c r="Z14" s="30"/>
      <c r="AA14" s="701"/>
      <c r="AB14" s="701"/>
      <c r="AC14" s="702"/>
      <c r="AD14" s="699"/>
      <c r="AE14" s="703"/>
      <c r="AF14" s="28"/>
      <c r="AG14" s="52"/>
      <c r="AH14" s="703"/>
      <c r="AI14" s="3883"/>
      <c r="AJ14" s="28"/>
      <c r="AK14" s="704"/>
      <c r="AL14" s="705"/>
      <c r="AM14" s="706"/>
      <c r="AN14" s="1971"/>
      <c r="AO14" s="3424"/>
      <c r="AP14" s="3424"/>
      <c r="AQ14" s="3424"/>
      <c r="AR14" s="3424"/>
      <c r="AS14" s="3425"/>
      <c r="AT14" s="1187"/>
      <c r="AU14" s="1187"/>
      <c r="AV14" s="1187"/>
      <c r="AW14" s="1187"/>
      <c r="AX14" s="1187"/>
      <c r="AY14" s="1187"/>
      <c r="AZ14" s="1187"/>
      <c r="BA14" s="1187"/>
      <c r="BB14" s="1187"/>
      <c r="BC14" s="1187"/>
      <c r="BD14" s="1187"/>
      <c r="BE14" s="1187"/>
      <c r="BF14" s="1187"/>
      <c r="BG14" s="1187"/>
      <c r="BH14" s="1187"/>
      <c r="BI14" s="1187"/>
      <c r="BJ14" s="1187"/>
      <c r="BK14" s="1187"/>
      <c r="BL14" s="1187"/>
      <c r="BM14" s="1187"/>
      <c r="BN14" s="1187"/>
      <c r="BO14" s="1187"/>
    </row>
    <row r="15" spans="1:67" s="1121" customFormat="1" ht="14.25">
      <c r="A15" s="1251" t="s">
        <v>1191</v>
      </c>
      <c r="B15" s="1248" t="s">
        <v>1190</v>
      </c>
      <c r="C15" s="1252" t="s">
        <v>1192</v>
      </c>
      <c r="D15" s="3399"/>
      <c r="E15" s="565"/>
      <c r="F15" s="3401"/>
      <c r="G15" s="3402"/>
      <c r="H15" s="3405"/>
      <c r="I15" s="3405"/>
      <c r="J15" s="3405"/>
      <c r="K15" s="3915">
        <f>SUMIF('数据-汇总表'!C$19:C$33,A15,'数据-汇总表'!E$19:E$33)</f>
        <v>0</v>
      </c>
      <c r="L15" s="3917"/>
      <c r="M15" s="3917"/>
      <c r="N15" s="3396"/>
      <c r="O15" s="3917"/>
      <c r="P15" s="3748"/>
      <c r="Q15" s="3395"/>
      <c r="R15" s="3931"/>
      <c r="S15" s="3895"/>
      <c r="T15" s="3932"/>
      <c r="U15" s="3939"/>
      <c r="V15" s="698"/>
      <c r="W15" s="698"/>
      <c r="X15" s="699"/>
      <c r="Y15" s="700"/>
      <c r="Z15" s="30"/>
      <c r="AA15" s="701"/>
      <c r="AB15" s="701"/>
      <c r="AC15" s="702"/>
      <c r="AD15" s="699"/>
      <c r="AE15" s="703"/>
      <c r="AF15" s="28"/>
      <c r="AG15" s="52"/>
      <c r="AH15" s="703"/>
      <c r="AI15" s="3883"/>
      <c r="AJ15" s="28"/>
      <c r="AK15" s="704"/>
      <c r="AL15" s="705"/>
      <c r="AM15" s="706"/>
      <c r="AN15" s="1971"/>
      <c r="AO15" s="3424"/>
      <c r="AP15" s="3424"/>
      <c r="AQ15" s="3424"/>
      <c r="AR15" s="3424"/>
      <c r="AS15" s="3425"/>
      <c r="AT15" s="1187"/>
      <c r="AU15" s="1187"/>
      <c r="AV15" s="1187"/>
      <c r="AW15" s="1187"/>
      <c r="AX15" s="1187"/>
      <c r="AY15" s="1187"/>
      <c r="AZ15" s="1187"/>
      <c r="BA15" s="1187"/>
      <c r="BB15" s="1187"/>
      <c r="BC15" s="1187"/>
      <c r="BD15" s="1187"/>
      <c r="BE15" s="1187"/>
      <c r="BF15" s="1187"/>
      <c r="BG15" s="1187"/>
      <c r="BH15" s="1187"/>
      <c r="BI15" s="1187"/>
      <c r="BJ15" s="1187"/>
      <c r="BK15" s="1187"/>
      <c r="BL15" s="1187"/>
      <c r="BM15" s="1187"/>
      <c r="BN15" s="1187"/>
      <c r="BO15" s="1187"/>
    </row>
    <row r="16" spans="1:67" s="1121" customFormat="1" ht="15.75" thickBot="1">
      <c r="A16" s="1253" t="s">
        <v>1193</v>
      </c>
      <c r="B16" s="42"/>
      <c r="C16" s="551"/>
      <c r="D16" s="3400"/>
      <c r="E16" s="42"/>
      <c r="F16" s="3406"/>
      <c r="G16" s="3407">
        <f>ROUND(SUMPRODUCT(G6:G13,K6:K13)/SUMPRODUCT((G6:G13&gt;0)*(K6:K13)),4)</f>
        <v>0.79349999999999998</v>
      </c>
      <c r="H16" s="3408">
        <f>ROUND(SUMPRODUCT(H6:H13,K6:K13)/SUMPRODUCT((H6:H13&gt;0)*(K6:K13)),3)</f>
        <v>0.05</v>
      </c>
      <c r="I16" s="3409"/>
      <c r="J16" s="3409"/>
      <c r="K16" s="3919">
        <f>SUM(K6:K15)</f>
        <v>57408.26</v>
      </c>
      <c r="L16" s="3920">
        <f>ROUND(M16*10000/SUM(K6:K14),0)</f>
        <v>5000</v>
      </c>
      <c r="M16" s="3920">
        <f>SUM(M6:M14)</f>
        <v>28704</v>
      </c>
      <c r="N16" s="3397">
        <f>ROUND(SUMPRODUCT(M6:M14,N6:N14)/M16,3)</f>
        <v>0.92</v>
      </c>
      <c r="O16" s="3920">
        <f>SUM(O6:O14)</f>
        <v>0</v>
      </c>
      <c r="P16" s="3920">
        <f>SUM(P6:P14)</f>
        <v>0</v>
      </c>
      <c r="Q16" s="3398">
        <f>ROUND(SUMPRODUCT(Q6:Q13,K6:K13)/SUMPRODUCT((Q6:Q13&gt;0)*(K6:K13)),2)</f>
        <v>0.15</v>
      </c>
      <c r="R16" s="3933">
        <f ca="1">SUM(R6:R13)</f>
        <v>16447.62</v>
      </c>
      <c r="S16" s="3934">
        <f>SUM(S6:S13)</f>
        <v>0</v>
      </c>
      <c r="T16" s="3935">
        <f>IF(SUMIF(T6:T13,"&lt;9E307")=M14,SUMIF(T6:T13,"&lt;9E307"),"有误，请检查")</f>
        <v>0</v>
      </c>
      <c r="U16" s="3940"/>
      <c r="V16" s="43"/>
      <c r="W16" s="43"/>
      <c r="X16" s="45"/>
      <c r="Y16" s="44"/>
      <c r="Z16" s="1959"/>
      <c r="AA16" s="43"/>
      <c r="AB16" s="43"/>
      <c r="AC16" s="45"/>
      <c r="AD16" s="45"/>
      <c r="AE16" s="3940"/>
      <c r="AF16" s="43"/>
      <c r="AG16" s="44"/>
      <c r="AH16" s="3940"/>
      <c r="AI16" s="1959"/>
      <c r="AJ16" s="1959"/>
      <c r="AK16" s="43"/>
      <c r="AL16" s="43"/>
      <c r="AM16" s="44"/>
      <c r="AN16" s="1971"/>
      <c r="AO16" s="3424"/>
      <c r="AP16" s="3424"/>
      <c r="AQ16" s="3424"/>
      <c r="AR16" s="3424"/>
      <c r="AS16" s="3895">
        <f>ROUND(SUMPRODUCT(AS6:AS13,K6:K13)/SUMPRODUCT((AS6:AS13&gt;0)*(K6:K13)),3)</f>
        <v>0.71599999999999997</v>
      </c>
      <c r="AT16" s="1187"/>
      <c r="AU16" s="1187"/>
      <c r="AV16" s="1187"/>
      <c r="AW16" s="1187"/>
      <c r="AX16" s="1187"/>
      <c r="AY16" s="1187"/>
      <c r="AZ16" s="1187"/>
      <c r="BA16" s="1187"/>
      <c r="BB16" s="1187"/>
      <c r="BC16" s="1187"/>
      <c r="BD16" s="1187"/>
      <c r="BE16" s="1187"/>
      <c r="BF16" s="1187"/>
      <c r="BG16" s="1187"/>
      <c r="BH16" s="1187"/>
      <c r="BI16" s="1187"/>
      <c r="BJ16" s="1187"/>
      <c r="BK16" s="1187"/>
      <c r="BL16" s="1187"/>
      <c r="BM16" s="1187"/>
      <c r="BN16" s="1187"/>
      <c r="BO16" s="1187"/>
    </row>
    <row r="17" spans="1:44" ht="13.5" thickBot="1">
      <c r="A17" s="1254"/>
      <c r="B17" s="1979"/>
      <c r="C17" s="1971"/>
      <c r="D17" s="1973"/>
      <c r="E17" s="1973"/>
      <c r="F17" s="1971"/>
      <c r="G17" s="1971"/>
      <c r="H17" s="1971"/>
      <c r="I17" s="1971"/>
      <c r="J17" s="1971"/>
      <c r="K17" s="1972"/>
      <c r="L17" s="1972"/>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3422"/>
      <c r="AP17" s="3422"/>
      <c r="AQ17" s="3422"/>
      <c r="AR17" s="3422"/>
    </row>
    <row r="18" spans="1:44" ht="15" thickBot="1">
      <c r="A18" s="31" t="s">
        <v>1194</v>
      </c>
      <c r="B18" s="1981"/>
      <c r="C18" s="1961"/>
      <c r="D18" s="1974"/>
      <c r="E18" s="1961"/>
      <c r="F18" s="1961"/>
      <c r="G18" s="1961"/>
      <c r="H18" s="1961"/>
      <c r="I18" s="1961"/>
      <c r="J18" s="1961"/>
      <c r="K18" s="1972"/>
      <c r="L18" s="1972"/>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c r="AN18" s="1971"/>
      <c r="AO18" s="3422"/>
      <c r="AP18" s="3422"/>
      <c r="AQ18" s="3422"/>
      <c r="AR18" s="3422"/>
    </row>
    <row r="19" spans="1:44" ht="14.25">
      <c r="A19" s="3955" t="s">
        <v>1195</v>
      </c>
      <c r="B19" s="3921">
        <v>0</v>
      </c>
      <c r="C19" s="4038" t="s">
        <v>2194</v>
      </c>
      <c r="D19" s="4034"/>
      <c r="E19" s="4035"/>
      <c r="F19" s="4035"/>
      <c r="G19" s="4035"/>
      <c r="H19" s="1961"/>
      <c r="I19" s="1961"/>
      <c r="J19" s="1961"/>
      <c r="K19" s="1972"/>
      <c r="L19" s="1972">
        <v>5500</v>
      </c>
      <c r="M19" s="1971"/>
      <c r="N19" s="1971">
        <v>2021</v>
      </c>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c r="AN19" s="1971"/>
      <c r="AO19" s="3422"/>
      <c r="AP19" s="3422"/>
      <c r="AQ19" s="3422"/>
      <c r="AR19" s="3422"/>
    </row>
    <row r="20" spans="1:44" ht="14.25">
      <c r="A20" s="1255" t="s">
        <v>1196</v>
      </c>
      <c r="B20" s="3922">
        <v>2</v>
      </c>
      <c r="C20" s="4036" t="s">
        <v>3856</v>
      </c>
      <c r="D20" s="4034"/>
      <c r="E20" s="4035"/>
      <c r="F20" s="4035"/>
      <c r="G20" s="4035"/>
      <c r="H20" s="1961"/>
      <c r="I20" s="1961"/>
      <c r="J20" s="1961"/>
      <c r="K20" s="1972"/>
      <c r="L20" s="1972">
        <v>1.0900000000000001</v>
      </c>
      <c r="M20" s="1971"/>
      <c r="N20" s="1971">
        <f>ROUND(1-(2026-N19)/60,2)</f>
        <v>0.92</v>
      </c>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c r="AN20" s="1971"/>
      <c r="AO20" s="3422"/>
      <c r="AP20" s="3422"/>
      <c r="AQ20" s="3422"/>
      <c r="AR20" s="3422"/>
    </row>
    <row r="21" spans="1:44" ht="14.25">
      <c r="A21" s="1256" t="s">
        <v>1197</v>
      </c>
      <c r="B21" s="3922">
        <v>2</v>
      </c>
      <c r="C21" s="1961"/>
      <c r="D21" s="1974"/>
      <c r="E21" s="1961"/>
      <c r="F21" s="1961"/>
      <c r="G21" s="1961"/>
      <c r="H21" s="1961"/>
      <c r="I21" s="1961"/>
      <c r="J21" s="1961"/>
      <c r="K21" s="1972"/>
      <c r="L21" s="1972">
        <f>L19/L20</f>
        <v>5045.8715596330276</v>
      </c>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3422"/>
      <c r="AP21" s="3422"/>
      <c r="AQ21" s="3422"/>
      <c r="AR21" s="3422"/>
    </row>
    <row r="22" spans="1:44" ht="14.25">
      <c r="A22" s="1255" t="s">
        <v>1198</v>
      </c>
      <c r="B22" s="3923">
        <f>B19+B20</f>
        <v>2</v>
      </c>
      <c r="C22" s="1961"/>
      <c r="D22" s="1974"/>
      <c r="E22" s="1961"/>
      <c r="F22" s="1961"/>
      <c r="G22" s="1961"/>
      <c r="H22" s="1961"/>
      <c r="I22" s="1961"/>
      <c r="J22" s="1961"/>
      <c r="K22" s="1972"/>
      <c r="L22" s="1972"/>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c r="AN22" s="1971"/>
      <c r="AO22" s="3422"/>
      <c r="AP22" s="3422"/>
      <c r="AQ22" s="3422"/>
      <c r="AR22" s="3422"/>
    </row>
    <row r="23" spans="1:44" ht="14.25">
      <c r="A23" s="1256" t="s">
        <v>1199</v>
      </c>
      <c r="B23" s="3923">
        <f>B19+B21</f>
        <v>2</v>
      </c>
      <c r="C23" s="1961"/>
      <c r="D23" s="1974"/>
      <c r="E23" s="1961"/>
      <c r="F23" s="1961"/>
      <c r="G23" s="1961"/>
      <c r="H23" s="1961"/>
      <c r="I23" s="1961"/>
      <c r="J23" s="1961"/>
      <c r="K23" s="1972"/>
      <c r="L23" s="1972"/>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3422"/>
      <c r="AP23" s="3422"/>
      <c r="AQ23" s="3422"/>
      <c r="AR23" s="3422"/>
    </row>
    <row r="24" spans="1:44" ht="15" thickBot="1">
      <c r="A24" s="1257" t="s">
        <v>1200</v>
      </c>
      <c r="B24" s="3924">
        <f>B20-B21</f>
        <v>0</v>
      </c>
      <c r="C24" s="1961"/>
      <c r="D24" s="1974"/>
      <c r="E24" s="1961"/>
      <c r="F24" s="1961"/>
      <c r="G24" s="1961"/>
      <c r="H24" s="1961"/>
      <c r="I24" s="1961"/>
      <c r="J24" s="1961"/>
      <c r="K24" s="1972"/>
      <c r="L24" s="1972"/>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3422"/>
      <c r="AP24" s="3422"/>
      <c r="AQ24" s="3422"/>
      <c r="AR24" s="3422"/>
    </row>
    <row r="25" spans="1:44" ht="15" thickBot="1">
      <c r="A25" s="1119"/>
      <c r="B25" s="1208"/>
      <c r="C25" s="1961"/>
      <c r="D25" s="1974"/>
      <c r="E25" s="1961"/>
      <c r="F25" s="3733"/>
      <c r="G25" s="1961"/>
      <c r="H25" s="1961"/>
      <c r="I25" s="1961"/>
      <c r="J25" s="1961"/>
      <c r="K25" s="1972"/>
      <c r="L25" s="1972"/>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c r="AN25" s="1971"/>
      <c r="AO25" s="3422"/>
      <c r="AP25" s="3422"/>
      <c r="AQ25" s="3422"/>
      <c r="AR25" s="3422"/>
    </row>
    <row r="26" spans="1:44" ht="15" thickBot="1">
      <c r="A26" s="1224" t="s">
        <v>1201</v>
      </c>
      <c r="B26" s="1258" t="s">
        <v>1202</v>
      </c>
      <c r="C26" s="4041" t="s">
        <v>1203</v>
      </c>
      <c r="D26" s="1974"/>
      <c r="E26" s="1961"/>
      <c r="F26" s="1961"/>
      <c r="G26" s="1961"/>
      <c r="H26" s="1961"/>
      <c r="I26" s="1961"/>
      <c r="J26" s="1961"/>
      <c r="K26" s="1972"/>
      <c r="L26" s="1972"/>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c r="AN26" s="1971"/>
      <c r="AO26" s="3422"/>
      <c r="AP26" s="3422"/>
      <c r="AQ26" s="3422"/>
      <c r="AR26" s="3422"/>
    </row>
    <row r="27" spans="1:44" ht="14.25">
      <c r="A27" s="1259" t="s">
        <v>1204</v>
      </c>
      <c r="B27" s="3925"/>
      <c r="C27" s="4083" t="s">
        <v>2195</v>
      </c>
      <c r="D27" s="4039"/>
      <c r="E27" s="4040"/>
      <c r="F27" s="4040"/>
      <c r="G27" s="1961"/>
      <c r="H27" s="1961"/>
      <c r="I27" s="1961"/>
      <c r="J27" s="1961"/>
      <c r="K27" s="1972"/>
      <c r="L27" s="1972"/>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3422"/>
      <c r="AP27" s="3422"/>
      <c r="AQ27" s="3422"/>
      <c r="AR27" s="3422"/>
    </row>
    <row r="28" spans="1:44" ht="14.25">
      <c r="A28" s="1260" t="s">
        <v>1205</v>
      </c>
      <c r="B28" s="3926">
        <v>200</v>
      </c>
      <c r="C28" s="4084"/>
      <c r="D28" s="1976"/>
      <c r="E28" s="1962"/>
      <c r="F28" s="1962"/>
      <c r="G28" s="1961"/>
      <c r="H28" s="1961"/>
      <c r="I28" s="1961"/>
      <c r="J28" s="1961"/>
      <c r="K28" s="1972"/>
      <c r="L28" s="1972"/>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1"/>
      <c r="AO28" s="3422"/>
      <c r="AP28" s="3422"/>
      <c r="AQ28" s="3422"/>
      <c r="AR28" s="3422"/>
    </row>
    <row r="29" spans="1:44" ht="15" thickBot="1">
      <c r="A29" s="1261" t="s">
        <v>1206</v>
      </c>
      <c r="B29" s="3927"/>
      <c r="C29" s="4085" t="s">
        <v>3855</v>
      </c>
      <c r="D29" s="4039"/>
      <c r="E29" s="4040"/>
      <c r="F29" s="4040"/>
      <c r="G29" s="1961"/>
      <c r="H29" s="1961"/>
      <c r="I29" s="1961"/>
      <c r="J29" s="1961"/>
      <c r="K29" s="1972"/>
      <c r="L29" s="1972"/>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1"/>
      <c r="AO29" s="3422"/>
      <c r="AP29" s="3422"/>
      <c r="AQ29" s="3422"/>
      <c r="AR29" s="3422"/>
    </row>
    <row r="30" spans="1:44" ht="14.25">
      <c r="A30" s="1262" t="s">
        <v>1207</v>
      </c>
      <c r="B30" s="3928">
        <v>130</v>
      </c>
      <c r="C30" s="4090" t="s">
        <v>3989</v>
      </c>
      <c r="D30" s="4039"/>
      <c r="E30" s="4040"/>
      <c r="F30" s="4040"/>
      <c r="G30" s="1961"/>
      <c r="H30" s="1961"/>
      <c r="I30" s="1961"/>
      <c r="J30" s="1961"/>
      <c r="K30" s="1972"/>
      <c r="L30" s="1972"/>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3422"/>
      <c r="AP30" s="3422"/>
      <c r="AQ30" s="3422"/>
      <c r="AR30" s="3422"/>
    </row>
    <row r="31" spans="1:44" ht="14.25">
      <c r="A31" s="1260" t="s">
        <v>1208</v>
      </c>
      <c r="B31" s="3923">
        <f>B30-B32</f>
        <v>130</v>
      </c>
      <c r="C31" s="1975"/>
      <c r="D31" s="1976"/>
      <c r="E31" s="1962"/>
      <c r="F31" s="1962"/>
      <c r="G31" s="1961"/>
      <c r="H31" s="1961"/>
      <c r="I31" s="1961"/>
      <c r="J31" s="1961"/>
      <c r="K31" s="1972"/>
      <c r="L31" s="1972"/>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1"/>
      <c r="AO31" s="3422"/>
      <c r="AP31" s="3422"/>
      <c r="AQ31" s="3422"/>
      <c r="AR31" s="3422"/>
    </row>
    <row r="32" spans="1:44" ht="15" thickBot="1">
      <c r="A32" s="1263" t="s">
        <v>1209</v>
      </c>
      <c r="B32" s="3929">
        <v>0</v>
      </c>
      <c r="C32" s="1977"/>
      <c r="D32" s="1974"/>
      <c r="E32" s="1961"/>
      <c r="F32" s="1961"/>
      <c r="G32" s="1961"/>
      <c r="H32" s="1961"/>
      <c r="I32" s="1961"/>
      <c r="J32" s="1961"/>
      <c r="K32" s="1972"/>
      <c r="L32" s="1972"/>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1"/>
      <c r="AO32" s="3422"/>
      <c r="AP32" s="3422"/>
      <c r="AQ32" s="3422"/>
      <c r="AR32" s="3422"/>
    </row>
    <row r="33" spans="1:44" ht="14.25">
      <c r="A33" s="3958" t="s">
        <v>3820</v>
      </c>
      <c r="B33" s="4029">
        <v>0.05</v>
      </c>
      <c r="C33" s="4074" t="s">
        <v>3848</v>
      </c>
      <c r="D33" s="4034"/>
      <c r="E33" s="4035"/>
      <c r="F33" s="4035"/>
      <c r="G33" s="1961"/>
      <c r="H33" s="1961"/>
      <c r="I33" s="1961"/>
      <c r="J33" s="1961"/>
      <c r="K33" s="1972"/>
      <c r="L33" s="1972"/>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1"/>
      <c r="AO33" s="3422"/>
      <c r="AP33" s="3422"/>
      <c r="AQ33" s="3422"/>
      <c r="AR33" s="3422"/>
    </row>
    <row r="34" spans="1:44" ht="14.25">
      <c r="A34" s="1260" t="s">
        <v>1210</v>
      </c>
      <c r="B34" s="4030">
        <v>0</v>
      </c>
      <c r="C34" s="4036" t="s">
        <v>3850</v>
      </c>
      <c r="D34" s="4042"/>
      <c r="E34" s="4037"/>
      <c r="F34" s="4035"/>
      <c r="G34" s="1961"/>
      <c r="H34" s="1961"/>
      <c r="I34" s="1961"/>
      <c r="J34" s="1961"/>
      <c r="K34" s="1972"/>
      <c r="L34" s="1972"/>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c r="AN34" s="1971"/>
      <c r="AO34" s="3422"/>
      <c r="AP34" s="3422"/>
      <c r="AQ34" s="3422"/>
      <c r="AR34" s="3422"/>
    </row>
    <row r="35" spans="1:44" ht="14.25">
      <c r="A35" s="1260" t="s">
        <v>1211</v>
      </c>
      <c r="B35" s="4031">
        <v>300</v>
      </c>
      <c r="C35" s="4038" t="s">
        <v>3852</v>
      </c>
      <c r="D35" s="4039"/>
      <c r="E35" s="4040"/>
      <c r="F35" s="4040"/>
      <c r="G35" s="1961"/>
      <c r="H35" s="1961"/>
      <c r="I35" s="1961"/>
      <c r="J35" s="1961"/>
      <c r="K35" s="1972"/>
      <c r="L35" s="1972"/>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c r="AN35" s="1971"/>
      <c r="AO35" s="3422"/>
      <c r="AP35" s="3422"/>
      <c r="AQ35" s="3422"/>
      <c r="AR35" s="3422"/>
    </row>
    <row r="36" spans="1:44" ht="14.25">
      <c r="A36" s="3956" t="s">
        <v>3289</v>
      </c>
      <c r="B36" s="3410">
        <v>0.01</v>
      </c>
      <c r="C36" s="4075" t="s">
        <v>3851</v>
      </c>
      <c r="D36" s="4039"/>
      <c r="E36" s="4040"/>
      <c r="F36" s="4040"/>
      <c r="G36" s="1961"/>
      <c r="H36" s="1961"/>
      <c r="I36" s="1961"/>
      <c r="J36" s="1961"/>
      <c r="K36" s="1972"/>
      <c r="L36" s="1972"/>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c r="AN36" s="1971"/>
      <c r="AO36" s="3422"/>
      <c r="AP36" s="3422"/>
      <c r="AQ36" s="3422"/>
      <c r="AR36" s="3422"/>
    </row>
    <row r="37" spans="1:44" ht="15" thickBot="1">
      <c r="A37" s="3957" t="s">
        <v>3290</v>
      </c>
      <c r="B37" s="3411">
        <v>0</v>
      </c>
      <c r="C37" s="4038" t="s">
        <v>3849</v>
      </c>
      <c r="D37" s="4034"/>
      <c r="E37" s="4035"/>
      <c r="F37" s="4035"/>
      <c r="G37" s="1961"/>
      <c r="H37" s="1961"/>
      <c r="I37" s="1961"/>
      <c r="J37" s="1961"/>
      <c r="K37" s="1972"/>
      <c r="L37" s="1972"/>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c r="AN37" s="1971"/>
      <c r="AO37" s="3422"/>
      <c r="AP37" s="3422"/>
      <c r="AQ37" s="3422"/>
      <c r="AR37" s="3422"/>
    </row>
    <row r="38" spans="1:44" ht="14.25">
      <c r="A38" s="1262" t="s">
        <v>1212</v>
      </c>
      <c r="B38" s="3412">
        <v>0.02</v>
      </c>
      <c r="C38" s="4036" t="s">
        <v>3265</v>
      </c>
      <c r="D38" s="4034"/>
      <c r="E38" s="4035"/>
      <c r="F38" s="4035"/>
      <c r="G38" s="1961"/>
      <c r="H38" s="1961"/>
      <c r="I38" s="1961"/>
      <c r="J38" s="1961"/>
      <c r="K38" s="1972"/>
      <c r="L38" s="1972"/>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c r="AN38" s="1971"/>
      <c r="AO38" s="3422"/>
      <c r="AP38" s="3422"/>
      <c r="AQ38" s="3422"/>
      <c r="AR38" s="3422"/>
    </row>
    <row r="39" spans="1:44" ht="14.25">
      <c r="A39" s="1260" t="s">
        <v>1213</v>
      </c>
      <c r="B39" s="3410">
        <v>0.02</v>
      </c>
      <c r="C39" s="4036" t="s">
        <v>3853</v>
      </c>
      <c r="D39" s="4034"/>
      <c r="E39" s="4035"/>
      <c r="F39" s="4035"/>
      <c r="G39" s="1961"/>
      <c r="H39" s="1961"/>
      <c r="I39" s="1961"/>
      <c r="J39" s="1961"/>
      <c r="K39" s="1972"/>
      <c r="L39" s="1972"/>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c r="AN39" s="1971"/>
      <c r="AO39" s="3422"/>
      <c r="AP39" s="3422"/>
      <c r="AQ39" s="3422"/>
      <c r="AR39" s="3422"/>
    </row>
    <row r="40" spans="1:44" ht="14.25">
      <c r="A40" s="1263" t="s">
        <v>1214</v>
      </c>
      <c r="B40" s="3413">
        <f ca="1">存贷款利率!I1</f>
        <v>1.4999999999999999E-2</v>
      </c>
      <c r="C40" s="1978"/>
      <c r="D40" s="1974"/>
      <c r="E40" s="1961"/>
      <c r="F40" s="1961"/>
      <c r="G40" s="1961"/>
      <c r="H40" s="1961"/>
      <c r="I40" s="1961"/>
      <c r="J40" s="1961"/>
      <c r="K40" s="1972"/>
      <c r="L40" s="1972"/>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c r="AN40" s="1971"/>
      <c r="AO40" s="3422"/>
      <c r="AP40" s="3422"/>
      <c r="AQ40" s="3422"/>
      <c r="AR40" s="3422"/>
    </row>
    <row r="41" spans="1:44" ht="15" thickBot="1">
      <c r="A41" s="2082" t="s">
        <v>2201</v>
      </c>
      <c r="B41" s="3414">
        <f ca="1">IF(A41="利息：取LPR",存贷款利率!G1,存贷款利率!G1+C41)</f>
        <v>3.1300000000000001E-2</v>
      </c>
      <c r="C41" s="2081"/>
      <c r="D41" s="1971"/>
      <c r="E41" s="1974"/>
      <c r="F41" s="1961"/>
      <c r="G41" s="1961"/>
      <c r="H41" s="1961"/>
      <c r="I41" s="1961"/>
      <c r="J41" s="1961"/>
      <c r="K41" s="1972"/>
      <c r="L41" s="1972"/>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c r="AN41" s="1971"/>
      <c r="AO41" s="3422"/>
      <c r="AP41" s="3422"/>
      <c r="AQ41" s="3422"/>
      <c r="AR41" s="3422"/>
    </row>
    <row r="42" spans="1:44" ht="14.25">
      <c r="A42" s="3958" t="s">
        <v>3282</v>
      </c>
      <c r="B42" s="3415"/>
      <c r="C42" s="1975"/>
      <c r="D42" s="1971"/>
      <c r="E42" s="1974"/>
      <c r="F42" s="1961"/>
      <c r="G42" s="1961"/>
      <c r="H42" s="1961"/>
      <c r="I42" s="1961"/>
      <c r="J42" s="1961"/>
      <c r="K42" s="1972"/>
      <c r="L42" s="1972"/>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c r="AN42" s="1971"/>
      <c r="AO42" s="3422"/>
      <c r="AP42" s="3422"/>
      <c r="AQ42" s="3422"/>
      <c r="AR42" s="3422"/>
    </row>
    <row r="43" spans="1:44" ht="14.25">
      <c r="A43" s="1264" t="s">
        <v>1215</v>
      </c>
      <c r="B43" s="4027">
        <v>0.09</v>
      </c>
      <c r="C43" s="1980"/>
      <c r="D43" s="1974"/>
      <c r="E43" s="1961"/>
      <c r="F43" s="1961"/>
      <c r="G43" s="1961"/>
      <c r="H43" s="1961"/>
      <c r="I43" s="1961"/>
      <c r="J43" s="1961"/>
      <c r="K43" s="1972"/>
      <c r="L43" s="1972"/>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c r="AN43" s="1971"/>
      <c r="AO43" s="3422"/>
      <c r="AP43" s="3422"/>
      <c r="AQ43" s="3422"/>
      <c r="AR43" s="3422"/>
    </row>
    <row r="44" spans="1:44" ht="14.25">
      <c r="A44" s="1264" t="s">
        <v>1216</v>
      </c>
      <c r="B44" s="4028">
        <f>B45+B46+B47</f>
        <v>0.12000000000000001</v>
      </c>
      <c r="C44" s="1975"/>
      <c r="D44" s="1974"/>
      <c r="E44" s="1961"/>
      <c r="F44" s="1961"/>
      <c r="G44" s="1961"/>
      <c r="H44" s="1961"/>
      <c r="I44" s="1961"/>
      <c r="J44" s="1961"/>
      <c r="K44" s="1972"/>
      <c r="L44" s="1972"/>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c r="AN44" s="1971"/>
      <c r="AO44" s="3422"/>
      <c r="AP44" s="3422"/>
      <c r="AQ44" s="3422"/>
      <c r="AR44" s="3422"/>
    </row>
    <row r="45" spans="1:44" ht="14.25">
      <c r="A45" s="1265" t="s">
        <v>1217</v>
      </c>
      <c r="B45" s="3416">
        <v>7.0000000000000007E-2</v>
      </c>
      <c r="C45" s="4036" t="s">
        <v>3266</v>
      </c>
      <c r="D45" s="4034"/>
      <c r="E45" s="4035"/>
      <c r="F45" s="4035"/>
      <c r="G45" s="1961"/>
      <c r="H45" s="1961"/>
      <c r="I45" s="1961"/>
      <c r="J45" s="1961"/>
      <c r="K45" s="1972"/>
      <c r="L45" s="1972"/>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c r="AN45" s="1971"/>
      <c r="AO45" s="3422"/>
      <c r="AP45" s="3422"/>
      <c r="AQ45" s="3422"/>
      <c r="AR45" s="3422"/>
    </row>
    <row r="46" spans="1:44" ht="14.25">
      <c r="A46" s="1265" t="s">
        <v>1218</v>
      </c>
      <c r="B46" s="3417">
        <v>0.03</v>
      </c>
      <c r="C46" s="4085" t="s">
        <v>3857</v>
      </c>
      <c r="D46" s="4086"/>
      <c r="E46" s="4087"/>
      <c r="F46" s="4035"/>
      <c r="G46" s="1961"/>
      <c r="H46" s="1961"/>
      <c r="I46" s="1961"/>
      <c r="J46" s="1961"/>
      <c r="K46" s="1972"/>
      <c r="L46" s="1972"/>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c r="AN46" s="1971"/>
      <c r="AO46" s="3422"/>
      <c r="AP46" s="3422"/>
      <c r="AQ46" s="3422"/>
      <c r="AR46" s="3422"/>
    </row>
    <row r="47" spans="1:44" ht="14.25">
      <c r="A47" s="1265" t="s">
        <v>1219</v>
      </c>
      <c r="B47" s="3417">
        <v>0.02</v>
      </c>
      <c r="C47" s="4085" t="s">
        <v>3858</v>
      </c>
      <c r="D47" s="4086"/>
      <c r="E47" s="4087"/>
      <c r="F47" s="4035"/>
      <c r="G47" s="1961"/>
      <c r="H47" s="1961"/>
      <c r="I47" s="1961"/>
      <c r="J47" s="1961"/>
      <c r="K47" s="1972"/>
      <c r="L47" s="1972"/>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c r="AN47" s="1971"/>
      <c r="AO47" s="3422"/>
      <c r="AP47" s="3422"/>
      <c r="AQ47" s="3422"/>
      <c r="AR47" s="3422"/>
    </row>
    <row r="48" spans="1:44" ht="15" thickBot="1">
      <c r="A48" s="1266" t="s">
        <v>1220</v>
      </c>
      <c r="B48" s="3418">
        <v>0</v>
      </c>
      <c r="C48" s="4088" t="s">
        <v>2196</v>
      </c>
      <c r="D48" s="4086"/>
      <c r="E48" s="4087"/>
      <c r="F48" s="4035"/>
      <c r="G48" s="1961"/>
      <c r="H48" s="1961"/>
      <c r="I48" s="1961"/>
      <c r="J48" s="1961"/>
      <c r="K48" s="1972"/>
      <c r="L48" s="1972"/>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c r="AN48" s="1971"/>
      <c r="AO48" s="3422"/>
      <c r="AP48" s="3422"/>
      <c r="AQ48" s="3422"/>
      <c r="AR48" s="3422"/>
    </row>
    <row r="49" spans="1:44" ht="14.25">
      <c r="A49" s="1267" t="s">
        <v>1221</v>
      </c>
      <c r="B49" s="3419">
        <v>0.03</v>
      </c>
      <c r="C49" s="4085" t="s">
        <v>3859</v>
      </c>
      <c r="D49" s="4086"/>
      <c r="E49" s="4087"/>
      <c r="F49" s="4035"/>
      <c r="G49" s="1961"/>
      <c r="H49" s="1961"/>
      <c r="I49" s="1961"/>
      <c r="J49" s="1961"/>
      <c r="K49" s="1972"/>
      <c r="L49" s="1972"/>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c r="AN49" s="1971"/>
      <c r="AO49" s="3422"/>
      <c r="AP49" s="3422"/>
      <c r="AQ49" s="3422"/>
      <c r="AR49" s="3422"/>
    </row>
    <row r="50" spans="1:44" ht="15" thickBot="1">
      <c r="A50" s="1263" t="s">
        <v>1222</v>
      </c>
      <c r="B50" s="3417">
        <v>5.0000000000000001E-4</v>
      </c>
      <c r="C50" s="4085" t="s">
        <v>3860</v>
      </c>
      <c r="D50" s="4086"/>
      <c r="E50" s="4087"/>
      <c r="F50" s="4035"/>
      <c r="G50" s="1961"/>
      <c r="H50" s="1961"/>
      <c r="I50" s="1961"/>
      <c r="J50" s="1961"/>
      <c r="K50" s="1972"/>
      <c r="L50" s="1972"/>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c r="AN50" s="1971"/>
      <c r="AO50" s="3422"/>
      <c r="AP50" s="3422"/>
      <c r="AQ50" s="3422"/>
      <c r="AR50" s="3422"/>
    </row>
    <row r="51" spans="1:44" ht="14.25">
      <c r="A51" s="1268" t="s">
        <v>1223</v>
      </c>
      <c r="B51" s="4026">
        <v>1.2E-2</v>
      </c>
      <c r="C51" s="1972"/>
      <c r="D51" s="1973"/>
      <c r="E51" s="1971"/>
      <c r="F51" s="1961"/>
      <c r="G51" s="1961"/>
      <c r="H51" s="1961"/>
      <c r="I51" s="1961"/>
      <c r="J51" s="1961"/>
      <c r="K51" s="1972"/>
      <c r="L51" s="1972"/>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c r="AN51" s="1971"/>
      <c r="AO51" s="3422"/>
      <c r="AP51" s="3422"/>
      <c r="AQ51" s="3422"/>
      <c r="AR51" s="3422"/>
    </row>
    <row r="52" spans="1:44" ht="15" thickBot="1">
      <c r="A52" s="1261" t="s">
        <v>1224</v>
      </c>
      <c r="B52" s="4025">
        <v>0.12</v>
      </c>
      <c r="C52" s="1972"/>
      <c r="D52" s="1973"/>
      <c r="E52" s="1971"/>
      <c r="F52" s="1961"/>
      <c r="G52" s="1961"/>
      <c r="H52" s="1961"/>
      <c r="I52" s="1961"/>
      <c r="J52" s="1961"/>
      <c r="K52" s="1972"/>
      <c r="L52" s="1972"/>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c r="AN52" s="1971"/>
      <c r="AO52" s="3422"/>
      <c r="AP52" s="3422"/>
      <c r="AQ52" s="3422"/>
      <c r="AR52" s="3422"/>
    </row>
    <row r="53" spans="1:44" ht="14.25">
      <c r="A53" s="1268" t="s">
        <v>1225</v>
      </c>
      <c r="B53" s="3420">
        <f>SUMIF(A55:A64,B54,B55:B64)</f>
        <v>12</v>
      </c>
      <c r="C53" s="1972"/>
      <c r="D53" s="1973"/>
      <c r="E53" s="1971"/>
      <c r="F53" s="1961"/>
      <c r="G53" s="1961"/>
      <c r="H53" s="1961"/>
      <c r="I53" s="1961"/>
      <c r="J53" s="1961"/>
      <c r="K53" s="1972"/>
      <c r="L53" s="1972"/>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c r="AN53" s="1971"/>
      <c r="AO53" s="3422"/>
      <c r="AP53" s="3422"/>
      <c r="AQ53" s="3422"/>
      <c r="AR53" s="3422"/>
    </row>
    <row r="54" spans="1:44" ht="14.25">
      <c r="A54" s="1260" t="s">
        <v>1226</v>
      </c>
      <c r="B54" s="3421" t="s">
        <v>108</v>
      </c>
      <c r="C54" s="1972" t="s">
        <v>3861</v>
      </c>
      <c r="D54" s="4089" t="s">
        <v>3862</v>
      </c>
      <c r="E54" s="1971"/>
      <c r="F54" s="1961"/>
      <c r="G54" s="1961"/>
      <c r="H54" s="1961"/>
      <c r="I54" s="1961"/>
      <c r="J54" s="1961"/>
      <c r="K54" s="1972"/>
      <c r="L54" s="1972"/>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c r="AN54" s="1971"/>
      <c r="AO54" s="3422"/>
      <c r="AP54" s="3422"/>
      <c r="AQ54" s="3422"/>
      <c r="AR54" s="3422"/>
    </row>
    <row r="55" spans="1:44" ht="14.25">
      <c r="A55" s="1269" t="s">
        <v>1227</v>
      </c>
      <c r="B55" s="3914">
        <v>30</v>
      </c>
      <c r="C55" s="1972">
        <v>30</v>
      </c>
      <c r="D55" s="1973"/>
      <c r="E55" s="1971"/>
      <c r="F55" s="1961"/>
      <c r="G55" s="1961"/>
      <c r="H55" s="1961"/>
      <c r="I55" s="1961"/>
      <c r="J55" s="1961"/>
      <c r="K55" s="1972"/>
      <c r="L55" s="1972"/>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c r="AN55" s="1971"/>
      <c r="AO55" s="3422"/>
      <c r="AP55" s="3422"/>
      <c r="AQ55" s="3422"/>
      <c r="AR55" s="3422"/>
    </row>
    <row r="56" spans="1:44" ht="14.25">
      <c r="A56" s="1269" t="s">
        <v>1228</v>
      </c>
      <c r="B56" s="3914">
        <v>24</v>
      </c>
      <c r="C56" s="1972">
        <v>24</v>
      </c>
      <c r="D56" s="1973"/>
      <c r="E56" s="1971"/>
      <c r="F56" s="1961"/>
      <c r="G56" s="1961"/>
      <c r="H56" s="1961"/>
      <c r="I56" s="1961"/>
      <c r="J56" s="1961"/>
      <c r="K56" s="1972"/>
      <c r="L56" s="1972"/>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c r="AN56" s="1971"/>
      <c r="AO56" s="3422"/>
      <c r="AP56" s="3422"/>
      <c r="AQ56" s="3422"/>
      <c r="AR56" s="3422"/>
    </row>
    <row r="57" spans="1:44" ht="14.25">
      <c r="A57" s="1269" t="s">
        <v>1229</v>
      </c>
      <c r="B57" s="3914">
        <v>18</v>
      </c>
      <c r="C57" s="1972">
        <v>18</v>
      </c>
      <c r="D57" s="1973"/>
      <c r="E57" s="1971"/>
      <c r="F57" s="1961"/>
      <c r="G57" s="1961"/>
      <c r="H57" s="1961"/>
      <c r="I57" s="1961"/>
      <c r="J57" s="1961"/>
      <c r="K57" s="1972"/>
      <c r="L57" s="1972"/>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c r="AN57" s="1971"/>
      <c r="AO57" s="3422"/>
      <c r="AP57" s="3422"/>
      <c r="AQ57" s="3422"/>
      <c r="AR57" s="3422"/>
    </row>
    <row r="58" spans="1:44" ht="14.25">
      <c r="A58" s="1269" t="s">
        <v>1230</v>
      </c>
      <c r="B58" s="3914">
        <v>12</v>
      </c>
      <c r="C58" s="1972">
        <v>12</v>
      </c>
      <c r="D58" s="1973"/>
      <c r="E58" s="1971"/>
      <c r="F58" s="1961"/>
      <c r="G58" s="1961"/>
      <c r="H58" s="1961"/>
      <c r="I58" s="1961"/>
      <c r="J58" s="1961"/>
      <c r="K58" s="1972"/>
      <c r="L58" s="1972"/>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c r="AN58" s="1971"/>
      <c r="AO58" s="3422"/>
      <c r="AP58" s="3422"/>
      <c r="AQ58" s="3422"/>
      <c r="AR58" s="3422"/>
    </row>
    <row r="59" spans="1:44" ht="14.25">
      <c r="A59" s="1269" t="s">
        <v>1231</v>
      </c>
      <c r="B59" s="3914">
        <v>3</v>
      </c>
      <c r="C59" s="1972">
        <v>3</v>
      </c>
      <c r="D59" s="1973"/>
      <c r="E59" s="1971"/>
      <c r="F59" s="1961"/>
      <c r="G59" s="1961"/>
      <c r="H59" s="1961"/>
      <c r="I59" s="1961"/>
      <c r="J59" s="1961"/>
      <c r="K59" s="1972"/>
      <c r="L59" s="1972"/>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c r="AN59" s="1971"/>
      <c r="AO59" s="3422"/>
      <c r="AP59" s="3422"/>
      <c r="AQ59" s="3422"/>
      <c r="AR59" s="3422"/>
    </row>
    <row r="60" spans="1:44" ht="14.25">
      <c r="A60" s="1269" t="s">
        <v>1232</v>
      </c>
      <c r="B60" s="3914">
        <v>1.5</v>
      </c>
      <c r="C60" s="1972">
        <v>1.5</v>
      </c>
      <c r="D60" s="1973"/>
      <c r="E60" s="1971"/>
      <c r="F60" s="1961"/>
      <c r="G60" s="1961"/>
      <c r="H60" s="1961"/>
      <c r="I60" s="1961"/>
      <c r="J60" s="1961"/>
      <c r="K60" s="1972"/>
      <c r="L60" s="1972"/>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c r="AN60" s="1971"/>
      <c r="AO60" s="3422"/>
      <c r="AP60" s="3422"/>
      <c r="AQ60" s="3422"/>
      <c r="AR60" s="3422"/>
    </row>
    <row r="61" spans="1:44" ht="14.25">
      <c r="A61" s="1269" t="s">
        <v>1233</v>
      </c>
      <c r="B61" s="3914"/>
      <c r="C61" s="1961"/>
      <c r="D61" s="1974"/>
      <c r="E61" s="1961"/>
      <c r="F61" s="1961"/>
      <c r="G61" s="1961"/>
      <c r="H61" s="1961"/>
      <c r="I61" s="1961"/>
      <c r="J61" s="1961"/>
      <c r="K61" s="1972"/>
      <c r="L61" s="1972"/>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c r="AN61" s="1971"/>
      <c r="AO61" s="3422"/>
      <c r="AP61" s="3422"/>
      <c r="AQ61" s="3422"/>
      <c r="AR61" s="3422"/>
    </row>
    <row r="62" spans="1:44" ht="14.25">
      <c r="A62" s="1269" t="s">
        <v>1234</v>
      </c>
      <c r="B62" s="3914"/>
      <c r="C62" s="1961"/>
      <c r="D62" s="1974"/>
      <c r="E62" s="1961"/>
      <c r="F62" s="1961"/>
      <c r="G62" s="1961"/>
      <c r="H62" s="1961"/>
      <c r="I62" s="1961"/>
      <c r="J62" s="1961"/>
      <c r="K62" s="1972"/>
      <c r="L62" s="1972"/>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c r="AN62" s="1971"/>
      <c r="AO62" s="3422"/>
      <c r="AP62" s="3422"/>
      <c r="AQ62" s="3422"/>
      <c r="AR62" s="3422"/>
    </row>
    <row r="63" spans="1:44" ht="14.25">
      <c r="A63" s="1269" t="s">
        <v>1235</v>
      </c>
      <c r="B63" s="3914"/>
      <c r="C63" s="1961"/>
      <c r="D63" s="1974"/>
      <c r="E63" s="1961"/>
      <c r="F63" s="1961"/>
      <c r="G63" s="1961"/>
      <c r="H63" s="1961"/>
      <c r="I63" s="1961"/>
      <c r="J63" s="1961"/>
      <c r="K63" s="1972"/>
      <c r="L63" s="1972"/>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c r="AN63" s="1971"/>
      <c r="AO63" s="3422"/>
      <c r="AP63" s="3422"/>
      <c r="AQ63" s="3422"/>
      <c r="AR63" s="3422"/>
    </row>
    <row r="64" spans="1:44" ht="15" thickBot="1">
      <c r="A64" s="1270" t="s">
        <v>1236</v>
      </c>
      <c r="B64" s="3930"/>
      <c r="C64" s="1961"/>
      <c r="D64" s="1974"/>
      <c r="E64" s="1961"/>
      <c r="F64" s="1961"/>
      <c r="G64" s="1961"/>
      <c r="H64" s="1961"/>
      <c r="I64" s="1961"/>
      <c r="J64" s="1961"/>
      <c r="K64" s="1972"/>
      <c r="L64" s="1972"/>
      <c r="M64" s="1971"/>
      <c r="N64" s="1971"/>
      <c r="O64" s="1971"/>
      <c r="P64" s="1971"/>
      <c r="Q64" s="1971"/>
      <c r="R64" s="1971"/>
      <c r="S64" s="1971"/>
      <c r="T64" s="1971"/>
      <c r="U64" s="1971"/>
      <c r="V64" s="1971"/>
      <c r="W64" s="1971"/>
      <c r="X64" s="1971"/>
      <c r="Y64" s="1971"/>
      <c r="Z64" s="1971"/>
      <c r="AA64" s="1971"/>
      <c r="AB64" s="1971"/>
      <c r="AC64" s="1971"/>
      <c r="AD64" s="1971"/>
      <c r="AE64" s="1971"/>
      <c r="AF64" s="1971"/>
      <c r="AG64" s="1971"/>
      <c r="AH64" s="1971"/>
      <c r="AI64" s="1971"/>
      <c r="AJ64" s="1971"/>
      <c r="AK64" s="1971"/>
      <c r="AL64" s="1971"/>
      <c r="AM64" s="1971"/>
      <c r="AN64" s="1971"/>
      <c r="AO64" s="3422"/>
      <c r="AP64" s="3422"/>
      <c r="AQ64" s="3422"/>
      <c r="AR64" s="3422"/>
    </row>
    <row r="65" spans="1:45" s="493" customFormat="1">
      <c r="A65" s="1964"/>
      <c r="B65" s="1971"/>
      <c r="C65" s="1971"/>
      <c r="D65" s="1973"/>
      <c r="E65" s="1971"/>
      <c r="F65" s="1971"/>
      <c r="G65" s="1971"/>
      <c r="H65" s="1971"/>
      <c r="I65" s="1971"/>
      <c r="J65" s="1971"/>
      <c r="K65" s="1972"/>
      <c r="L65" s="1972"/>
      <c r="M65" s="1971"/>
      <c r="N65" s="1971"/>
      <c r="O65" s="1971"/>
      <c r="P65" s="1971"/>
      <c r="Q65" s="1971"/>
      <c r="R65" s="1971"/>
      <c r="S65" s="1971"/>
      <c r="T65" s="1971"/>
      <c r="U65" s="1971"/>
      <c r="V65" s="1971"/>
      <c r="W65" s="1971"/>
      <c r="X65" s="1971"/>
      <c r="Y65" s="1971"/>
      <c r="Z65" s="1971"/>
      <c r="AA65" s="1971"/>
      <c r="AB65" s="1971"/>
      <c r="AC65" s="1971"/>
      <c r="AD65" s="1971"/>
      <c r="AE65" s="1971"/>
      <c r="AF65" s="1971"/>
      <c r="AG65" s="1971"/>
      <c r="AH65" s="1971"/>
      <c r="AI65" s="1971"/>
      <c r="AJ65" s="1971"/>
      <c r="AK65" s="1971"/>
      <c r="AL65" s="1971"/>
      <c r="AM65" s="1971"/>
      <c r="AN65" s="1971"/>
      <c r="AO65" s="3422"/>
      <c r="AP65" s="3422"/>
      <c r="AQ65" s="3422"/>
      <c r="AR65" s="3422"/>
      <c r="AS65" s="3428"/>
    </row>
    <row r="66" spans="1:45" s="493" customFormat="1">
      <c r="A66" s="1964"/>
      <c r="B66" s="1971"/>
      <c r="C66" s="1971"/>
      <c r="D66" s="1973"/>
      <c r="E66" s="1971"/>
      <c r="F66" s="1971"/>
      <c r="G66" s="1971"/>
      <c r="H66" s="1971"/>
      <c r="I66" s="1971"/>
      <c r="J66" s="1971"/>
      <c r="K66" s="1972"/>
      <c r="L66" s="1972"/>
      <c r="M66" s="1971"/>
      <c r="N66" s="1971"/>
      <c r="O66" s="1971"/>
      <c r="P66" s="1971"/>
      <c r="Q66" s="1971"/>
      <c r="R66" s="1971"/>
      <c r="S66" s="1971"/>
      <c r="T66" s="1971"/>
      <c r="U66" s="1971"/>
      <c r="V66" s="1971"/>
      <c r="W66" s="1971"/>
      <c r="X66" s="1971"/>
      <c r="Y66" s="1971"/>
      <c r="Z66" s="1971"/>
      <c r="AA66" s="1971"/>
      <c r="AB66" s="1971"/>
      <c r="AC66" s="1971"/>
      <c r="AD66" s="1971"/>
      <c r="AE66" s="1971"/>
      <c r="AF66" s="1971"/>
      <c r="AG66" s="1971"/>
      <c r="AH66" s="1971"/>
      <c r="AI66" s="1971"/>
      <c r="AJ66" s="1971"/>
      <c r="AK66" s="1971"/>
      <c r="AL66" s="1971"/>
      <c r="AM66" s="1971"/>
      <c r="AN66" s="1971"/>
      <c r="AO66" s="3422"/>
      <c r="AP66" s="3422"/>
      <c r="AQ66" s="3422"/>
      <c r="AR66" s="3422"/>
      <c r="AS66" s="3428"/>
    </row>
    <row r="67" spans="1:45" s="493" customFormat="1">
      <c r="A67" s="1964"/>
      <c r="B67" s="1971"/>
      <c r="C67" s="1971"/>
      <c r="D67" s="1973"/>
      <c r="E67" s="1971"/>
      <c r="F67" s="1971"/>
      <c r="G67" s="1971"/>
      <c r="H67" s="1971"/>
      <c r="I67" s="1971"/>
      <c r="J67" s="1971"/>
      <c r="K67" s="1972"/>
      <c r="L67" s="1972"/>
      <c r="M67" s="1971"/>
      <c r="N67" s="1971"/>
      <c r="O67" s="1971"/>
      <c r="P67" s="1971"/>
      <c r="Q67" s="1971"/>
      <c r="R67" s="1971"/>
      <c r="S67" s="1971"/>
      <c r="T67" s="1971"/>
      <c r="U67" s="1971"/>
      <c r="V67" s="1971"/>
      <c r="W67" s="1971"/>
      <c r="X67" s="1971"/>
      <c r="Y67" s="1971"/>
      <c r="Z67" s="1971"/>
      <c r="AA67" s="1971"/>
      <c r="AB67" s="1971"/>
      <c r="AC67" s="1971"/>
      <c r="AD67" s="1971"/>
      <c r="AE67" s="1971"/>
      <c r="AF67" s="1971"/>
      <c r="AG67" s="1971"/>
      <c r="AH67" s="1971"/>
      <c r="AI67" s="1971"/>
      <c r="AJ67" s="1971"/>
      <c r="AK67" s="1971"/>
      <c r="AL67" s="1971"/>
      <c r="AM67" s="1971"/>
      <c r="AN67" s="1971"/>
      <c r="AO67" s="3422"/>
      <c r="AP67" s="3422"/>
      <c r="AQ67" s="3422"/>
      <c r="AR67" s="3422"/>
      <c r="AS67" s="3428"/>
    </row>
    <row r="68" spans="1:45" s="493" customFormat="1">
      <c r="A68" s="1964"/>
      <c r="B68" s="1971"/>
      <c r="C68" s="1971"/>
      <c r="D68" s="1973"/>
      <c r="E68" s="1971"/>
      <c r="F68" s="1971"/>
      <c r="G68" s="1971"/>
      <c r="H68" s="1971"/>
      <c r="I68" s="1971"/>
      <c r="J68" s="1971"/>
      <c r="K68" s="1972"/>
      <c r="L68" s="1972"/>
      <c r="M68" s="1971"/>
      <c r="N68" s="1971"/>
      <c r="O68" s="1971"/>
      <c r="P68" s="1971"/>
      <c r="Q68" s="1971"/>
      <c r="R68" s="1971"/>
      <c r="S68" s="1971"/>
      <c r="T68" s="1971"/>
      <c r="U68" s="1971"/>
      <c r="V68" s="1971"/>
      <c r="W68" s="1971"/>
      <c r="X68" s="1971"/>
      <c r="Y68" s="1971"/>
      <c r="Z68" s="1971"/>
      <c r="AA68" s="1971"/>
      <c r="AB68" s="1971"/>
      <c r="AC68" s="1971"/>
      <c r="AD68" s="1971"/>
      <c r="AE68" s="1971"/>
      <c r="AF68" s="1971"/>
      <c r="AG68" s="1971"/>
      <c r="AH68" s="1971"/>
      <c r="AI68" s="1971"/>
      <c r="AJ68" s="1971"/>
      <c r="AK68" s="1971"/>
      <c r="AL68" s="1971"/>
      <c r="AM68" s="1971"/>
      <c r="AN68" s="1971"/>
      <c r="AO68" s="3422"/>
      <c r="AP68" s="3422"/>
      <c r="AQ68" s="3422"/>
      <c r="AR68" s="3422"/>
      <c r="AS68" s="3428"/>
    </row>
    <row r="69" spans="1:45" s="493" customFormat="1">
      <c r="A69" s="1964"/>
      <c r="B69" s="1971"/>
      <c r="C69" s="1971"/>
      <c r="D69" s="1973"/>
      <c r="E69" s="1971"/>
      <c r="F69" s="1971"/>
      <c r="G69" s="1971"/>
      <c r="H69" s="1971"/>
      <c r="I69" s="1971"/>
      <c r="J69" s="1971"/>
      <c r="K69" s="1972"/>
      <c r="L69" s="1972"/>
      <c r="M69" s="1971"/>
      <c r="N69" s="1971"/>
      <c r="O69" s="1971"/>
      <c r="P69" s="1971"/>
      <c r="Q69" s="1971"/>
      <c r="R69" s="1971"/>
      <c r="S69" s="1971"/>
      <c r="T69" s="1971"/>
      <c r="U69" s="1971"/>
      <c r="V69" s="1971"/>
      <c r="W69" s="1971"/>
      <c r="X69" s="1971"/>
      <c r="Y69" s="1971"/>
      <c r="Z69" s="1971"/>
      <c r="AA69" s="1971"/>
      <c r="AB69" s="1971"/>
      <c r="AC69" s="1971"/>
      <c r="AD69" s="1971"/>
      <c r="AE69" s="1971"/>
      <c r="AF69" s="1971"/>
      <c r="AG69" s="1971"/>
      <c r="AH69" s="1971"/>
      <c r="AI69" s="1971"/>
      <c r="AJ69" s="1971"/>
      <c r="AK69" s="1971"/>
      <c r="AL69" s="1971"/>
      <c r="AM69" s="1971"/>
      <c r="AN69" s="1971"/>
      <c r="AO69" s="3422"/>
      <c r="AP69" s="3422"/>
      <c r="AQ69" s="3422"/>
      <c r="AR69" s="3422"/>
      <c r="AS69" s="3428"/>
    </row>
    <row r="70" spans="1:45" s="493" customFormat="1">
      <c r="A70" s="1271"/>
      <c r="D70" s="1272"/>
      <c r="K70" s="496"/>
      <c r="L70" s="496"/>
      <c r="AO70" s="3428"/>
      <c r="AP70" s="3428"/>
      <c r="AQ70" s="3428"/>
      <c r="AR70" s="3428"/>
      <c r="AS70" s="3428"/>
    </row>
    <row r="71" spans="1:45" s="493" customFormat="1">
      <c r="A71" s="1271"/>
      <c r="D71" s="1272"/>
      <c r="K71" s="496"/>
      <c r="L71" s="496"/>
      <c r="AO71" s="3428"/>
      <c r="AP71" s="3428"/>
      <c r="AQ71" s="3428"/>
      <c r="AR71" s="3428"/>
      <c r="AS71" s="3428"/>
    </row>
    <row r="72" spans="1:45" s="493" customFormat="1">
      <c r="A72" s="1271"/>
      <c r="D72" s="1272"/>
      <c r="K72" s="496"/>
      <c r="L72" s="496"/>
      <c r="AO72" s="3428"/>
      <c r="AP72" s="3428"/>
      <c r="AQ72" s="3428"/>
      <c r="AR72" s="3428"/>
      <c r="AS72" s="3428"/>
    </row>
    <row r="73" spans="1:45" s="493" customFormat="1">
      <c r="A73" s="1271"/>
      <c r="D73" s="1272"/>
      <c r="K73" s="496"/>
      <c r="L73" s="496"/>
      <c r="AO73" s="3428"/>
      <c r="AP73" s="3428"/>
      <c r="AQ73" s="3428"/>
      <c r="AR73" s="3428"/>
      <c r="AS73" s="3428"/>
    </row>
    <row r="74" spans="1:45" s="493" customFormat="1">
      <c r="A74" s="1271"/>
      <c r="D74" s="1272"/>
      <c r="K74" s="496"/>
      <c r="L74" s="496"/>
      <c r="AO74" s="3428"/>
      <c r="AP74" s="3428"/>
      <c r="AQ74" s="3428"/>
      <c r="AR74" s="3428"/>
      <c r="AS74" s="3428"/>
    </row>
    <row r="75" spans="1:45" s="493" customFormat="1">
      <c r="A75" s="1271"/>
      <c r="D75" s="1272"/>
      <c r="K75" s="496"/>
      <c r="L75" s="496"/>
      <c r="AO75" s="3428"/>
      <c r="AP75" s="3428"/>
      <c r="AQ75" s="3428"/>
      <c r="AR75" s="3428"/>
      <c r="AS75" s="3428"/>
    </row>
    <row r="76" spans="1:45" s="493" customFormat="1">
      <c r="A76" s="1271"/>
      <c r="D76" s="1272"/>
      <c r="K76" s="496"/>
      <c r="L76" s="496"/>
      <c r="AO76" s="3428"/>
      <c r="AP76" s="3428"/>
      <c r="AQ76" s="3428"/>
      <c r="AR76" s="3428"/>
      <c r="AS76" s="3428"/>
    </row>
    <row r="77" spans="1:45" s="493" customFormat="1">
      <c r="A77" s="1271"/>
      <c r="D77" s="1272"/>
      <c r="K77" s="496"/>
      <c r="L77" s="496"/>
      <c r="AO77" s="3428"/>
      <c r="AP77" s="3428"/>
      <c r="AQ77" s="3428"/>
      <c r="AR77" s="3428"/>
      <c r="AS77" s="3428"/>
    </row>
    <row r="78" spans="1:45" s="493" customFormat="1">
      <c r="A78" s="1271"/>
      <c r="D78" s="1272"/>
      <c r="K78" s="496"/>
      <c r="L78" s="496"/>
      <c r="AO78" s="3428"/>
      <c r="AP78" s="3428"/>
      <c r="AQ78" s="3428"/>
      <c r="AR78" s="3428"/>
      <c r="AS78" s="3428"/>
    </row>
    <row r="79" spans="1:45" s="493" customFormat="1">
      <c r="A79" s="1271"/>
      <c r="D79" s="1272"/>
      <c r="K79" s="496"/>
      <c r="L79" s="496"/>
      <c r="AO79" s="3428"/>
      <c r="AP79" s="3428"/>
      <c r="AQ79" s="3428"/>
      <c r="AR79" s="3428"/>
      <c r="AS79" s="3428"/>
    </row>
    <row r="80" spans="1:45" s="493" customFormat="1">
      <c r="A80" s="1271"/>
      <c r="D80" s="1272"/>
      <c r="K80" s="496"/>
      <c r="L80" s="496"/>
      <c r="AO80" s="3428"/>
      <c r="AP80" s="3428"/>
      <c r="AQ80" s="3428"/>
      <c r="AR80" s="3428"/>
      <c r="AS80" s="3428"/>
    </row>
    <row r="81" spans="1:45" s="493" customFormat="1">
      <c r="A81" s="1271"/>
      <c r="D81" s="1272"/>
      <c r="K81" s="496"/>
      <c r="L81" s="496"/>
      <c r="AO81" s="3428"/>
      <c r="AP81" s="3428"/>
      <c r="AQ81" s="3428"/>
      <c r="AR81" s="3428"/>
      <c r="AS81" s="3428"/>
    </row>
    <row r="82" spans="1:45" s="493" customFormat="1">
      <c r="A82" s="1271"/>
      <c r="D82" s="1272"/>
      <c r="K82" s="496"/>
      <c r="L82" s="496"/>
      <c r="AO82" s="3428"/>
      <c r="AP82" s="3428"/>
      <c r="AQ82" s="3428"/>
      <c r="AR82" s="3428"/>
      <c r="AS82" s="3428"/>
    </row>
    <row r="83" spans="1:45" s="493" customFormat="1">
      <c r="A83" s="1271"/>
      <c r="D83" s="1272"/>
      <c r="K83" s="496"/>
      <c r="L83" s="496"/>
      <c r="AO83" s="3428"/>
      <c r="AP83" s="3428"/>
      <c r="AQ83" s="3428"/>
      <c r="AR83" s="3428"/>
      <c r="AS83" s="3428"/>
    </row>
    <row r="84" spans="1:45" s="493" customFormat="1">
      <c r="A84" s="1271"/>
      <c r="D84" s="1272"/>
      <c r="K84" s="496"/>
      <c r="L84" s="496"/>
      <c r="AO84" s="3428"/>
      <c r="AP84" s="3428"/>
      <c r="AQ84" s="3428"/>
      <c r="AR84" s="3428"/>
      <c r="AS84" s="3428"/>
    </row>
    <row r="85" spans="1:45" s="493" customFormat="1">
      <c r="A85" s="1271"/>
      <c r="D85" s="1272"/>
      <c r="K85" s="496"/>
      <c r="L85" s="496"/>
      <c r="AO85" s="3428"/>
      <c r="AP85" s="3428"/>
      <c r="AQ85" s="3428"/>
      <c r="AR85" s="3428"/>
      <c r="AS85" s="3428"/>
    </row>
    <row r="86" spans="1:45" s="493" customFormat="1">
      <c r="A86" s="1271"/>
      <c r="D86" s="1272"/>
      <c r="K86" s="496"/>
      <c r="L86" s="496"/>
      <c r="AO86" s="3428"/>
      <c r="AP86" s="3428"/>
      <c r="AQ86" s="3428"/>
      <c r="AR86" s="3428"/>
      <c r="AS86" s="3428"/>
    </row>
    <row r="87" spans="1:45" s="493" customFormat="1">
      <c r="A87" s="1271"/>
      <c r="D87" s="1272"/>
      <c r="K87" s="496"/>
      <c r="L87" s="496"/>
      <c r="AO87" s="3428"/>
      <c r="AP87" s="3428"/>
      <c r="AQ87" s="3428"/>
      <c r="AR87" s="3428"/>
      <c r="AS87" s="3428"/>
    </row>
    <row r="88" spans="1:45" s="493" customFormat="1">
      <c r="A88" s="1271"/>
      <c r="D88" s="1272"/>
      <c r="K88" s="496"/>
      <c r="L88" s="496"/>
      <c r="AO88" s="3428"/>
      <c r="AP88" s="3428"/>
      <c r="AQ88" s="3428"/>
      <c r="AR88" s="3428"/>
      <c r="AS88" s="3428"/>
    </row>
    <row r="89" spans="1:45" s="493" customFormat="1">
      <c r="A89" s="1271"/>
      <c r="D89" s="1272"/>
      <c r="K89" s="496"/>
      <c r="L89" s="496"/>
      <c r="AO89" s="3428"/>
      <c r="AP89" s="3428"/>
      <c r="AQ89" s="3428"/>
      <c r="AR89" s="3428"/>
      <c r="AS89" s="3428"/>
    </row>
    <row r="90" spans="1:45" s="493" customFormat="1">
      <c r="A90" s="1271"/>
      <c r="D90" s="1272"/>
      <c r="K90" s="496"/>
      <c r="L90" s="496"/>
      <c r="AO90" s="3428"/>
      <c r="AP90" s="3428"/>
      <c r="AQ90" s="3428"/>
      <c r="AR90" s="3428"/>
      <c r="AS90" s="3428"/>
    </row>
    <row r="91" spans="1:45" s="493" customFormat="1">
      <c r="A91" s="1271"/>
      <c r="D91" s="1272"/>
      <c r="K91" s="496"/>
      <c r="L91" s="496"/>
      <c r="AO91" s="3428"/>
      <c r="AP91" s="3428"/>
      <c r="AQ91" s="3428"/>
      <c r="AR91" s="3428"/>
      <c r="AS91" s="3428"/>
    </row>
    <row r="92" spans="1:45" s="493" customFormat="1">
      <c r="A92" s="1271"/>
      <c r="D92" s="1272"/>
      <c r="K92" s="496"/>
      <c r="L92" s="496"/>
      <c r="AO92" s="3428"/>
      <c r="AP92" s="3428"/>
      <c r="AQ92" s="3428"/>
      <c r="AR92" s="3428"/>
      <c r="AS92" s="3428"/>
    </row>
    <row r="93" spans="1:45" s="493" customFormat="1">
      <c r="A93" s="1271"/>
      <c r="D93" s="1272"/>
      <c r="K93" s="496"/>
      <c r="L93" s="496"/>
      <c r="AO93" s="3428"/>
      <c r="AP93" s="3428"/>
      <c r="AQ93" s="3428"/>
      <c r="AR93" s="3428"/>
      <c r="AS93" s="3428"/>
    </row>
    <row r="94" spans="1:45" s="493" customFormat="1">
      <c r="A94" s="1271"/>
      <c r="D94" s="1272"/>
      <c r="K94" s="496"/>
      <c r="L94" s="496"/>
      <c r="AO94" s="3428"/>
      <c r="AP94" s="3428"/>
      <c r="AQ94" s="3428"/>
      <c r="AR94" s="3428"/>
      <c r="AS94" s="3428"/>
    </row>
    <row r="95" spans="1:45" s="493" customFormat="1">
      <c r="A95" s="1271"/>
      <c r="D95" s="1272"/>
      <c r="K95" s="496"/>
      <c r="L95" s="496"/>
      <c r="AO95" s="3428"/>
      <c r="AP95" s="3428"/>
      <c r="AQ95" s="3428"/>
      <c r="AR95" s="3428"/>
      <c r="AS95" s="3428"/>
    </row>
    <row r="96" spans="1:45" s="493" customFormat="1">
      <c r="A96" s="1271"/>
      <c r="D96" s="1272"/>
      <c r="K96" s="496"/>
      <c r="L96" s="496"/>
      <c r="AO96" s="3428"/>
      <c r="AP96" s="3428"/>
      <c r="AQ96" s="3428"/>
      <c r="AR96" s="3428"/>
      <c r="AS96" s="3428"/>
    </row>
    <row r="97" spans="1:45" s="493" customFormat="1">
      <c r="A97" s="1271"/>
      <c r="D97" s="1272"/>
      <c r="K97" s="496"/>
      <c r="L97" s="496"/>
      <c r="AO97" s="3428"/>
      <c r="AP97" s="3428"/>
      <c r="AQ97" s="3428"/>
      <c r="AR97" s="3428"/>
      <c r="AS97" s="3428"/>
    </row>
    <row r="98" spans="1:45" s="493" customFormat="1">
      <c r="A98" s="1271"/>
      <c r="D98" s="1272"/>
      <c r="K98" s="496"/>
      <c r="L98" s="496"/>
      <c r="AO98" s="3428"/>
      <c r="AP98" s="3428"/>
      <c r="AQ98" s="3428"/>
      <c r="AR98" s="3428"/>
      <c r="AS98" s="3428"/>
    </row>
    <row r="99" spans="1:45" s="493" customFormat="1">
      <c r="A99" s="1271"/>
      <c r="D99" s="1272"/>
      <c r="K99" s="496"/>
      <c r="L99" s="496"/>
      <c r="AO99" s="3428"/>
      <c r="AP99" s="3428"/>
      <c r="AQ99" s="3428"/>
      <c r="AR99" s="3428"/>
      <c r="AS99" s="3428"/>
    </row>
    <row r="100" spans="1:45" s="493" customFormat="1">
      <c r="A100" s="1271"/>
      <c r="D100" s="1272"/>
      <c r="K100" s="496"/>
      <c r="L100" s="496"/>
      <c r="AO100" s="3428"/>
      <c r="AP100" s="3428"/>
      <c r="AQ100" s="3428"/>
      <c r="AR100" s="3428"/>
      <c r="AS100" s="3428"/>
    </row>
    <row r="101" spans="1:45" s="493" customFormat="1">
      <c r="A101" s="1271"/>
      <c r="D101" s="1272"/>
      <c r="K101" s="496"/>
      <c r="L101" s="496"/>
      <c r="AO101" s="3428"/>
      <c r="AP101" s="3428"/>
      <c r="AQ101" s="3428"/>
      <c r="AR101" s="3428"/>
      <c r="AS101" s="3428"/>
    </row>
    <row r="102" spans="1:45" s="493" customFormat="1">
      <c r="A102" s="1271"/>
      <c r="D102" s="1272"/>
      <c r="K102" s="496"/>
      <c r="L102" s="496"/>
      <c r="AO102" s="3428"/>
      <c r="AP102" s="3428"/>
      <c r="AQ102" s="3428"/>
      <c r="AR102" s="3428"/>
      <c r="AS102" s="3428"/>
    </row>
    <row r="103" spans="1:45" s="493" customFormat="1">
      <c r="A103" s="1271"/>
      <c r="D103" s="1272"/>
      <c r="K103" s="496"/>
      <c r="L103" s="496"/>
      <c r="AO103" s="3428"/>
      <c r="AP103" s="3428"/>
      <c r="AQ103" s="3428"/>
      <c r="AR103" s="3428"/>
      <c r="AS103" s="3428"/>
    </row>
    <row r="104" spans="1:45" s="493" customFormat="1">
      <c r="A104" s="1271"/>
      <c r="D104" s="1272"/>
      <c r="K104" s="496"/>
      <c r="L104" s="496"/>
      <c r="AO104" s="3428"/>
      <c r="AP104" s="3428"/>
      <c r="AQ104" s="3428"/>
      <c r="AR104" s="3428"/>
      <c r="AS104" s="3428"/>
    </row>
    <row r="105" spans="1:45" s="493" customFormat="1">
      <c r="A105" s="1271"/>
      <c r="D105" s="1272"/>
      <c r="K105" s="496"/>
      <c r="L105" s="496"/>
      <c r="AO105" s="3428"/>
      <c r="AP105" s="3428"/>
      <c r="AQ105" s="3428"/>
      <c r="AR105" s="3428"/>
      <c r="AS105" s="3428"/>
    </row>
    <row r="106" spans="1:45" s="493" customFormat="1">
      <c r="A106" s="1271"/>
      <c r="D106" s="1272"/>
      <c r="K106" s="496"/>
      <c r="L106" s="496"/>
      <c r="AO106" s="3428"/>
      <c r="AP106" s="3428"/>
      <c r="AQ106" s="3428"/>
      <c r="AR106" s="3428"/>
      <c r="AS106" s="3428"/>
    </row>
    <row r="107" spans="1:45" s="493" customFormat="1">
      <c r="A107" s="1271"/>
      <c r="D107" s="1272"/>
      <c r="K107" s="496"/>
      <c r="L107" s="496"/>
      <c r="AO107" s="3428"/>
      <c r="AP107" s="3428"/>
      <c r="AQ107" s="3428"/>
      <c r="AR107" s="3428"/>
      <c r="AS107" s="3428"/>
    </row>
    <row r="108" spans="1:45" s="493" customFormat="1">
      <c r="A108" s="1271"/>
      <c r="D108" s="1272"/>
      <c r="K108" s="496"/>
      <c r="L108" s="496"/>
      <c r="AO108" s="3428"/>
      <c r="AP108" s="3428"/>
      <c r="AQ108" s="3428"/>
      <c r="AR108" s="3428"/>
      <c r="AS108" s="3428"/>
    </row>
    <row r="109" spans="1:45" s="493" customFormat="1">
      <c r="A109" s="1271"/>
      <c r="D109" s="1272"/>
      <c r="K109" s="496"/>
      <c r="L109" s="496"/>
      <c r="AO109" s="3428"/>
      <c r="AP109" s="3428"/>
      <c r="AQ109" s="3428"/>
      <c r="AR109" s="3428"/>
      <c r="AS109" s="3428"/>
    </row>
    <row r="110" spans="1:45" s="493" customFormat="1">
      <c r="A110" s="1271"/>
      <c r="D110" s="1272"/>
      <c r="K110" s="496"/>
      <c r="L110" s="496"/>
      <c r="AO110" s="3428"/>
      <c r="AP110" s="3428"/>
      <c r="AQ110" s="3428"/>
      <c r="AR110" s="3428"/>
      <c r="AS110" s="3428"/>
    </row>
    <row r="111" spans="1:45" s="493" customFormat="1">
      <c r="A111" s="1271"/>
      <c r="D111" s="1272"/>
      <c r="K111" s="496"/>
      <c r="L111" s="496"/>
      <c r="AO111" s="3428"/>
      <c r="AP111" s="3428"/>
      <c r="AQ111" s="3428"/>
      <c r="AR111" s="3428"/>
      <c r="AS111" s="3428"/>
    </row>
    <row r="112" spans="1:45" s="493" customFormat="1">
      <c r="A112" s="1271"/>
      <c r="D112" s="1272"/>
      <c r="K112" s="496"/>
      <c r="L112" s="496"/>
      <c r="AO112" s="3428"/>
      <c r="AP112" s="3428"/>
      <c r="AQ112" s="3428"/>
      <c r="AR112" s="3428"/>
      <c r="AS112" s="3428"/>
    </row>
    <row r="113" spans="1:45" s="493" customFormat="1">
      <c r="A113" s="1271"/>
      <c r="D113" s="1272"/>
      <c r="K113" s="496"/>
      <c r="L113" s="496"/>
      <c r="AO113" s="3428"/>
      <c r="AP113" s="3428"/>
      <c r="AQ113" s="3428"/>
      <c r="AR113" s="3428"/>
      <c r="AS113" s="3428"/>
    </row>
    <row r="114" spans="1:45" s="493" customFormat="1">
      <c r="A114" s="1271"/>
      <c r="D114" s="1272"/>
      <c r="K114" s="496"/>
      <c r="L114" s="496"/>
      <c r="AO114" s="3428"/>
      <c r="AP114" s="3428"/>
      <c r="AQ114" s="3428"/>
      <c r="AR114" s="3428"/>
      <c r="AS114" s="3428"/>
    </row>
    <row r="115" spans="1:45" s="493" customFormat="1">
      <c r="A115" s="1271"/>
      <c r="D115" s="1272"/>
      <c r="K115" s="496"/>
      <c r="L115" s="496"/>
      <c r="AO115" s="3428"/>
      <c r="AP115" s="3428"/>
      <c r="AQ115" s="3428"/>
      <c r="AR115" s="3428"/>
      <c r="AS115" s="3428"/>
    </row>
    <row r="116" spans="1:45" s="493" customFormat="1">
      <c r="A116" s="1271"/>
      <c r="D116" s="1272"/>
      <c r="K116" s="496"/>
      <c r="L116" s="496"/>
      <c r="AO116" s="3428"/>
      <c r="AP116" s="3428"/>
      <c r="AQ116" s="3428"/>
      <c r="AR116" s="3428"/>
      <c r="AS116" s="3428"/>
    </row>
    <row r="117" spans="1:45" s="493" customFormat="1">
      <c r="A117" s="1271"/>
      <c r="D117" s="1272"/>
      <c r="K117" s="496"/>
      <c r="L117" s="496"/>
      <c r="AO117" s="3428"/>
      <c r="AP117" s="3428"/>
      <c r="AQ117" s="3428"/>
      <c r="AR117" s="3428"/>
      <c r="AS117" s="3428"/>
    </row>
    <row r="118" spans="1:45" s="493" customFormat="1">
      <c r="A118" s="1271"/>
      <c r="D118" s="1272"/>
      <c r="K118" s="496"/>
      <c r="L118" s="496"/>
      <c r="AO118" s="3428"/>
      <c r="AP118" s="3428"/>
      <c r="AQ118" s="3428"/>
      <c r="AR118" s="3428"/>
      <c r="AS118" s="3428"/>
    </row>
    <row r="119" spans="1:45" s="493" customFormat="1">
      <c r="A119" s="1271"/>
      <c r="D119" s="1272"/>
      <c r="K119" s="496"/>
      <c r="L119" s="496"/>
      <c r="AO119" s="3428"/>
      <c r="AP119" s="3428"/>
      <c r="AQ119" s="3428"/>
      <c r="AR119" s="3428"/>
      <c r="AS119" s="3428"/>
    </row>
    <row r="120" spans="1:45" s="493" customFormat="1">
      <c r="A120" s="1271"/>
      <c r="D120" s="1272"/>
      <c r="K120" s="496"/>
      <c r="L120" s="496"/>
      <c r="AO120" s="3428"/>
      <c r="AP120" s="3428"/>
      <c r="AQ120" s="3428"/>
      <c r="AR120" s="3428"/>
      <c r="AS120" s="3428"/>
    </row>
    <row r="121" spans="1:45" s="493" customFormat="1">
      <c r="A121" s="1271"/>
      <c r="D121" s="1272"/>
      <c r="K121" s="496"/>
      <c r="L121" s="496"/>
      <c r="AO121" s="3428"/>
      <c r="AP121" s="3428"/>
      <c r="AQ121" s="3428"/>
      <c r="AR121" s="3428"/>
      <c r="AS121" s="3428"/>
    </row>
    <row r="122" spans="1:45" s="493" customFormat="1">
      <c r="A122" s="1271"/>
      <c r="D122" s="1272"/>
      <c r="K122" s="496"/>
      <c r="L122" s="496"/>
      <c r="AO122" s="3428"/>
      <c r="AP122" s="3428"/>
      <c r="AQ122" s="3428"/>
      <c r="AR122" s="3428"/>
      <c r="AS122" s="3428"/>
    </row>
    <row r="123" spans="1:45" s="493" customFormat="1">
      <c r="A123" s="1271"/>
      <c r="D123" s="1272"/>
      <c r="K123" s="496"/>
      <c r="L123" s="496"/>
      <c r="AO123" s="3428"/>
      <c r="AP123" s="3428"/>
      <c r="AQ123" s="3428"/>
      <c r="AR123" s="3428"/>
      <c r="AS123" s="3428"/>
    </row>
    <row r="124" spans="1:45" s="493" customFormat="1">
      <c r="A124" s="1271"/>
      <c r="D124" s="1272"/>
      <c r="K124" s="496"/>
      <c r="L124" s="496"/>
      <c r="AO124" s="3428"/>
      <c r="AP124" s="3428"/>
      <c r="AQ124" s="3428"/>
      <c r="AR124" s="3428"/>
      <c r="AS124" s="3428"/>
    </row>
    <row r="125" spans="1:45" s="493" customFormat="1">
      <c r="A125" s="1271"/>
      <c r="D125" s="1272"/>
      <c r="K125" s="496"/>
      <c r="L125" s="496"/>
      <c r="AO125" s="3428"/>
      <c r="AP125" s="3428"/>
      <c r="AQ125" s="3428"/>
      <c r="AR125" s="3428"/>
      <c r="AS125" s="3428"/>
    </row>
    <row r="126" spans="1:45" s="493" customFormat="1">
      <c r="A126" s="1271"/>
      <c r="D126" s="1272"/>
      <c r="K126" s="496"/>
      <c r="L126" s="496"/>
      <c r="AO126" s="3428"/>
      <c r="AP126" s="3428"/>
      <c r="AQ126" s="3428"/>
      <c r="AR126" s="3428"/>
      <c r="AS126" s="3428"/>
    </row>
    <row r="127" spans="1:45" s="493" customFormat="1">
      <c r="A127" s="1271"/>
      <c r="D127" s="1272"/>
      <c r="K127" s="496"/>
      <c r="L127" s="496"/>
      <c r="AO127" s="3428"/>
      <c r="AP127" s="3428"/>
      <c r="AQ127" s="3428"/>
      <c r="AR127" s="3428"/>
      <c r="AS127" s="3428"/>
    </row>
    <row r="128" spans="1:45" s="493" customFormat="1">
      <c r="A128" s="1271"/>
      <c r="D128" s="1272"/>
      <c r="K128" s="496"/>
      <c r="L128" s="496"/>
      <c r="AO128" s="3428"/>
      <c r="AP128" s="3428"/>
      <c r="AQ128" s="3428"/>
      <c r="AR128" s="3428"/>
      <c r="AS128" s="3428"/>
    </row>
    <row r="129" spans="1:45" s="493" customFormat="1">
      <c r="A129" s="1271"/>
      <c r="D129" s="1272"/>
      <c r="K129" s="496"/>
      <c r="L129" s="496"/>
      <c r="AO129" s="3428"/>
      <c r="AP129" s="3428"/>
      <c r="AQ129" s="3428"/>
      <c r="AR129" s="3428"/>
      <c r="AS129" s="3428"/>
    </row>
    <row r="130" spans="1:45" s="493" customFormat="1">
      <c r="A130" s="1271"/>
      <c r="D130" s="1272"/>
      <c r="K130" s="496"/>
      <c r="L130" s="496"/>
      <c r="AO130" s="3428"/>
      <c r="AP130" s="3428"/>
      <c r="AQ130" s="3428"/>
      <c r="AR130" s="3428"/>
      <c r="AS130" s="3428"/>
    </row>
    <row r="131" spans="1:45" s="493" customFormat="1">
      <c r="A131" s="1271"/>
      <c r="D131" s="1272"/>
      <c r="K131" s="496"/>
      <c r="L131" s="496"/>
      <c r="AO131" s="3428"/>
      <c r="AP131" s="3428"/>
      <c r="AQ131" s="3428"/>
      <c r="AR131" s="3428"/>
      <c r="AS131" s="3428"/>
    </row>
    <row r="132" spans="1:45" s="493" customFormat="1">
      <c r="A132" s="1271"/>
      <c r="D132" s="1272"/>
      <c r="K132" s="496"/>
      <c r="L132" s="496"/>
      <c r="AO132" s="3428"/>
      <c r="AP132" s="3428"/>
      <c r="AQ132" s="3428"/>
      <c r="AR132" s="3428"/>
      <c r="AS132" s="3428"/>
    </row>
    <row r="133" spans="1:45" s="493" customFormat="1">
      <c r="A133" s="1271"/>
      <c r="D133" s="1272"/>
      <c r="K133" s="496"/>
      <c r="L133" s="496"/>
      <c r="AO133" s="3428"/>
      <c r="AP133" s="3428"/>
      <c r="AQ133" s="3428"/>
      <c r="AR133" s="3428"/>
      <c r="AS133" s="3428"/>
    </row>
    <row r="134" spans="1:45" s="493" customFormat="1">
      <c r="A134" s="1271"/>
      <c r="D134" s="1272"/>
      <c r="K134" s="496"/>
      <c r="L134" s="496"/>
      <c r="AO134" s="3428"/>
      <c r="AP134" s="3428"/>
      <c r="AQ134" s="3428"/>
      <c r="AR134" s="3428"/>
      <c r="AS134" s="3428"/>
    </row>
    <row r="135" spans="1:45" s="48" customFormat="1">
      <c r="A135" s="1273"/>
      <c r="D135" s="1274"/>
      <c r="K135" s="15"/>
      <c r="L135" s="15"/>
      <c r="AO135" s="3423"/>
      <c r="AP135" s="3423"/>
      <c r="AQ135" s="3423"/>
      <c r="AR135" s="3423"/>
      <c r="AS135" s="3423"/>
    </row>
    <row r="136" spans="1:45" s="48" customFormat="1">
      <c r="A136" s="1273"/>
      <c r="D136" s="1274"/>
      <c r="K136" s="15"/>
      <c r="L136" s="15"/>
      <c r="AO136" s="3423"/>
      <c r="AP136" s="3423"/>
      <c r="AQ136" s="3423"/>
      <c r="AR136" s="3423"/>
      <c r="AS136" s="3423"/>
    </row>
    <row r="137" spans="1:45" s="48" customFormat="1">
      <c r="A137" s="1273"/>
      <c r="D137" s="1274"/>
      <c r="K137" s="15"/>
      <c r="L137" s="15"/>
      <c r="AO137" s="3423"/>
      <c r="AP137" s="3423"/>
      <c r="AQ137" s="3423"/>
      <c r="AR137" s="3423"/>
      <c r="AS137" s="3423"/>
    </row>
    <row r="138" spans="1:45" s="48" customFormat="1">
      <c r="A138" s="1273"/>
      <c r="D138" s="1274"/>
      <c r="K138" s="15"/>
      <c r="L138" s="15"/>
      <c r="AO138" s="3423"/>
      <c r="AP138" s="3423"/>
      <c r="AQ138" s="3423"/>
      <c r="AR138" s="3423"/>
      <c r="AS138" s="3423"/>
    </row>
    <row r="139" spans="1:45" s="48" customFormat="1">
      <c r="A139" s="1273"/>
      <c r="D139" s="1274"/>
      <c r="K139" s="15"/>
      <c r="L139" s="15"/>
      <c r="AO139" s="3423"/>
      <c r="AP139" s="3423"/>
      <c r="AQ139" s="3423"/>
      <c r="AR139" s="3423"/>
      <c r="AS139" s="3423"/>
    </row>
    <row r="140" spans="1:45" s="48" customFormat="1">
      <c r="A140" s="1273"/>
      <c r="D140" s="1274"/>
      <c r="K140" s="15"/>
      <c r="L140" s="15"/>
      <c r="AO140" s="3423"/>
      <c r="AP140" s="3423"/>
      <c r="AQ140" s="3423"/>
      <c r="AR140" s="3423"/>
      <c r="AS140" s="3423"/>
    </row>
    <row r="141" spans="1:45" s="48" customFormat="1">
      <c r="A141" s="1273"/>
      <c r="D141" s="1274"/>
      <c r="K141" s="15"/>
      <c r="L141" s="15"/>
      <c r="AO141" s="3423"/>
      <c r="AP141" s="3423"/>
      <c r="AQ141" s="3423"/>
      <c r="AR141" s="3423"/>
      <c r="AS141" s="3423"/>
    </row>
    <row r="142" spans="1:45" s="48" customFormat="1">
      <c r="A142" s="1273"/>
      <c r="D142" s="1274"/>
      <c r="K142" s="15"/>
      <c r="L142" s="15"/>
      <c r="AO142" s="3423"/>
      <c r="AP142" s="3423"/>
      <c r="AQ142" s="3423"/>
      <c r="AR142" s="3423"/>
      <c r="AS142" s="3423"/>
    </row>
    <row r="143" spans="1:45" s="48" customFormat="1">
      <c r="A143" s="1273"/>
      <c r="D143" s="1274"/>
      <c r="K143" s="15"/>
      <c r="L143" s="15"/>
      <c r="AO143" s="3423"/>
      <c r="AP143" s="3423"/>
      <c r="AQ143" s="3423"/>
      <c r="AR143" s="3423"/>
      <c r="AS143" s="3423"/>
    </row>
    <row r="144" spans="1:45" s="48" customFormat="1">
      <c r="A144" s="1273"/>
      <c r="D144" s="1274"/>
      <c r="K144" s="15"/>
      <c r="L144" s="15"/>
      <c r="AO144" s="3423"/>
      <c r="AP144" s="3423"/>
      <c r="AQ144" s="3423"/>
      <c r="AR144" s="3423"/>
      <c r="AS144" s="3423"/>
    </row>
    <row r="145" spans="1:45" s="48" customFormat="1">
      <c r="A145" s="1273"/>
      <c r="D145" s="1274"/>
      <c r="K145" s="15"/>
      <c r="L145" s="15"/>
      <c r="AO145" s="3423"/>
      <c r="AP145" s="3423"/>
      <c r="AQ145" s="3423"/>
      <c r="AR145" s="3423"/>
      <c r="AS145" s="3423"/>
    </row>
    <row r="146" spans="1:45" s="48" customFormat="1">
      <c r="A146" s="1273"/>
      <c r="D146" s="1274"/>
      <c r="K146" s="15"/>
      <c r="L146" s="15"/>
      <c r="AO146" s="3423"/>
      <c r="AP146" s="3423"/>
      <c r="AQ146" s="3423"/>
      <c r="AR146" s="3423"/>
      <c r="AS146" s="3423"/>
    </row>
    <row r="147" spans="1:45" s="48" customFormat="1">
      <c r="A147" s="1273"/>
      <c r="D147" s="1274"/>
      <c r="K147" s="15"/>
      <c r="L147" s="15"/>
      <c r="AO147" s="3423"/>
      <c r="AP147" s="3423"/>
      <c r="AQ147" s="3423"/>
      <c r="AR147" s="3423"/>
      <c r="AS147" s="3423"/>
    </row>
    <row r="148" spans="1:45" s="48" customFormat="1">
      <c r="A148" s="1273"/>
      <c r="D148" s="1274"/>
      <c r="K148" s="15"/>
      <c r="L148" s="15"/>
      <c r="AO148" s="3423"/>
      <c r="AP148" s="3423"/>
      <c r="AQ148" s="3423"/>
      <c r="AR148" s="3423"/>
      <c r="AS148" s="3423"/>
    </row>
    <row r="149" spans="1:45" s="48" customFormat="1">
      <c r="A149" s="1273"/>
      <c r="D149" s="1274"/>
      <c r="K149" s="15"/>
      <c r="L149" s="15"/>
      <c r="AO149" s="3423"/>
      <c r="AP149" s="3423"/>
      <c r="AQ149" s="3423"/>
      <c r="AR149" s="3423"/>
      <c r="AS149" s="3423"/>
    </row>
    <row r="150" spans="1:45" s="48" customFormat="1">
      <c r="A150" s="1273"/>
      <c r="D150" s="1274"/>
      <c r="K150" s="15"/>
      <c r="L150" s="15"/>
      <c r="AO150" s="3423"/>
      <c r="AP150" s="3423"/>
      <c r="AQ150" s="3423"/>
      <c r="AR150" s="3423"/>
      <c r="AS150" s="3423"/>
    </row>
    <row r="151" spans="1:45" s="48" customFormat="1">
      <c r="A151" s="1273"/>
      <c r="D151" s="1274"/>
      <c r="K151" s="15"/>
      <c r="L151" s="15"/>
      <c r="AO151" s="3423"/>
      <c r="AP151" s="3423"/>
      <c r="AQ151" s="3423"/>
      <c r="AR151" s="3423"/>
      <c r="AS151" s="3423"/>
    </row>
    <row r="152" spans="1:45" s="48" customFormat="1">
      <c r="A152" s="1273"/>
      <c r="D152" s="1274"/>
      <c r="K152" s="15"/>
      <c r="L152" s="15"/>
      <c r="AO152" s="3423"/>
      <c r="AP152" s="3423"/>
      <c r="AQ152" s="3423"/>
      <c r="AR152" s="3423"/>
      <c r="AS152" s="3423"/>
    </row>
    <row r="153" spans="1:45" s="48" customFormat="1">
      <c r="A153" s="1273"/>
      <c r="D153" s="1274"/>
      <c r="K153" s="15"/>
      <c r="L153" s="15"/>
      <c r="AO153" s="3423"/>
      <c r="AP153" s="3423"/>
      <c r="AQ153" s="3423"/>
      <c r="AR153" s="3423"/>
      <c r="AS153" s="3423"/>
    </row>
    <row r="154" spans="1:45" s="48" customFormat="1">
      <c r="A154" s="1273"/>
      <c r="D154" s="1274"/>
      <c r="K154" s="15"/>
      <c r="L154" s="15"/>
      <c r="AO154" s="3423"/>
      <c r="AP154" s="3423"/>
      <c r="AQ154" s="3423"/>
      <c r="AR154" s="3423"/>
      <c r="AS154" s="3423"/>
    </row>
    <row r="155" spans="1:45" s="48" customFormat="1">
      <c r="A155" s="1273"/>
      <c r="D155" s="1274"/>
      <c r="K155" s="15"/>
      <c r="L155" s="15"/>
      <c r="AO155" s="3423"/>
      <c r="AP155" s="3423"/>
      <c r="AQ155" s="3423"/>
      <c r="AR155" s="3423"/>
      <c r="AS155" s="3423"/>
    </row>
    <row r="156" spans="1:45" s="48" customFormat="1">
      <c r="A156" s="1273"/>
      <c r="D156" s="1274"/>
      <c r="K156" s="15"/>
      <c r="L156" s="15"/>
      <c r="AO156" s="3423"/>
      <c r="AP156" s="3423"/>
      <c r="AQ156" s="3423"/>
      <c r="AR156" s="3423"/>
      <c r="AS156" s="3423"/>
    </row>
    <row r="157" spans="1:45" s="48" customFormat="1">
      <c r="A157" s="1273"/>
      <c r="D157" s="1274"/>
      <c r="K157" s="15"/>
      <c r="L157" s="15"/>
      <c r="AO157" s="3423"/>
      <c r="AP157" s="3423"/>
      <c r="AQ157" s="3423"/>
      <c r="AR157" s="3423"/>
      <c r="AS157" s="3423"/>
    </row>
    <row r="158" spans="1:45" s="48" customFormat="1">
      <c r="A158" s="1273"/>
      <c r="D158" s="1274"/>
      <c r="K158" s="15"/>
      <c r="L158" s="15"/>
      <c r="AO158" s="3423"/>
      <c r="AP158" s="3423"/>
      <c r="AQ158" s="3423"/>
      <c r="AR158" s="3423"/>
      <c r="AS158" s="3423"/>
    </row>
    <row r="159" spans="1:45" s="48" customFormat="1">
      <c r="A159" s="1273"/>
      <c r="D159" s="1274"/>
      <c r="K159" s="15"/>
      <c r="L159" s="15"/>
      <c r="AO159" s="3423"/>
      <c r="AP159" s="3423"/>
      <c r="AQ159" s="3423"/>
      <c r="AR159" s="3423"/>
      <c r="AS159" s="3423"/>
    </row>
    <row r="160" spans="1:45" s="48" customFormat="1">
      <c r="A160" s="1273"/>
      <c r="D160" s="1274"/>
      <c r="K160" s="15"/>
      <c r="L160" s="15"/>
      <c r="AO160" s="3423"/>
      <c r="AP160" s="3423"/>
      <c r="AQ160" s="3423"/>
      <c r="AR160" s="3423"/>
      <c r="AS160" s="3423"/>
    </row>
    <row r="161" spans="1:45" s="48" customFormat="1">
      <c r="A161" s="1273"/>
      <c r="D161" s="1274"/>
      <c r="K161" s="15"/>
      <c r="L161" s="15"/>
      <c r="AO161" s="3423"/>
      <c r="AP161" s="3423"/>
      <c r="AQ161" s="3423"/>
      <c r="AR161" s="3423"/>
      <c r="AS161" s="3423"/>
    </row>
    <row r="162" spans="1:45" s="48" customFormat="1">
      <c r="A162" s="1273"/>
      <c r="D162" s="1274"/>
      <c r="K162" s="15"/>
      <c r="L162" s="15"/>
      <c r="AO162" s="3423"/>
      <c r="AP162" s="3423"/>
      <c r="AQ162" s="3423"/>
      <c r="AR162" s="3423"/>
      <c r="AS162" s="3423"/>
    </row>
    <row r="163" spans="1:45" s="48" customFormat="1">
      <c r="A163" s="1273"/>
      <c r="D163" s="1274"/>
      <c r="K163" s="15"/>
      <c r="L163" s="15"/>
      <c r="AO163" s="3423"/>
      <c r="AP163" s="3423"/>
      <c r="AQ163" s="3423"/>
      <c r="AR163" s="3423"/>
      <c r="AS163" s="3423"/>
    </row>
    <row r="164" spans="1:45" s="48" customFormat="1">
      <c r="A164" s="1273"/>
      <c r="D164" s="1274"/>
      <c r="K164" s="15"/>
      <c r="L164" s="15"/>
      <c r="AO164" s="3423"/>
      <c r="AP164" s="3423"/>
      <c r="AQ164" s="3423"/>
      <c r="AR164" s="3423"/>
      <c r="AS164" s="3423"/>
    </row>
    <row r="165" spans="1:45" s="48" customFormat="1">
      <c r="A165" s="1273"/>
      <c r="D165" s="1274"/>
      <c r="K165" s="15"/>
      <c r="L165" s="15"/>
      <c r="AO165" s="3423"/>
      <c r="AP165" s="3423"/>
      <c r="AQ165" s="3423"/>
      <c r="AR165" s="3423"/>
      <c r="AS165" s="3423"/>
    </row>
    <row r="166" spans="1:45" s="48" customFormat="1">
      <c r="A166" s="1273"/>
      <c r="D166" s="1274"/>
      <c r="K166" s="15"/>
      <c r="L166" s="15"/>
      <c r="AO166" s="3423"/>
      <c r="AP166" s="3423"/>
      <c r="AQ166" s="3423"/>
      <c r="AR166" s="3423"/>
      <c r="AS166" s="3423"/>
    </row>
    <row r="167" spans="1:45" s="48" customFormat="1">
      <c r="A167" s="1273"/>
      <c r="D167" s="1274"/>
      <c r="K167" s="15"/>
      <c r="L167" s="15"/>
      <c r="AO167" s="3423"/>
      <c r="AP167" s="3423"/>
      <c r="AQ167" s="3423"/>
      <c r="AR167" s="3423"/>
      <c r="AS167" s="3423"/>
    </row>
    <row r="168" spans="1:45" s="48" customFormat="1">
      <c r="A168" s="1273"/>
      <c r="D168" s="1274"/>
      <c r="K168" s="15"/>
      <c r="L168" s="15"/>
      <c r="AO168" s="3423"/>
      <c r="AP168" s="3423"/>
      <c r="AQ168" s="3423"/>
      <c r="AR168" s="3423"/>
      <c r="AS168" s="3423"/>
    </row>
    <row r="169" spans="1:45" s="48" customFormat="1">
      <c r="A169" s="1273"/>
      <c r="D169" s="1274"/>
      <c r="K169" s="15"/>
      <c r="L169" s="15"/>
      <c r="AO169" s="3423"/>
      <c r="AP169" s="3423"/>
      <c r="AQ169" s="3423"/>
      <c r="AR169" s="3423"/>
      <c r="AS169" s="3423"/>
    </row>
    <row r="170" spans="1:45" s="48" customFormat="1">
      <c r="A170" s="1273"/>
      <c r="D170" s="1274"/>
      <c r="K170" s="15"/>
      <c r="L170" s="15"/>
      <c r="AO170" s="3423"/>
      <c r="AP170" s="3423"/>
      <c r="AQ170" s="3423"/>
      <c r="AR170" s="3423"/>
      <c r="AS170" s="3423"/>
    </row>
    <row r="171" spans="1:45" s="48" customFormat="1">
      <c r="A171" s="1273"/>
      <c r="D171" s="1274"/>
      <c r="K171" s="15"/>
      <c r="L171" s="15"/>
      <c r="AO171" s="3423"/>
      <c r="AP171" s="3423"/>
      <c r="AQ171" s="3423"/>
      <c r="AR171" s="3423"/>
      <c r="AS171" s="3423"/>
    </row>
    <row r="172" spans="1:45" s="48" customFormat="1">
      <c r="A172" s="1273"/>
      <c r="D172" s="1274"/>
      <c r="K172" s="15"/>
      <c r="L172" s="15"/>
      <c r="AO172" s="3423"/>
      <c r="AP172" s="3423"/>
      <c r="AQ172" s="3423"/>
      <c r="AR172" s="3423"/>
      <c r="AS172" s="3423"/>
    </row>
    <row r="173" spans="1:45" s="48" customFormat="1">
      <c r="A173" s="1273"/>
      <c r="D173" s="1274"/>
      <c r="K173" s="15"/>
      <c r="L173" s="15"/>
      <c r="AO173" s="3423"/>
      <c r="AP173" s="3423"/>
      <c r="AQ173" s="3423"/>
      <c r="AR173" s="3423"/>
      <c r="AS173" s="3423"/>
    </row>
    <row r="174" spans="1:45" s="48" customFormat="1">
      <c r="A174" s="1273"/>
      <c r="D174" s="1274"/>
      <c r="K174" s="15"/>
      <c r="L174" s="15"/>
      <c r="AO174" s="3423"/>
      <c r="AP174" s="3423"/>
      <c r="AQ174" s="3423"/>
      <c r="AR174" s="3423"/>
      <c r="AS174" s="3423"/>
    </row>
    <row r="175" spans="1:45" s="48" customFormat="1">
      <c r="A175" s="1273"/>
      <c r="D175" s="1274"/>
      <c r="K175" s="15"/>
      <c r="L175" s="15"/>
      <c r="AO175" s="3423"/>
      <c r="AP175" s="3423"/>
      <c r="AQ175" s="3423"/>
      <c r="AR175" s="3423"/>
      <c r="AS175" s="3423"/>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87" customWidth="1"/>
    <col min="2" max="3" width="24.5" style="1132" customWidth="1"/>
    <col min="4" max="4" width="2.625" style="1132" customWidth="1"/>
    <col min="5" max="5" width="5.875" style="1132" customWidth="1"/>
    <col min="6" max="7" width="27" style="1132" customWidth="1"/>
    <col min="8" max="8" width="11.875" style="1850" customWidth="1"/>
    <col min="9" max="9" width="16.75" style="1850" customWidth="1"/>
    <col min="10" max="10" width="2.625" style="1850" customWidth="1"/>
    <col min="11" max="11" width="11.875" style="1850" customWidth="1"/>
    <col min="12" max="12" width="16.75" style="1850" customWidth="1"/>
    <col min="13" max="13" width="2.625" style="1850" customWidth="1"/>
    <col min="14" max="14" width="11.875" style="1850" customWidth="1"/>
    <col min="15" max="15" width="16.75" style="1850" customWidth="1"/>
    <col min="16" max="16" width="2.625" style="1850" customWidth="1"/>
    <col min="17" max="17" width="11.875" style="1850" customWidth="1"/>
    <col min="18" max="18" width="16.75" style="539" customWidth="1"/>
    <col min="19" max="29" width="9" style="539"/>
    <col min="30" max="16384" width="9" style="1187"/>
  </cols>
  <sheetData>
    <row r="1" spans="1:29" s="1832" customFormat="1" ht="18.75" thickBot="1">
      <c r="A1" s="4428" t="s">
        <v>2186</v>
      </c>
      <c r="B1" s="4429"/>
      <c r="C1" s="4429"/>
      <c r="D1" s="4429"/>
      <c r="E1" s="4429"/>
      <c r="F1" s="4429"/>
      <c r="G1" s="4429"/>
      <c r="H1" s="1829"/>
      <c r="I1" s="1829"/>
      <c r="J1" s="1829"/>
      <c r="K1" s="1829"/>
      <c r="L1" s="1829"/>
      <c r="M1" s="1829"/>
      <c r="N1" s="1829"/>
      <c r="O1" s="1829"/>
      <c r="P1" s="1829"/>
      <c r="Q1" s="1830"/>
      <c r="R1" s="1831"/>
      <c r="S1" s="1831"/>
      <c r="T1" s="1831"/>
      <c r="U1" s="1831"/>
      <c r="V1" s="1831"/>
      <c r="W1" s="1831"/>
      <c r="X1" s="1831"/>
      <c r="Y1" s="1831"/>
      <c r="Z1" s="1831"/>
      <c r="AA1" s="1831"/>
      <c r="AB1" s="1831"/>
      <c r="AC1" s="1831"/>
    </row>
    <row r="2" spans="1:29" ht="15" thickBot="1">
      <c r="A2" s="1833"/>
      <c r="B2" s="1834"/>
      <c r="C2" s="1835" t="s">
        <v>2183</v>
      </c>
      <c r="D2" s="1254"/>
      <c r="E2" s="1833"/>
      <c r="F2" s="1836"/>
      <c r="G2" s="1835" t="s">
        <v>2184</v>
      </c>
      <c r="H2" s="539"/>
      <c r="I2" s="539"/>
      <c r="J2" s="539"/>
      <c r="K2" s="539"/>
      <c r="L2" s="539"/>
      <c r="M2" s="539"/>
      <c r="N2" s="539"/>
      <c r="O2" s="539"/>
      <c r="P2" s="539"/>
      <c r="Q2" s="539"/>
    </row>
    <row r="3" spans="1:29" ht="24">
      <c r="A3" s="1820" t="s">
        <v>2185</v>
      </c>
      <c r="B3" s="1837" t="s">
        <v>2161</v>
      </c>
      <c r="C3" s="1838"/>
      <c r="D3" s="1839"/>
      <c r="E3" s="1821" t="s">
        <v>2185</v>
      </c>
      <c r="F3" s="1840" t="s">
        <v>2162</v>
      </c>
      <c r="G3" s="1841"/>
      <c r="H3" s="539"/>
      <c r="I3" s="539"/>
      <c r="J3" s="539"/>
      <c r="K3" s="539"/>
      <c r="L3" s="539"/>
      <c r="M3" s="539"/>
      <c r="N3" s="539"/>
      <c r="O3" s="539"/>
      <c r="P3" s="539"/>
      <c r="Q3" s="539"/>
    </row>
    <row r="4" spans="1:29">
      <c r="A4" s="1821"/>
      <c r="B4" s="206" t="s">
        <v>2163</v>
      </c>
      <c r="C4" s="1842"/>
      <c r="D4" s="1839"/>
      <c r="E4" s="1843"/>
      <c r="F4" s="950" t="s">
        <v>2164</v>
      </c>
      <c r="G4" s="1844"/>
      <c r="H4" s="539"/>
      <c r="I4" s="539"/>
      <c r="J4" s="539"/>
      <c r="K4" s="539"/>
      <c r="L4" s="539"/>
      <c r="M4" s="539"/>
      <c r="N4" s="539"/>
      <c r="O4" s="539"/>
      <c r="P4" s="539"/>
      <c r="Q4" s="539"/>
    </row>
    <row r="5" spans="1:29">
      <c r="A5" s="1821"/>
      <c r="B5" s="206" t="s">
        <v>2165</v>
      </c>
      <c r="C5" s="1842"/>
      <c r="D5" s="1839"/>
      <c r="E5" s="1843"/>
      <c r="F5" s="206" t="s">
        <v>2166</v>
      </c>
      <c r="G5" s="1844"/>
      <c r="H5" s="539"/>
      <c r="I5" s="539"/>
      <c r="J5" s="539"/>
      <c r="K5" s="539"/>
      <c r="L5" s="539"/>
      <c r="M5" s="539"/>
      <c r="N5" s="539"/>
      <c r="O5" s="539"/>
      <c r="P5" s="539"/>
      <c r="Q5" s="539"/>
    </row>
    <row r="6" spans="1:29">
      <c r="A6" s="1821"/>
      <c r="B6" s="206" t="s">
        <v>2167</v>
      </c>
      <c r="C6" s="1844"/>
      <c r="D6" s="1839"/>
      <c r="E6" s="1843"/>
      <c r="F6" s="206" t="s">
        <v>2168</v>
      </c>
      <c r="G6" s="1844"/>
      <c r="H6" s="539"/>
      <c r="I6" s="539"/>
      <c r="J6" s="539"/>
      <c r="K6" s="539"/>
      <c r="L6" s="539"/>
      <c r="M6" s="539"/>
      <c r="N6" s="539"/>
      <c r="O6" s="539"/>
      <c r="P6" s="539"/>
      <c r="Q6" s="539"/>
    </row>
    <row r="7" spans="1:29" ht="15" thickBot="1">
      <c r="A7" s="1821"/>
      <c r="B7" s="206" t="s">
        <v>2166</v>
      </c>
      <c r="C7" s="1844"/>
      <c r="D7" s="1818"/>
      <c r="E7" s="1845"/>
      <c r="F7" s="1846" t="s">
        <v>2169</v>
      </c>
      <c r="G7" s="1847"/>
      <c r="H7" s="539"/>
      <c r="I7" s="539"/>
      <c r="J7" s="539"/>
      <c r="K7" s="539"/>
      <c r="L7" s="539"/>
      <c r="M7" s="539"/>
      <c r="N7" s="539"/>
      <c r="O7" s="539"/>
      <c r="P7" s="539"/>
      <c r="Q7" s="539"/>
    </row>
    <row r="8" spans="1:29">
      <c r="A8" s="1821"/>
      <c r="B8" s="206" t="s">
        <v>2168</v>
      </c>
      <c r="C8" s="1844"/>
      <c r="D8" s="1818"/>
      <c r="E8" s="1818"/>
      <c r="F8" s="47"/>
      <c r="G8" s="47"/>
      <c r="H8" s="539"/>
      <c r="I8" s="539"/>
      <c r="J8" s="539"/>
      <c r="K8" s="539"/>
      <c r="L8" s="539"/>
      <c r="M8" s="539"/>
      <c r="N8" s="539"/>
      <c r="O8" s="539"/>
      <c r="P8" s="539"/>
      <c r="Q8" s="539"/>
    </row>
    <row r="9" spans="1:29">
      <c r="A9" s="1821"/>
      <c r="B9" s="206" t="s">
        <v>2170</v>
      </c>
      <c r="C9" s="1842"/>
      <c r="D9" s="1839"/>
      <c r="E9" s="1818"/>
      <c r="F9" s="47"/>
      <c r="G9" s="47"/>
      <c r="H9" s="539"/>
      <c r="I9" s="539"/>
      <c r="J9" s="539"/>
      <c r="K9" s="539"/>
      <c r="L9" s="539"/>
      <c r="M9" s="539"/>
      <c r="N9" s="539"/>
      <c r="O9" s="539"/>
      <c r="P9" s="539"/>
      <c r="Q9" s="539"/>
    </row>
    <row r="10" spans="1:29" ht="15" thickBot="1">
      <c r="A10" s="1822"/>
      <c r="B10" s="1848" t="s">
        <v>2171</v>
      </c>
      <c r="C10" s="1849"/>
      <c r="D10" s="1839"/>
      <c r="E10" s="1839"/>
      <c r="F10" s="47"/>
      <c r="G10" s="47"/>
      <c r="J10" s="1851"/>
      <c r="M10" s="1851"/>
      <c r="P10" s="1851"/>
      <c r="R10" s="1850"/>
    </row>
    <row r="11" spans="1:29">
      <c r="A11" s="1852"/>
      <c r="B11" s="1818"/>
      <c r="C11" s="1839"/>
      <c r="D11" s="1839"/>
      <c r="E11" s="1839"/>
      <c r="F11" s="1818"/>
      <c r="G11" s="1818"/>
      <c r="J11" s="1851"/>
      <c r="M11" s="1851"/>
      <c r="P11" s="1851"/>
      <c r="R11" s="1850"/>
    </row>
    <row r="12" spans="1:29" s="1832" customFormat="1" ht="18">
      <c r="A12" s="1852"/>
      <c r="B12" s="1818"/>
      <c r="C12" s="1839"/>
      <c r="D12" s="1853"/>
      <c r="E12" s="1839"/>
      <c r="F12" s="1818"/>
      <c r="G12" s="1818"/>
      <c r="H12" s="1854"/>
      <c r="I12" s="1854"/>
      <c r="J12" s="1854"/>
      <c r="K12" s="1854"/>
      <c r="L12" s="1855"/>
      <c r="M12" s="1854"/>
      <c r="N12" s="1856"/>
      <c r="O12" s="1856"/>
      <c r="P12" s="1856"/>
      <c r="Q12" s="1856"/>
      <c r="R12" s="1831"/>
      <c r="S12" s="1831"/>
      <c r="T12" s="1831"/>
      <c r="U12" s="1831"/>
      <c r="V12" s="1831"/>
      <c r="W12" s="1831"/>
      <c r="X12" s="1831"/>
      <c r="Y12" s="1831"/>
      <c r="Z12" s="1831"/>
      <c r="AA12" s="1831"/>
      <c r="AB12" s="1831"/>
      <c r="AC12" s="1831"/>
    </row>
    <row r="13" spans="1:29" ht="15.75" thickBot="1">
      <c r="A13" s="1857" t="s">
        <v>2187</v>
      </c>
      <c r="B13" s="1853"/>
      <c r="C13" s="1853"/>
      <c r="D13" s="1852"/>
      <c r="E13" s="1853"/>
      <c r="F13" s="1853"/>
      <c r="G13" s="1853"/>
    </row>
    <row r="14" spans="1:29" ht="15" thickBot="1">
      <c r="A14" s="1858"/>
      <c r="B14" s="1858"/>
      <c r="C14" s="1859" t="s">
        <v>2172</v>
      </c>
      <c r="D14" s="1839"/>
      <c r="E14" s="1860"/>
      <c r="F14" s="1860"/>
      <c r="G14" s="1835" t="s">
        <v>2173</v>
      </c>
    </row>
    <row r="15" spans="1:29" ht="24">
      <c r="A15" s="1823" t="s">
        <v>2174</v>
      </c>
      <c r="B15" s="1861" t="s">
        <v>2161</v>
      </c>
      <c r="C15" s="1862">
        <f>C3</f>
        <v>0</v>
      </c>
      <c r="D15" s="1839"/>
      <c r="E15" s="1824" t="s">
        <v>2175</v>
      </c>
      <c r="F15" s="1861" t="s">
        <v>2176</v>
      </c>
      <c r="G15" s="1863">
        <f>G3</f>
        <v>0</v>
      </c>
    </row>
    <row r="16" spans="1:29">
      <c r="A16" s="1825"/>
      <c r="B16" s="1864" t="s">
        <v>2163</v>
      </c>
      <c r="C16" s="1865">
        <f>C4</f>
        <v>0</v>
      </c>
      <c r="D16" s="1839"/>
      <c r="E16" s="1826"/>
      <c r="F16" s="1866" t="s">
        <v>2164</v>
      </c>
      <c r="G16" s="1867">
        <f>G4</f>
        <v>0</v>
      </c>
    </row>
    <row r="17" spans="1:17">
      <c r="A17" s="1825"/>
      <c r="B17" s="1864" t="s">
        <v>2165</v>
      </c>
      <c r="C17" s="1865">
        <f>C5</f>
        <v>0</v>
      </c>
      <c r="D17" s="1818"/>
      <c r="E17" s="1826"/>
      <c r="F17" s="1866" t="s">
        <v>2177</v>
      </c>
      <c r="G17" s="1868"/>
    </row>
    <row r="18" spans="1:17">
      <c r="A18" s="1825"/>
      <c r="B18" s="1866" t="s">
        <v>2167</v>
      </c>
      <c r="C18" s="1867">
        <f>C6</f>
        <v>0</v>
      </c>
      <c r="D18" s="1818"/>
      <c r="E18" s="1826"/>
      <c r="F18" s="1866" t="s">
        <v>2169</v>
      </c>
      <c r="G18" s="1867">
        <f>G7</f>
        <v>0</v>
      </c>
    </row>
    <row r="19" spans="1:17">
      <c r="A19" s="1825"/>
      <c r="B19" s="1866" t="s">
        <v>2178</v>
      </c>
      <c r="C19" s="1868"/>
      <c r="D19" s="1839"/>
      <c r="E19" s="1826"/>
      <c r="F19" s="206" t="s">
        <v>2166</v>
      </c>
      <c r="G19" s="1867">
        <f>G5</f>
        <v>0</v>
      </c>
    </row>
    <row r="20" spans="1:17">
      <c r="A20" s="1825"/>
      <c r="B20" s="1866" t="s">
        <v>2179</v>
      </c>
      <c r="C20" s="1865">
        <f>C9</f>
        <v>0</v>
      </c>
      <c r="D20" s="1818"/>
      <c r="E20" s="1826"/>
      <c r="F20" s="206" t="s">
        <v>2168</v>
      </c>
      <c r="G20" s="1867">
        <f>G6</f>
        <v>0</v>
      </c>
    </row>
    <row r="21" spans="1:17">
      <c r="A21" s="1825"/>
      <c r="B21" s="206" t="s">
        <v>2166</v>
      </c>
      <c r="C21" s="1867">
        <f>C7</f>
        <v>0</v>
      </c>
      <c r="D21" s="1839"/>
      <c r="E21" s="1826"/>
      <c r="F21" s="1866" t="s">
        <v>2180</v>
      </c>
      <c r="G21" s="1869"/>
    </row>
    <row r="22" spans="1:17" ht="13.5" customHeight="1">
      <c r="A22" s="1825"/>
      <c r="B22" s="206" t="s">
        <v>2168</v>
      </c>
      <c r="C22" s="1867">
        <f>C8</f>
        <v>0</v>
      </c>
      <c r="D22" s="1839"/>
      <c r="E22" s="1826"/>
      <c r="F22" s="1866" t="s">
        <v>2171</v>
      </c>
      <c r="G22" s="1868"/>
    </row>
    <row r="23" spans="1:17" s="539" customFormat="1" ht="15" thickBot="1">
      <c r="A23" s="1825"/>
      <c r="B23" s="1866" t="s">
        <v>2180</v>
      </c>
      <c r="C23" s="1869"/>
      <c r="D23" s="1271"/>
      <c r="E23" s="1827"/>
      <c r="F23" s="1870" t="s">
        <v>2181</v>
      </c>
      <c r="G23" s="1871"/>
      <c r="H23" s="1850"/>
      <c r="I23" s="1850"/>
      <c r="J23" s="1850"/>
      <c r="K23" s="1850"/>
      <c r="L23" s="1850"/>
      <c r="M23" s="1850"/>
      <c r="N23" s="1850"/>
      <c r="O23" s="1850"/>
      <c r="P23" s="1850"/>
      <c r="Q23" s="1850"/>
    </row>
    <row r="24" spans="1:17" s="539" customFormat="1" ht="15" thickBot="1">
      <c r="A24" s="1828"/>
      <c r="B24" s="1870" t="s">
        <v>2182</v>
      </c>
      <c r="C24" s="1872">
        <f>C10</f>
        <v>0</v>
      </c>
      <c r="D24" s="1271"/>
      <c r="E24" s="1818"/>
      <c r="F24" s="1818"/>
      <c r="G24" s="1818"/>
      <c r="H24" s="1850"/>
      <c r="I24" s="1850"/>
      <c r="J24" s="1850"/>
      <c r="K24" s="1850"/>
      <c r="L24" s="1850"/>
      <c r="M24" s="1850"/>
      <c r="N24" s="1850"/>
      <c r="O24" s="1850"/>
      <c r="P24" s="1850"/>
      <c r="Q24" s="1850"/>
    </row>
    <row r="25" spans="1:17" s="539" customFormat="1">
      <c r="B25" s="1850"/>
      <c r="C25" s="1850"/>
      <c r="D25" s="1850"/>
      <c r="H25" s="1850"/>
      <c r="I25" s="1850"/>
      <c r="J25" s="1850"/>
      <c r="K25" s="1850"/>
      <c r="L25" s="1850"/>
      <c r="M25" s="1850"/>
      <c r="N25" s="1850"/>
      <c r="O25" s="1850"/>
      <c r="P25" s="1850"/>
      <c r="Q25" s="1850"/>
    </row>
    <row r="26" spans="1:17" s="539" customFormat="1">
      <c r="B26" s="1850"/>
      <c r="C26" s="1850"/>
      <c r="D26" s="1850"/>
      <c r="H26" s="1850"/>
      <c r="I26" s="1850"/>
      <c r="J26" s="1850"/>
      <c r="K26" s="1850"/>
      <c r="L26" s="1850"/>
      <c r="M26" s="1850"/>
      <c r="N26" s="1850"/>
      <c r="O26" s="1850"/>
      <c r="P26" s="1850"/>
      <c r="Q26" s="1850"/>
    </row>
    <row r="27" spans="1:17" s="539" customFormat="1">
      <c r="B27" s="1850"/>
      <c r="C27" s="1850"/>
      <c r="D27" s="1850"/>
      <c r="H27" s="1850"/>
      <c r="I27" s="1850"/>
      <c r="J27" s="1850"/>
      <c r="K27" s="1850"/>
      <c r="L27" s="1850"/>
      <c r="M27" s="1850"/>
      <c r="N27" s="1850"/>
      <c r="O27" s="1850"/>
      <c r="P27" s="1850"/>
      <c r="Q27" s="1850"/>
    </row>
    <row r="28" spans="1:17" s="539" customFormat="1">
      <c r="B28" s="1850"/>
      <c r="C28" s="1850"/>
      <c r="D28" s="1850"/>
      <c r="H28" s="1850"/>
      <c r="I28" s="1850"/>
      <c r="J28" s="1850"/>
      <c r="K28" s="1850"/>
      <c r="L28" s="1850"/>
      <c r="M28" s="1850"/>
      <c r="N28" s="1850"/>
      <c r="O28" s="1850"/>
      <c r="P28" s="1850"/>
      <c r="Q28" s="1850"/>
    </row>
    <row r="29" spans="1:17" s="539" customFormat="1">
      <c r="B29" s="1850"/>
      <c r="C29" s="1850"/>
      <c r="D29" s="1850"/>
      <c r="H29" s="1850"/>
      <c r="I29" s="1850"/>
      <c r="J29" s="1850"/>
      <c r="K29" s="1850"/>
      <c r="L29" s="1850"/>
      <c r="M29" s="1850"/>
      <c r="N29" s="1850"/>
      <c r="O29" s="1850"/>
      <c r="P29" s="1850"/>
      <c r="Q29" s="1850"/>
    </row>
    <row r="30" spans="1:17" s="539" customFormat="1">
      <c r="B30" s="1850"/>
      <c r="C30" s="1850"/>
      <c r="D30" s="1850"/>
      <c r="H30" s="1850"/>
      <c r="I30" s="1850"/>
      <c r="J30" s="1850"/>
      <c r="K30" s="1850"/>
      <c r="L30" s="1850"/>
      <c r="M30" s="1850"/>
      <c r="N30" s="1850"/>
      <c r="O30" s="1850"/>
      <c r="P30" s="1850"/>
      <c r="Q30" s="1850"/>
    </row>
    <row r="31" spans="1:17" s="539" customFormat="1">
      <c r="B31" s="1850"/>
      <c r="C31" s="1850"/>
      <c r="D31" s="1850"/>
      <c r="H31" s="1850"/>
      <c r="I31" s="1850"/>
      <c r="J31" s="1850"/>
      <c r="K31" s="1850"/>
      <c r="L31" s="1850"/>
      <c r="M31" s="1850"/>
      <c r="N31" s="1850"/>
      <c r="O31" s="1850"/>
      <c r="P31" s="1850"/>
      <c r="Q31" s="1850"/>
    </row>
    <row r="32" spans="1:17" s="539" customFormat="1">
      <c r="B32" s="1850"/>
      <c r="C32" s="1850"/>
      <c r="D32" s="1850"/>
      <c r="H32" s="1850"/>
      <c r="I32" s="1850"/>
      <c r="J32" s="1850"/>
      <c r="K32" s="1850"/>
      <c r="L32" s="1850"/>
      <c r="M32" s="1850"/>
      <c r="N32" s="1850"/>
      <c r="O32" s="1850"/>
      <c r="P32" s="1850"/>
      <c r="Q32" s="1850"/>
    </row>
    <row r="33" spans="2:17" s="539" customFormat="1">
      <c r="B33" s="1850"/>
      <c r="C33" s="1850"/>
      <c r="D33" s="1850"/>
      <c r="H33" s="1850"/>
      <c r="I33" s="1850"/>
      <c r="J33" s="1850"/>
      <c r="K33" s="1850"/>
      <c r="L33" s="1850"/>
      <c r="M33" s="1850"/>
      <c r="N33" s="1850"/>
      <c r="O33" s="1850"/>
      <c r="P33" s="1850"/>
      <c r="Q33" s="1850"/>
    </row>
    <row r="34" spans="2:17" s="539" customFormat="1">
      <c r="B34" s="1850"/>
      <c r="C34" s="1850"/>
      <c r="D34" s="1850"/>
      <c r="H34" s="1850"/>
      <c r="I34" s="1850"/>
      <c r="J34" s="1850"/>
      <c r="K34" s="1850"/>
      <c r="L34" s="1850"/>
      <c r="M34" s="1850"/>
      <c r="N34" s="1850"/>
      <c r="O34" s="1850"/>
      <c r="P34" s="1850"/>
      <c r="Q34" s="1850"/>
    </row>
    <row r="35" spans="2:17" s="539" customFormat="1">
      <c r="B35" s="1850"/>
      <c r="C35" s="1850"/>
      <c r="D35" s="1850"/>
      <c r="H35" s="1850"/>
      <c r="I35" s="1850"/>
      <c r="J35" s="1850"/>
      <c r="K35" s="1850"/>
      <c r="L35" s="1850"/>
      <c r="M35" s="1850"/>
      <c r="N35" s="1850"/>
      <c r="O35" s="1850"/>
      <c r="P35" s="1850"/>
      <c r="Q35" s="1850"/>
    </row>
    <row r="36" spans="2:17" s="539" customFormat="1">
      <c r="B36" s="1850"/>
      <c r="C36" s="1850"/>
      <c r="D36" s="1850"/>
      <c r="H36" s="1850"/>
      <c r="I36" s="1850"/>
      <c r="J36" s="1850"/>
      <c r="K36" s="1850"/>
      <c r="L36" s="1850"/>
      <c r="M36" s="1850"/>
      <c r="N36" s="1850"/>
      <c r="O36" s="1850"/>
      <c r="P36" s="1850"/>
      <c r="Q36" s="1850"/>
    </row>
    <row r="37" spans="2:17" s="539" customFormat="1">
      <c r="B37" s="1850"/>
      <c r="C37" s="1850"/>
      <c r="D37" s="1850"/>
      <c r="H37" s="1850"/>
      <c r="I37" s="1850"/>
      <c r="J37" s="1850"/>
      <c r="K37" s="1850"/>
      <c r="L37" s="1850"/>
      <c r="M37" s="1850"/>
      <c r="N37" s="1850"/>
      <c r="O37" s="1850"/>
      <c r="P37" s="1850"/>
      <c r="Q37" s="1850"/>
    </row>
    <row r="38" spans="2:17" s="539" customFormat="1">
      <c r="B38" s="1850"/>
      <c r="C38" s="1850"/>
      <c r="D38" s="1850"/>
      <c r="E38" s="1850"/>
      <c r="F38" s="1850"/>
      <c r="G38" s="1850"/>
      <c r="H38" s="1850"/>
      <c r="I38" s="1850"/>
      <c r="J38" s="1850"/>
      <c r="K38" s="1850"/>
      <c r="L38" s="1850"/>
      <c r="M38" s="1850"/>
      <c r="N38" s="1850"/>
      <c r="O38" s="1850"/>
      <c r="P38" s="1850"/>
      <c r="Q38" s="1850"/>
    </row>
    <row r="39" spans="2:17" s="539" customFormat="1">
      <c r="B39" s="1850"/>
      <c r="C39" s="1850"/>
      <c r="D39" s="1850"/>
      <c r="E39" s="1850"/>
      <c r="F39" s="1850"/>
      <c r="G39" s="1850"/>
      <c r="H39" s="1850"/>
      <c r="I39" s="1850"/>
      <c r="J39" s="1850"/>
      <c r="K39" s="1850"/>
      <c r="L39" s="1850"/>
      <c r="M39" s="1850"/>
      <c r="N39" s="1850"/>
      <c r="O39" s="1850"/>
      <c r="P39" s="1850"/>
      <c r="Q39" s="1850"/>
    </row>
    <row r="40" spans="2:17" s="539" customFormat="1">
      <c r="B40" s="1850"/>
      <c r="C40" s="1850"/>
      <c r="D40" s="1850"/>
      <c r="E40" s="1850"/>
      <c r="F40" s="1850"/>
      <c r="G40" s="1850"/>
      <c r="H40" s="1850"/>
      <c r="I40" s="1850"/>
      <c r="J40" s="1850"/>
      <c r="K40" s="1850"/>
      <c r="L40" s="1850"/>
      <c r="M40" s="1850"/>
      <c r="N40" s="1850"/>
      <c r="O40" s="1850"/>
      <c r="P40" s="1850"/>
      <c r="Q40" s="1850"/>
    </row>
    <row r="41" spans="2:17" s="539" customFormat="1">
      <c r="B41" s="1850"/>
      <c r="C41" s="1850"/>
      <c r="D41" s="1850"/>
      <c r="E41" s="1850"/>
      <c r="F41" s="1850"/>
      <c r="G41" s="1850"/>
      <c r="H41" s="1850"/>
      <c r="I41" s="1850"/>
      <c r="J41" s="1850"/>
      <c r="K41" s="1850"/>
      <c r="L41" s="1850"/>
      <c r="M41" s="1850"/>
      <c r="N41" s="1850"/>
      <c r="O41" s="1850"/>
      <c r="P41" s="1850"/>
      <c r="Q41" s="1850"/>
    </row>
    <row r="42" spans="2:17" s="539" customFormat="1">
      <c r="B42" s="1850"/>
      <c r="C42" s="1850"/>
      <c r="D42" s="1850"/>
      <c r="E42" s="1850"/>
      <c r="F42" s="1850"/>
      <c r="G42" s="1850"/>
      <c r="H42" s="1850"/>
      <c r="I42" s="1850"/>
      <c r="J42" s="1850"/>
      <c r="K42" s="1850"/>
      <c r="L42" s="1850"/>
      <c r="M42" s="1850"/>
      <c r="N42" s="1850"/>
      <c r="O42" s="1850"/>
      <c r="P42" s="1850"/>
      <c r="Q42" s="1850"/>
    </row>
    <row r="43" spans="2:17" s="539" customFormat="1">
      <c r="B43" s="1850"/>
      <c r="C43" s="1850"/>
      <c r="D43" s="1850"/>
      <c r="E43" s="1850"/>
      <c r="F43" s="1850"/>
      <c r="G43" s="1850"/>
      <c r="H43" s="1850"/>
      <c r="I43" s="1850"/>
      <c r="J43" s="1850"/>
      <c r="K43" s="1850"/>
      <c r="L43" s="1850"/>
      <c r="M43" s="1850"/>
      <c r="N43" s="1850"/>
      <c r="O43" s="1850"/>
      <c r="P43" s="1850"/>
      <c r="Q43" s="1850"/>
    </row>
    <row r="44" spans="2:17" s="539" customFormat="1">
      <c r="B44" s="1850"/>
      <c r="C44" s="1850"/>
      <c r="D44" s="1850"/>
      <c r="E44" s="1850"/>
      <c r="F44" s="1850"/>
      <c r="G44" s="1850"/>
      <c r="H44" s="1850"/>
      <c r="I44" s="1850"/>
      <c r="J44" s="1850"/>
      <c r="K44" s="1850"/>
      <c r="L44" s="1850"/>
      <c r="M44" s="1850"/>
      <c r="N44" s="1850"/>
      <c r="O44" s="1850"/>
      <c r="P44" s="1850"/>
      <c r="Q44" s="1850"/>
    </row>
    <row r="45" spans="2:17" s="539" customFormat="1">
      <c r="B45" s="1850"/>
      <c r="C45" s="1850"/>
      <c r="D45" s="1850"/>
      <c r="E45" s="1850"/>
      <c r="F45" s="1850"/>
      <c r="G45" s="1850"/>
      <c r="H45" s="1850"/>
      <c r="I45" s="1850"/>
      <c r="J45" s="1850"/>
      <c r="K45" s="1850"/>
      <c r="L45" s="1850"/>
      <c r="M45" s="1850"/>
      <c r="N45" s="1850"/>
      <c r="O45" s="1850"/>
      <c r="P45" s="1850"/>
      <c r="Q45" s="1850"/>
    </row>
    <row r="46" spans="2:17" s="539" customFormat="1">
      <c r="B46" s="1850"/>
      <c r="C46" s="1850"/>
      <c r="D46" s="1850"/>
      <c r="E46" s="1850"/>
      <c r="F46" s="1850"/>
      <c r="G46" s="1850"/>
      <c r="H46" s="1850"/>
      <c r="I46" s="1850"/>
      <c r="J46" s="1850"/>
      <c r="K46" s="1850"/>
      <c r="L46" s="1850"/>
      <c r="M46" s="1850"/>
      <c r="N46" s="1850"/>
      <c r="O46" s="1850"/>
      <c r="P46" s="1850"/>
      <c r="Q46" s="1850"/>
    </row>
    <row r="47" spans="2:17" s="539" customFormat="1">
      <c r="B47" s="1850"/>
      <c r="C47" s="1850"/>
      <c r="D47" s="1850"/>
      <c r="E47" s="1850"/>
      <c r="F47" s="1850"/>
      <c r="G47" s="1850"/>
      <c r="H47" s="1850"/>
      <c r="I47" s="1850"/>
      <c r="J47" s="1850"/>
      <c r="K47" s="1850"/>
      <c r="L47" s="1850"/>
      <c r="M47" s="1850"/>
      <c r="N47" s="1850"/>
      <c r="O47" s="1850"/>
      <c r="P47" s="1850"/>
      <c r="Q47" s="1850"/>
    </row>
    <row r="48" spans="2:17" s="539" customFormat="1">
      <c r="B48" s="1850"/>
      <c r="C48" s="1850"/>
      <c r="D48" s="1850"/>
      <c r="E48" s="1850"/>
      <c r="F48" s="1850"/>
      <c r="G48" s="1850"/>
      <c r="H48" s="1850"/>
      <c r="I48" s="1850"/>
      <c r="J48" s="1850"/>
      <c r="K48" s="1850"/>
      <c r="L48" s="1850"/>
      <c r="M48" s="1850"/>
      <c r="N48" s="1850"/>
      <c r="O48" s="1850"/>
      <c r="P48" s="1850"/>
      <c r="Q48" s="1850"/>
    </row>
    <row r="49" spans="2:17" s="539" customFormat="1">
      <c r="B49" s="1850"/>
      <c r="C49" s="1850"/>
      <c r="D49" s="1850"/>
      <c r="E49" s="1850"/>
      <c r="F49" s="1850"/>
      <c r="G49" s="1850"/>
      <c r="H49" s="1850"/>
      <c r="I49" s="1850"/>
      <c r="J49" s="1850"/>
      <c r="K49" s="1850"/>
      <c r="L49" s="1850"/>
      <c r="M49" s="1850"/>
      <c r="N49" s="1850"/>
      <c r="O49" s="1850"/>
      <c r="P49" s="1850"/>
      <c r="Q49" s="1850"/>
    </row>
    <row r="50" spans="2:17" s="539" customFormat="1">
      <c r="B50" s="1850"/>
      <c r="C50" s="1850"/>
      <c r="D50" s="1850"/>
      <c r="E50" s="1850"/>
      <c r="F50" s="1850"/>
      <c r="G50" s="1850"/>
      <c r="H50" s="1850"/>
      <c r="I50" s="1850"/>
      <c r="J50" s="1850"/>
      <c r="K50" s="1850"/>
      <c r="L50" s="1850"/>
      <c r="M50" s="1850"/>
      <c r="N50" s="1850"/>
      <c r="O50" s="1850"/>
      <c r="P50" s="1850"/>
      <c r="Q50" s="1850"/>
    </row>
    <row r="51" spans="2:17" s="539" customFormat="1">
      <c r="B51" s="1850"/>
      <c r="C51" s="1850"/>
      <c r="D51" s="1850"/>
      <c r="E51" s="1850"/>
      <c r="F51" s="1850"/>
      <c r="G51" s="1850"/>
      <c r="H51" s="1850"/>
      <c r="I51" s="1850"/>
      <c r="J51" s="1850"/>
      <c r="K51" s="1850"/>
      <c r="L51" s="1850"/>
      <c r="M51" s="1850"/>
      <c r="N51" s="1850"/>
      <c r="O51" s="1850"/>
      <c r="P51" s="1850"/>
      <c r="Q51" s="1850"/>
    </row>
    <row r="52" spans="2:17" s="539" customFormat="1">
      <c r="B52" s="1850"/>
      <c r="C52" s="1850"/>
      <c r="D52" s="1850"/>
      <c r="E52" s="1850"/>
      <c r="F52" s="1850"/>
      <c r="G52" s="1850"/>
      <c r="H52" s="1850"/>
      <c r="I52" s="1850"/>
      <c r="J52" s="1850"/>
      <c r="K52" s="1850"/>
      <c r="L52" s="1850"/>
      <c r="M52" s="1850"/>
      <c r="N52" s="1850"/>
      <c r="O52" s="1850"/>
      <c r="P52" s="1850"/>
      <c r="Q52" s="1850"/>
    </row>
    <row r="53" spans="2:17" s="539" customFormat="1">
      <c r="B53" s="1850"/>
      <c r="C53" s="1850"/>
      <c r="D53" s="1850"/>
      <c r="E53" s="1850"/>
      <c r="F53" s="1850"/>
      <c r="G53" s="1850"/>
      <c r="H53" s="1850"/>
      <c r="I53" s="1850"/>
      <c r="J53" s="1850"/>
      <c r="K53" s="1850"/>
      <c r="L53" s="1850"/>
      <c r="M53" s="1850"/>
      <c r="N53" s="1850"/>
      <c r="O53" s="1850"/>
      <c r="P53" s="1850"/>
      <c r="Q53" s="1850"/>
    </row>
    <row r="54" spans="2:17" s="539" customFormat="1">
      <c r="B54" s="1850"/>
      <c r="C54" s="1850"/>
      <c r="D54" s="1850"/>
      <c r="E54" s="1850"/>
      <c r="F54" s="1850"/>
      <c r="G54" s="1850"/>
      <c r="H54" s="1850"/>
      <c r="I54" s="1850"/>
      <c r="J54" s="1850"/>
      <c r="K54" s="1850"/>
      <c r="L54" s="1850"/>
      <c r="M54" s="1850"/>
      <c r="N54" s="1850"/>
      <c r="O54" s="1850"/>
      <c r="P54" s="1850"/>
      <c r="Q54" s="1850"/>
    </row>
    <row r="55" spans="2:17" s="539" customFormat="1">
      <c r="B55" s="1850"/>
      <c r="C55" s="1850"/>
      <c r="D55" s="1850"/>
      <c r="E55" s="1850"/>
      <c r="F55" s="1850"/>
      <c r="G55" s="1850"/>
      <c r="H55" s="1850"/>
      <c r="I55" s="1850"/>
      <c r="J55" s="1850"/>
      <c r="K55" s="1850"/>
      <c r="L55" s="1850"/>
      <c r="M55" s="1850"/>
      <c r="N55" s="1850"/>
      <c r="O55" s="1850"/>
      <c r="P55" s="1850"/>
      <c r="Q55" s="1850"/>
    </row>
    <row r="56" spans="2:17" s="539" customFormat="1">
      <c r="B56" s="1850"/>
      <c r="C56" s="1850"/>
      <c r="D56" s="1850"/>
      <c r="E56" s="1850"/>
      <c r="F56" s="1850"/>
      <c r="G56" s="1850"/>
      <c r="H56" s="1850"/>
      <c r="I56" s="1850"/>
      <c r="J56" s="1850"/>
      <c r="K56" s="1850"/>
      <c r="L56" s="1850"/>
      <c r="M56" s="1850"/>
      <c r="N56" s="1850"/>
      <c r="O56" s="1850"/>
      <c r="P56" s="1850"/>
      <c r="Q56" s="1850"/>
    </row>
    <row r="57" spans="2:17" s="539" customFormat="1">
      <c r="B57" s="1850"/>
      <c r="C57" s="1850"/>
      <c r="D57" s="1850"/>
      <c r="E57" s="1850"/>
      <c r="F57" s="1850"/>
      <c r="G57" s="1850"/>
      <c r="H57" s="1850"/>
      <c r="I57" s="1850"/>
      <c r="J57" s="1850"/>
      <c r="K57" s="1850"/>
      <c r="L57" s="1850"/>
      <c r="M57" s="1850"/>
      <c r="N57" s="1850"/>
      <c r="O57" s="1850"/>
      <c r="P57" s="1850"/>
      <c r="Q57" s="1850"/>
    </row>
    <row r="58" spans="2:17" s="539" customFormat="1">
      <c r="B58" s="1850"/>
      <c r="C58" s="1850"/>
      <c r="D58" s="1850"/>
      <c r="E58" s="1850"/>
      <c r="F58" s="1850"/>
      <c r="G58" s="1850"/>
      <c r="H58" s="1850"/>
      <c r="I58" s="1850"/>
      <c r="J58" s="1850"/>
      <c r="K58" s="1850"/>
      <c r="L58" s="1850"/>
      <c r="M58" s="1850"/>
      <c r="N58" s="1850"/>
      <c r="O58" s="1850"/>
      <c r="P58" s="1850"/>
      <c r="Q58" s="1850"/>
    </row>
    <row r="59" spans="2:17" s="539" customFormat="1">
      <c r="B59" s="1850"/>
      <c r="C59" s="1850"/>
      <c r="D59" s="1850"/>
      <c r="E59" s="1850"/>
      <c r="F59" s="1850"/>
      <c r="G59" s="1850"/>
      <c r="H59" s="1850"/>
      <c r="I59" s="1850"/>
      <c r="J59" s="1850"/>
      <c r="K59" s="1850"/>
      <c r="L59" s="1850"/>
      <c r="M59" s="1850"/>
      <c r="N59" s="1850"/>
      <c r="O59" s="1850"/>
      <c r="P59" s="1850"/>
      <c r="Q59" s="1850"/>
    </row>
    <row r="60" spans="2:17" s="539" customFormat="1">
      <c r="B60" s="1850"/>
      <c r="C60" s="1850"/>
      <c r="D60" s="1850"/>
      <c r="E60" s="1850"/>
      <c r="F60" s="1850"/>
      <c r="G60" s="1850"/>
      <c r="H60" s="1850"/>
      <c r="I60" s="1850"/>
      <c r="J60" s="1850"/>
      <c r="K60" s="1850"/>
      <c r="L60" s="1850"/>
      <c r="M60" s="1850"/>
      <c r="N60" s="1850"/>
      <c r="O60" s="1850"/>
      <c r="P60" s="1850"/>
      <c r="Q60" s="1850"/>
    </row>
    <row r="61" spans="2:17" s="539" customFormat="1">
      <c r="B61" s="1850"/>
      <c r="C61" s="1850"/>
      <c r="D61" s="1850"/>
      <c r="E61" s="1850"/>
      <c r="F61" s="1850"/>
      <c r="G61" s="1850"/>
      <c r="H61" s="1850"/>
      <c r="I61" s="1850"/>
      <c r="J61" s="1850"/>
      <c r="K61" s="1850"/>
      <c r="L61" s="1850"/>
      <c r="M61" s="1850"/>
      <c r="N61" s="1850"/>
      <c r="O61" s="1850"/>
      <c r="P61" s="1850"/>
      <c r="Q61" s="1850"/>
    </row>
    <row r="62" spans="2:17" s="539" customFormat="1">
      <c r="B62" s="1850"/>
      <c r="C62" s="1850"/>
      <c r="D62" s="1850"/>
      <c r="E62" s="1850"/>
      <c r="F62" s="1850"/>
      <c r="G62" s="1850"/>
      <c r="H62" s="1850"/>
      <c r="I62" s="1850"/>
      <c r="J62" s="1850"/>
      <c r="K62" s="1850"/>
      <c r="L62" s="1850"/>
      <c r="M62" s="1850"/>
      <c r="N62" s="1850"/>
      <c r="O62" s="1850"/>
      <c r="P62" s="1850"/>
      <c r="Q62" s="1850"/>
    </row>
    <row r="63" spans="2:17" s="539" customFormat="1">
      <c r="B63" s="1850"/>
      <c r="C63" s="1850"/>
      <c r="D63" s="1850"/>
      <c r="E63" s="1850"/>
      <c r="F63" s="1850"/>
      <c r="G63" s="1850"/>
      <c r="H63" s="1850"/>
      <c r="I63" s="1850"/>
      <c r="J63" s="1850"/>
      <c r="K63" s="1850"/>
      <c r="L63" s="1850"/>
      <c r="M63" s="1850"/>
      <c r="N63" s="1850"/>
      <c r="O63" s="1850"/>
      <c r="P63" s="1850"/>
      <c r="Q63" s="1850"/>
    </row>
    <row r="64" spans="2:17" s="539" customFormat="1">
      <c r="B64" s="1850"/>
      <c r="C64" s="1850"/>
      <c r="D64" s="1850"/>
      <c r="E64" s="1850"/>
      <c r="F64" s="1850"/>
      <c r="G64" s="1850"/>
      <c r="H64" s="1850"/>
      <c r="I64" s="1850"/>
      <c r="J64" s="1850"/>
      <c r="K64" s="1850"/>
      <c r="L64" s="1850"/>
      <c r="M64" s="1850"/>
      <c r="N64" s="1850"/>
      <c r="O64" s="1850"/>
      <c r="P64" s="1850"/>
      <c r="Q64" s="1850"/>
    </row>
    <row r="65" spans="2:17" s="539" customFormat="1">
      <c r="B65" s="1850"/>
      <c r="C65" s="1850"/>
      <c r="D65" s="1850"/>
      <c r="E65" s="1850"/>
      <c r="F65" s="1850"/>
      <c r="G65" s="1850"/>
      <c r="H65" s="1850"/>
      <c r="I65" s="1850"/>
      <c r="J65" s="1850"/>
      <c r="K65" s="1850"/>
      <c r="L65" s="1850"/>
      <c r="M65" s="1850"/>
      <c r="N65" s="1850"/>
      <c r="O65" s="1850"/>
      <c r="P65" s="1850"/>
      <c r="Q65" s="1850"/>
    </row>
    <row r="66" spans="2:17" s="539" customFormat="1">
      <c r="B66" s="1850"/>
      <c r="C66" s="1850"/>
      <c r="D66" s="1850"/>
      <c r="E66" s="1850"/>
      <c r="F66" s="1850"/>
      <c r="G66" s="1850"/>
      <c r="H66" s="1850"/>
      <c r="I66" s="1850"/>
      <c r="J66" s="1850"/>
      <c r="K66" s="1850"/>
      <c r="L66" s="1850"/>
      <c r="M66" s="1850"/>
      <c r="N66" s="1850"/>
      <c r="O66" s="1850"/>
      <c r="P66" s="1850"/>
      <c r="Q66" s="1850"/>
    </row>
    <row r="67" spans="2:17" s="539" customFormat="1">
      <c r="B67" s="1850"/>
      <c r="C67" s="1850"/>
      <c r="D67" s="1850"/>
      <c r="E67" s="1850"/>
      <c r="F67" s="1850"/>
      <c r="G67" s="1850"/>
      <c r="H67" s="1850"/>
      <c r="I67" s="1850"/>
      <c r="J67" s="1850"/>
      <c r="K67" s="1850"/>
      <c r="L67" s="1850"/>
      <c r="M67" s="1850"/>
      <c r="N67" s="1850"/>
      <c r="O67" s="1850"/>
      <c r="P67" s="1850"/>
      <c r="Q67" s="1850"/>
    </row>
    <row r="68" spans="2:17" s="539" customFormat="1">
      <c r="B68" s="1850"/>
      <c r="C68" s="1850"/>
      <c r="D68" s="1850"/>
      <c r="E68" s="1850"/>
      <c r="F68" s="1850"/>
      <c r="G68" s="1850"/>
      <c r="H68" s="1850"/>
      <c r="I68" s="1850"/>
      <c r="J68" s="1850"/>
      <c r="K68" s="1850"/>
      <c r="L68" s="1850"/>
      <c r="M68" s="1850"/>
      <c r="N68" s="1850"/>
      <c r="O68" s="1850"/>
      <c r="P68" s="1850"/>
      <c r="Q68" s="1850"/>
    </row>
    <row r="69" spans="2:17" s="539" customFormat="1">
      <c r="B69" s="1850"/>
      <c r="C69" s="1850"/>
      <c r="D69" s="1850"/>
      <c r="E69" s="1850"/>
      <c r="F69" s="1850"/>
      <c r="G69" s="1850"/>
      <c r="H69" s="1850"/>
      <c r="I69" s="1850"/>
      <c r="J69" s="1850"/>
      <c r="K69" s="1850"/>
      <c r="L69" s="1850"/>
      <c r="M69" s="1850"/>
      <c r="N69" s="1850"/>
      <c r="O69" s="1850"/>
      <c r="P69" s="1850"/>
      <c r="Q69" s="1850"/>
    </row>
    <row r="70" spans="2:17" s="539" customFormat="1">
      <c r="B70" s="1850"/>
      <c r="C70" s="1850"/>
      <c r="D70" s="1850"/>
      <c r="E70" s="1850"/>
      <c r="F70" s="1850"/>
      <c r="G70" s="1850"/>
      <c r="H70" s="1850"/>
      <c r="I70" s="1850"/>
      <c r="J70" s="1850"/>
      <c r="K70" s="1850"/>
      <c r="L70" s="1850"/>
      <c r="M70" s="1850"/>
      <c r="N70" s="1850"/>
      <c r="O70" s="1850"/>
      <c r="P70" s="1850"/>
      <c r="Q70" s="1850"/>
    </row>
    <row r="71" spans="2:17" s="539" customFormat="1">
      <c r="B71" s="1850"/>
      <c r="C71" s="1850"/>
      <c r="D71" s="1850"/>
      <c r="E71" s="1850"/>
      <c r="F71" s="1850"/>
      <c r="G71" s="1850"/>
      <c r="H71" s="1850"/>
      <c r="I71" s="1850"/>
      <c r="J71" s="1850"/>
      <c r="K71" s="1850"/>
      <c r="L71" s="1850"/>
      <c r="M71" s="1850"/>
      <c r="N71" s="1850"/>
      <c r="O71" s="1850"/>
      <c r="P71" s="1850"/>
      <c r="Q71" s="1850"/>
    </row>
    <row r="72" spans="2:17" s="539" customFormat="1">
      <c r="B72" s="1850"/>
      <c r="C72" s="1850"/>
      <c r="D72" s="1850"/>
      <c r="E72" s="1850"/>
      <c r="F72" s="1850"/>
      <c r="G72" s="1850"/>
      <c r="H72" s="1850"/>
      <c r="I72" s="1850"/>
      <c r="J72" s="1850"/>
      <c r="K72" s="1850"/>
      <c r="L72" s="1850"/>
      <c r="M72" s="1850"/>
      <c r="N72" s="1850"/>
      <c r="O72" s="1850"/>
      <c r="P72" s="1850"/>
      <c r="Q72" s="1850"/>
    </row>
    <row r="73" spans="2:17" s="539" customFormat="1">
      <c r="B73" s="1850"/>
      <c r="C73" s="1850"/>
      <c r="D73" s="1850"/>
      <c r="E73" s="1850"/>
      <c r="F73" s="1850"/>
      <c r="G73" s="1850"/>
      <c r="H73" s="1850"/>
      <c r="I73" s="1850"/>
      <c r="J73" s="1850"/>
      <c r="K73" s="1850"/>
      <c r="L73" s="1850"/>
      <c r="M73" s="1850"/>
      <c r="N73" s="1850"/>
      <c r="O73" s="1850"/>
      <c r="P73" s="1850"/>
      <c r="Q73" s="1850"/>
    </row>
    <row r="74" spans="2:17" s="539" customFormat="1">
      <c r="B74" s="1850"/>
      <c r="C74" s="1850"/>
      <c r="D74" s="1850"/>
      <c r="E74" s="1850"/>
      <c r="F74" s="1850"/>
      <c r="G74" s="1850"/>
      <c r="H74" s="1850"/>
      <c r="I74" s="1850"/>
      <c r="J74" s="1850"/>
      <c r="K74" s="1850"/>
      <c r="L74" s="1850"/>
      <c r="M74" s="1850"/>
      <c r="N74" s="1850"/>
      <c r="O74" s="1850"/>
      <c r="P74" s="1850"/>
      <c r="Q74" s="1850"/>
    </row>
    <row r="75" spans="2:17" s="539" customFormat="1">
      <c r="B75" s="1850"/>
      <c r="C75" s="1850"/>
      <c r="D75" s="1850"/>
      <c r="E75" s="1850"/>
      <c r="F75" s="1850"/>
      <c r="G75" s="1850"/>
      <c r="H75" s="1850"/>
      <c r="I75" s="1850"/>
      <c r="J75" s="1850"/>
      <c r="K75" s="1850"/>
      <c r="L75" s="1850"/>
      <c r="M75" s="1850"/>
      <c r="N75" s="1850"/>
      <c r="O75" s="1850"/>
      <c r="P75" s="1850"/>
      <c r="Q75" s="1850"/>
    </row>
    <row r="76" spans="2:17" s="539" customFormat="1">
      <c r="B76" s="1850"/>
      <c r="C76" s="1850"/>
      <c r="D76" s="1850"/>
      <c r="E76" s="1850"/>
      <c r="F76" s="1850"/>
      <c r="G76" s="1850"/>
      <c r="H76" s="1850"/>
      <c r="I76" s="1850"/>
      <c r="J76" s="1850"/>
      <c r="K76" s="1850"/>
      <c r="L76" s="1850"/>
      <c r="M76" s="1850"/>
      <c r="N76" s="1850"/>
      <c r="O76" s="1850"/>
      <c r="P76" s="1850"/>
      <c r="Q76" s="1850"/>
    </row>
    <row r="77" spans="2:17" s="539" customFormat="1">
      <c r="B77" s="1850"/>
      <c r="C77" s="1850"/>
      <c r="D77" s="1850"/>
      <c r="E77" s="1850"/>
      <c r="F77" s="1850"/>
      <c r="G77" s="1850"/>
      <c r="H77" s="1850"/>
      <c r="I77" s="1850"/>
      <c r="J77" s="1850"/>
      <c r="K77" s="1850"/>
      <c r="L77" s="1850"/>
      <c r="M77" s="1850"/>
      <c r="N77" s="1850"/>
      <c r="O77" s="1850"/>
      <c r="P77" s="1850"/>
      <c r="Q77" s="1850"/>
    </row>
    <row r="78" spans="2:17" s="539" customFormat="1">
      <c r="B78" s="1850"/>
      <c r="C78" s="1850"/>
      <c r="D78" s="1850"/>
      <c r="E78" s="1850"/>
      <c r="F78" s="1850"/>
      <c r="G78" s="1850"/>
      <c r="H78" s="1850"/>
      <c r="I78" s="1850"/>
      <c r="J78" s="1850"/>
      <c r="K78" s="1850"/>
      <c r="L78" s="1850"/>
      <c r="M78" s="1850"/>
      <c r="N78" s="1850"/>
      <c r="O78" s="1850"/>
      <c r="P78" s="1850"/>
      <c r="Q78" s="1850"/>
    </row>
    <row r="79" spans="2:17" s="539" customFormat="1">
      <c r="B79" s="1850"/>
      <c r="C79" s="1850"/>
      <c r="D79" s="1850"/>
      <c r="E79" s="1850"/>
      <c r="F79" s="1850"/>
      <c r="G79" s="1850"/>
      <c r="H79" s="1850"/>
      <c r="I79" s="1850"/>
      <c r="J79" s="1850"/>
      <c r="K79" s="1850"/>
      <c r="L79" s="1850"/>
      <c r="M79" s="1850"/>
      <c r="N79" s="1850"/>
      <c r="O79" s="1850"/>
      <c r="P79" s="1850"/>
      <c r="Q79" s="1850"/>
    </row>
    <row r="80" spans="2:17" s="539" customFormat="1">
      <c r="B80" s="1850"/>
      <c r="C80" s="1850"/>
      <c r="D80" s="1850"/>
      <c r="E80" s="1850"/>
      <c r="F80" s="1850"/>
      <c r="G80" s="1850"/>
      <c r="H80" s="1850"/>
      <c r="I80" s="1850"/>
      <c r="J80" s="1850"/>
      <c r="K80" s="1850"/>
      <c r="L80" s="1850"/>
      <c r="M80" s="1850"/>
      <c r="N80" s="1850"/>
      <c r="O80" s="1850"/>
      <c r="P80" s="1850"/>
      <c r="Q80" s="1850"/>
    </row>
    <row r="81" spans="2:17" s="539" customFormat="1">
      <c r="B81" s="1850"/>
      <c r="C81" s="1850"/>
      <c r="D81" s="1850"/>
      <c r="E81" s="1850"/>
      <c r="F81" s="1850"/>
      <c r="G81" s="1850"/>
      <c r="H81" s="1850"/>
      <c r="I81" s="1850"/>
      <c r="J81" s="1850"/>
      <c r="K81" s="1850"/>
      <c r="L81" s="1850"/>
      <c r="M81" s="1850"/>
      <c r="N81" s="1850"/>
      <c r="O81" s="1850"/>
      <c r="P81" s="1850"/>
      <c r="Q81" s="1850"/>
    </row>
    <row r="82" spans="2:17" s="539" customFormat="1">
      <c r="B82" s="1850"/>
      <c r="C82" s="1850"/>
      <c r="D82" s="1850"/>
      <c r="E82" s="1850"/>
      <c r="F82" s="1850"/>
      <c r="G82" s="1850"/>
      <c r="H82" s="1850"/>
      <c r="I82" s="1850"/>
      <c r="J82" s="1850"/>
      <c r="K82" s="1850"/>
      <c r="L82" s="1850"/>
      <c r="M82" s="1850"/>
      <c r="N82" s="1850"/>
      <c r="O82" s="1850"/>
      <c r="P82" s="1850"/>
      <c r="Q82" s="1850"/>
    </row>
    <row r="83" spans="2:17" s="539" customFormat="1">
      <c r="B83" s="1850"/>
      <c r="C83" s="1850"/>
      <c r="D83" s="1850"/>
      <c r="E83" s="1850"/>
      <c r="F83" s="1850"/>
      <c r="G83" s="1850"/>
      <c r="H83" s="1850"/>
      <c r="I83" s="1850"/>
      <c r="J83" s="1850"/>
      <c r="K83" s="1850"/>
      <c r="L83" s="1850"/>
      <c r="M83" s="1850"/>
      <c r="N83" s="1850"/>
      <c r="O83" s="1850"/>
      <c r="P83" s="1850"/>
      <c r="Q83" s="1850"/>
    </row>
    <row r="84" spans="2:17" s="539" customFormat="1">
      <c r="B84" s="1850"/>
      <c r="C84" s="1850"/>
      <c r="D84" s="1850"/>
      <c r="E84" s="1850"/>
      <c r="F84" s="1850"/>
      <c r="G84" s="1850"/>
      <c r="H84" s="1850"/>
      <c r="I84" s="1850"/>
      <c r="J84" s="1850"/>
      <c r="K84" s="1850"/>
      <c r="L84" s="1850"/>
      <c r="M84" s="1850"/>
      <c r="N84" s="1850"/>
      <c r="O84" s="1850"/>
      <c r="P84" s="1850"/>
      <c r="Q84" s="1850"/>
    </row>
    <row r="85" spans="2:17" s="539" customFormat="1">
      <c r="B85" s="1850"/>
      <c r="C85" s="1850"/>
      <c r="D85" s="1850"/>
      <c r="E85" s="1850"/>
      <c r="F85" s="1850"/>
      <c r="G85" s="1850"/>
      <c r="H85" s="1850"/>
      <c r="I85" s="1850"/>
      <c r="J85" s="1850"/>
      <c r="K85" s="1850"/>
      <c r="L85" s="1850"/>
      <c r="M85" s="1850"/>
      <c r="N85" s="1850"/>
      <c r="O85" s="1850"/>
      <c r="P85" s="1850"/>
      <c r="Q85" s="1850"/>
    </row>
    <row r="86" spans="2:17" s="539" customFormat="1">
      <c r="B86" s="1850"/>
      <c r="C86" s="1850"/>
      <c r="D86" s="1850"/>
      <c r="E86" s="1850"/>
      <c r="F86" s="1850"/>
      <c r="G86" s="1850"/>
      <c r="H86" s="1850"/>
      <c r="I86" s="1850"/>
      <c r="J86" s="1850"/>
      <c r="K86" s="1850"/>
      <c r="L86" s="1850"/>
      <c r="M86" s="1850"/>
      <c r="N86" s="1850"/>
      <c r="O86" s="1850"/>
      <c r="P86" s="1850"/>
      <c r="Q86" s="1850"/>
    </row>
    <row r="87" spans="2:17" s="539" customFormat="1">
      <c r="B87" s="1850"/>
      <c r="C87" s="1850"/>
      <c r="D87" s="1850"/>
      <c r="E87" s="1850"/>
      <c r="F87" s="1850"/>
      <c r="G87" s="1850"/>
      <c r="H87" s="1850"/>
      <c r="I87" s="1850"/>
      <c r="J87" s="1850"/>
      <c r="K87" s="1850"/>
      <c r="L87" s="1850"/>
      <c r="M87" s="1850"/>
      <c r="N87" s="1850"/>
      <c r="O87" s="1850"/>
      <c r="P87" s="1850"/>
      <c r="Q87" s="1850"/>
    </row>
    <row r="88" spans="2:17" s="539" customFormat="1">
      <c r="B88" s="1850"/>
      <c r="C88" s="1850"/>
      <c r="D88" s="1850"/>
      <c r="E88" s="1850"/>
      <c r="F88" s="1850"/>
      <c r="G88" s="1850"/>
      <c r="H88" s="1850"/>
      <c r="I88" s="1850"/>
      <c r="J88" s="1850"/>
      <c r="K88" s="1850"/>
      <c r="L88" s="1850"/>
      <c r="M88" s="1850"/>
      <c r="N88" s="1850"/>
      <c r="O88" s="1850"/>
      <c r="P88" s="1850"/>
      <c r="Q88" s="1850"/>
    </row>
    <row r="89" spans="2:17" s="539" customFormat="1">
      <c r="B89" s="1850"/>
      <c r="C89" s="1850"/>
      <c r="D89" s="1850"/>
      <c r="E89" s="1850"/>
      <c r="F89" s="1850"/>
      <c r="G89" s="1850"/>
      <c r="H89" s="1850"/>
      <c r="I89" s="1850"/>
      <c r="J89" s="1850"/>
      <c r="K89" s="1850"/>
      <c r="L89" s="1850"/>
      <c r="M89" s="1850"/>
      <c r="N89" s="1850"/>
      <c r="O89" s="1850"/>
      <c r="P89" s="1850"/>
      <c r="Q89" s="1850"/>
    </row>
    <row r="90" spans="2:17" s="539" customFormat="1">
      <c r="B90" s="1850"/>
      <c r="C90" s="1850"/>
      <c r="D90" s="1850"/>
      <c r="E90" s="1850"/>
      <c r="F90" s="1850"/>
      <c r="G90" s="1850"/>
      <c r="H90" s="1850"/>
      <c r="I90" s="1850"/>
      <c r="J90" s="1850"/>
      <c r="K90" s="1850"/>
      <c r="L90" s="1850"/>
      <c r="M90" s="1850"/>
      <c r="N90" s="1850"/>
      <c r="O90" s="1850"/>
      <c r="P90" s="1850"/>
      <c r="Q90" s="1850"/>
    </row>
    <row r="91" spans="2:17" s="539" customFormat="1">
      <c r="B91" s="1850"/>
      <c r="C91" s="1850"/>
      <c r="D91" s="1850"/>
      <c r="E91" s="1850"/>
      <c r="F91" s="1850"/>
      <c r="G91" s="1850"/>
      <c r="H91" s="1850"/>
      <c r="I91" s="1850"/>
      <c r="J91" s="1850"/>
      <c r="K91" s="1850"/>
      <c r="L91" s="1850"/>
      <c r="M91" s="1850"/>
      <c r="N91" s="1850"/>
      <c r="O91" s="1850"/>
      <c r="P91" s="1850"/>
      <c r="Q91" s="1850"/>
    </row>
    <row r="92" spans="2:17" s="539" customFormat="1">
      <c r="B92" s="1850"/>
      <c r="C92" s="1850"/>
      <c r="D92" s="1850"/>
      <c r="E92" s="1850"/>
      <c r="F92" s="1850"/>
      <c r="G92" s="1850"/>
      <c r="H92" s="1850"/>
      <c r="I92" s="1850"/>
      <c r="J92" s="1850"/>
      <c r="K92" s="1850"/>
      <c r="L92" s="1850"/>
      <c r="M92" s="1850"/>
      <c r="N92" s="1850"/>
      <c r="O92" s="1850"/>
      <c r="P92" s="1850"/>
      <c r="Q92" s="1850"/>
    </row>
    <row r="93" spans="2:17" s="539" customFormat="1">
      <c r="B93" s="1850"/>
      <c r="C93" s="1850"/>
      <c r="D93" s="1850"/>
      <c r="E93" s="1850"/>
      <c r="F93" s="1850"/>
      <c r="G93" s="1850"/>
      <c r="H93" s="1850"/>
      <c r="I93" s="1850"/>
      <c r="J93" s="1850"/>
      <c r="K93" s="1850"/>
      <c r="L93" s="1850"/>
      <c r="M93" s="1850"/>
      <c r="N93" s="1850"/>
      <c r="O93" s="1850"/>
      <c r="P93" s="1850"/>
      <c r="Q93" s="1850"/>
    </row>
    <row r="94" spans="2:17" s="539" customFormat="1">
      <c r="B94" s="1850"/>
      <c r="C94" s="1850"/>
      <c r="D94" s="1850"/>
      <c r="E94" s="1850"/>
      <c r="F94" s="1850"/>
      <c r="G94" s="1850"/>
      <c r="H94" s="1850"/>
      <c r="I94" s="1850"/>
      <c r="J94" s="1850"/>
      <c r="K94" s="1850"/>
      <c r="L94" s="1850"/>
      <c r="M94" s="1850"/>
      <c r="N94" s="1850"/>
      <c r="O94" s="1850"/>
      <c r="P94" s="1850"/>
      <c r="Q94" s="1850"/>
    </row>
    <row r="95" spans="2:17" s="539" customFormat="1">
      <c r="B95" s="1850"/>
      <c r="C95" s="1850"/>
      <c r="D95" s="1850"/>
      <c r="E95" s="1850"/>
      <c r="F95" s="1850"/>
      <c r="G95" s="1850"/>
      <c r="H95" s="1850"/>
      <c r="I95" s="1850"/>
      <c r="J95" s="1850"/>
      <c r="K95" s="1850"/>
      <c r="L95" s="1850"/>
      <c r="M95" s="1850"/>
      <c r="N95" s="1850"/>
      <c r="O95" s="1850"/>
      <c r="P95" s="1850"/>
      <c r="Q95" s="1850"/>
    </row>
    <row r="96" spans="2:17" s="539" customFormat="1">
      <c r="B96" s="1850"/>
      <c r="C96" s="1850"/>
      <c r="D96" s="1850"/>
      <c r="E96" s="1850"/>
      <c r="F96" s="1850"/>
      <c r="G96" s="1850"/>
      <c r="H96" s="1850"/>
      <c r="I96" s="1850"/>
      <c r="J96" s="1850"/>
      <c r="K96" s="1850"/>
      <c r="L96" s="1850"/>
      <c r="M96" s="1850"/>
      <c r="N96" s="1850"/>
      <c r="O96" s="1850"/>
      <c r="P96" s="1850"/>
      <c r="Q96" s="1850"/>
    </row>
    <row r="97" spans="2:17" s="539" customFormat="1">
      <c r="B97" s="1850"/>
      <c r="C97" s="1850"/>
      <c r="D97" s="1850"/>
      <c r="E97" s="1850"/>
      <c r="F97" s="1850"/>
      <c r="G97" s="1850"/>
      <c r="H97" s="1850"/>
      <c r="I97" s="1850"/>
      <c r="J97" s="1850"/>
      <c r="K97" s="1850"/>
      <c r="L97" s="1850"/>
      <c r="M97" s="1850"/>
      <c r="N97" s="1850"/>
      <c r="O97" s="1850"/>
      <c r="P97" s="1850"/>
      <c r="Q97" s="1850"/>
    </row>
    <row r="98" spans="2:17" s="539" customFormat="1">
      <c r="B98" s="1850"/>
      <c r="C98" s="1850"/>
      <c r="D98" s="1850"/>
      <c r="E98" s="1850"/>
      <c r="F98" s="1850"/>
      <c r="G98" s="1850"/>
      <c r="H98" s="1850"/>
      <c r="I98" s="1850"/>
      <c r="J98" s="1850"/>
      <c r="K98" s="1850"/>
      <c r="L98" s="1850"/>
      <c r="M98" s="1850"/>
      <c r="N98" s="1850"/>
      <c r="O98" s="1850"/>
      <c r="P98" s="1850"/>
      <c r="Q98" s="1850"/>
    </row>
    <row r="99" spans="2:17" s="539" customFormat="1">
      <c r="B99" s="1850"/>
      <c r="C99" s="1850"/>
      <c r="D99" s="1850"/>
      <c r="E99" s="1850"/>
      <c r="F99" s="1850"/>
      <c r="G99" s="1850"/>
      <c r="H99" s="1850"/>
      <c r="I99" s="1850"/>
      <c r="J99" s="1850"/>
      <c r="K99" s="1850"/>
      <c r="L99" s="1850"/>
      <c r="M99" s="1850"/>
      <c r="N99" s="1850"/>
      <c r="O99" s="1850"/>
      <c r="P99" s="1850"/>
      <c r="Q99" s="1850"/>
    </row>
    <row r="100" spans="2:17" s="539" customFormat="1">
      <c r="B100" s="1850"/>
      <c r="C100" s="1850"/>
      <c r="D100" s="1850"/>
      <c r="E100" s="1850"/>
      <c r="F100" s="1850"/>
      <c r="G100" s="1850"/>
      <c r="H100" s="1850"/>
      <c r="I100" s="1850"/>
      <c r="J100" s="1850"/>
      <c r="K100" s="1850"/>
      <c r="L100" s="1850"/>
      <c r="M100" s="1850"/>
      <c r="N100" s="1850"/>
      <c r="O100" s="1850"/>
      <c r="P100" s="1850"/>
      <c r="Q100" s="1850"/>
    </row>
    <row r="101" spans="2:17" s="539" customFormat="1">
      <c r="B101" s="1850"/>
      <c r="C101" s="1850"/>
      <c r="D101" s="1850"/>
      <c r="E101" s="1850"/>
      <c r="F101" s="1850"/>
      <c r="G101" s="1850"/>
      <c r="H101" s="1850"/>
      <c r="I101" s="1850"/>
      <c r="J101" s="1850"/>
      <c r="K101" s="1850"/>
      <c r="L101" s="1850"/>
      <c r="M101" s="1850"/>
      <c r="N101" s="1850"/>
      <c r="O101" s="1850"/>
      <c r="P101" s="1850"/>
      <c r="Q101" s="1850"/>
    </row>
    <row r="102" spans="2:17" s="539" customFormat="1">
      <c r="B102" s="1850"/>
      <c r="C102" s="1850"/>
      <c r="D102" s="1850"/>
      <c r="E102" s="1850"/>
      <c r="F102" s="1850"/>
      <c r="G102" s="1850"/>
      <c r="H102" s="1850"/>
      <c r="I102" s="1850"/>
      <c r="J102" s="1850"/>
      <c r="K102" s="1850"/>
      <c r="L102" s="1850"/>
      <c r="M102" s="1850"/>
      <c r="N102" s="1850"/>
      <c r="O102" s="1850"/>
      <c r="P102" s="1850"/>
      <c r="Q102" s="1850"/>
    </row>
    <row r="103" spans="2:17" s="539" customFormat="1">
      <c r="B103" s="1850"/>
      <c r="C103" s="1850"/>
      <c r="D103" s="1850"/>
      <c r="E103" s="1850"/>
      <c r="F103" s="1850"/>
      <c r="G103" s="1850"/>
      <c r="H103" s="1850"/>
      <c r="I103" s="1850"/>
      <c r="J103" s="1850"/>
      <c r="K103" s="1850"/>
      <c r="L103" s="1850"/>
      <c r="M103" s="1850"/>
      <c r="N103" s="1850"/>
      <c r="O103" s="1850"/>
      <c r="P103" s="1850"/>
      <c r="Q103" s="1850"/>
    </row>
    <row r="104" spans="2:17" s="539" customFormat="1">
      <c r="B104" s="1850"/>
      <c r="C104" s="1850"/>
      <c r="D104" s="1850"/>
      <c r="E104" s="1850"/>
      <c r="F104" s="1850"/>
      <c r="G104" s="1850"/>
      <c r="H104" s="1850"/>
      <c r="I104" s="1850"/>
      <c r="J104" s="1850"/>
      <c r="K104" s="1850"/>
      <c r="L104" s="1850"/>
      <c r="M104" s="1850"/>
      <c r="N104" s="1850"/>
      <c r="O104" s="1850"/>
      <c r="P104" s="1850"/>
      <c r="Q104" s="1850"/>
    </row>
    <row r="105" spans="2:17" s="539" customFormat="1">
      <c r="B105" s="1850"/>
      <c r="C105" s="1850"/>
      <c r="D105" s="1850"/>
      <c r="E105" s="1850"/>
      <c r="F105" s="1850"/>
      <c r="G105" s="1850"/>
      <c r="H105" s="1850"/>
      <c r="I105" s="1850"/>
      <c r="J105" s="1850"/>
      <c r="K105" s="1850"/>
      <c r="L105" s="1850"/>
      <c r="M105" s="1850"/>
      <c r="N105" s="1850"/>
      <c r="O105" s="1850"/>
      <c r="P105" s="1850"/>
      <c r="Q105" s="1850"/>
    </row>
    <row r="106" spans="2:17" s="539" customFormat="1">
      <c r="B106" s="1850"/>
      <c r="C106" s="1850"/>
      <c r="D106" s="1850"/>
      <c r="E106" s="1850"/>
      <c r="F106" s="1850"/>
      <c r="G106" s="1850"/>
      <c r="H106" s="1850"/>
      <c r="I106" s="1850"/>
      <c r="J106" s="1850"/>
      <c r="K106" s="1850"/>
      <c r="L106" s="1850"/>
      <c r="M106" s="1850"/>
      <c r="N106" s="1850"/>
      <c r="O106" s="1850"/>
      <c r="P106" s="1850"/>
      <c r="Q106" s="1850"/>
    </row>
    <row r="107" spans="2:17" s="539" customFormat="1">
      <c r="B107" s="1850"/>
      <c r="C107" s="1850"/>
      <c r="D107" s="1850"/>
      <c r="E107" s="1850"/>
      <c r="F107" s="1850"/>
      <c r="G107" s="1850"/>
      <c r="H107" s="1850"/>
      <c r="I107" s="1850"/>
      <c r="J107" s="1850"/>
      <c r="K107" s="1850"/>
      <c r="L107" s="1850"/>
      <c r="M107" s="1850"/>
      <c r="N107" s="1850"/>
      <c r="O107" s="1850"/>
      <c r="P107" s="1850"/>
      <c r="Q107" s="1850"/>
    </row>
    <row r="108" spans="2:17" s="539" customFormat="1">
      <c r="B108" s="1850"/>
      <c r="C108" s="1850"/>
      <c r="D108" s="1850"/>
      <c r="E108" s="1850"/>
      <c r="F108" s="1850"/>
      <c r="G108" s="1850"/>
      <c r="H108" s="1850"/>
      <c r="I108" s="1850"/>
      <c r="J108" s="1850"/>
      <c r="K108" s="1850"/>
      <c r="L108" s="1850"/>
      <c r="M108" s="1850"/>
      <c r="N108" s="1850"/>
      <c r="O108" s="1850"/>
      <c r="P108" s="1850"/>
      <c r="Q108" s="1850"/>
    </row>
    <row r="109" spans="2:17" s="539" customFormat="1">
      <c r="B109" s="1850"/>
      <c r="C109" s="1850"/>
      <c r="D109" s="1850"/>
      <c r="E109" s="1850"/>
      <c r="F109" s="1850"/>
      <c r="G109" s="1850"/>
      <c r="H109" s="1850"/>
      <c r="I109" s="1850"/>
      <c r="J109" s="1850"/>
      <c r="K109" s="1850"/>
      <c r="L109" s="1850"/>
      <c r="M109" s="1850"/>
      <c r="N109" s="1850"/>
      <c r="O109" s="1850"/>
      <c r="P109" s="1850"/>
      <c r="Q109" s="1850"/>
    </row>
    <row r="110" spans="2:17" s="539" customFormat="1">
      <c r="B110" s="1850"/>
      <c r="C110" s="1850"/>
      <c r="D110" s="1850"/>
      <c r="E110" s="1850"/>
      <c r="F110" s="1850"/>
      <c r="G110" s="1850"/>
      <c r="H110" s="1850"/>
      <c r="I110" s="1850"/>
      <c r="J110" s="1850"/>
      <c r="K110" s="1850"/>
      <c r="L110" s="1850"/>
      <c r="M110" s="1850"/>
      <c r="N110" s="1850"/>
      <c r="O110" s="1850"/>
      <c r="P110" s="1850"/>
      <c r="Q110" s="1850"/>
    </row>
    <row r="111" spans="2:17" s="539" customFormat="1">
      <c r="B111" s="1850"/>
      <c r="C111" s="1850"/>
      <c r="D111" s="1850"/>
      <c r="E111" s="1850"/>
      <c r="F111" s="1850"/>
      <c r="G111" s="1850"/>
      <c r="H111" s="1850"/>
      <c r="I111" s="1850"/>
      <c r="J111" s="1850"/>
      <c r="K111" s="1850"/>
      <c r="L111" s="1850"/>
      <c r="M111" s="1850"/>
      <c r="N111" s="1850"/>
      <c r="O111" s="1850"/>
      <c r="P111" s="1850"/>
      <c r="Q111" s="1850"/>
    </row>
    <row r="112" spans="2:17" s="539" customFormat="1">
      <c r="B112" s="1850"/>
      <c r="C112" s="1850"/>
      <c r="D112" s="1850"/>
      <c r="E112" s="1850"/>
      <c r="F112" s="1850"/>
      <c r="G112" s="1850"/>
      <c r="H112" s="1850"/>
      <c r="I112" s="1850"/>
      <c r="J112" s="1850"/>
      <c r="K112" s="1850"/>
      <c r="L112" s="1850"/>
      <c r="M112" s="1850"/>
      <c r="N112" s="1850"/>
      <c r="O112" s="1850"/>
      <c r="P112" s="1850"/>
      <c r="Q112" s="1850"/>
    </row>
    <row r="113" spans="2:17" s="539" customFormat="1">
      <c r="B113" s="1850"/>
      <c r="C113" s="1850"/>
      <c r="D113" s="1850"/>
      <c r="E113" s="1850"/>
      <c r="F113" s="1850"/>
      <c r="G113" s="1850"/>
      <c r="H113" s="1850"/>
      <c r="I113" s="1850"/>
      <c r="J113" s="1850"/>
      <c r="K113" s="1850"/>
      <c r="L113" s="1850"/>
      <c r="M113" s="1850"/>
      <c r="N113" s="1850"/>
      <c r="O113" s="1850"/>
      <c r="P113" s="1850"/>
      <c r="Q113" s="1850"/>
    </row>
    <row r="114" spans="2:17" s="539" customFormat="1">
      <c r="B114" s="1850"/>
      <c r="C114" s="1850"/>
      <c r="D114" s="1850"/>
      <c r="E114" s="1850"/>
      <c r="F114" s="1850"/>
      <c r="G114" s="1850"/>
      <c r="H114" s="1850"/>
      <c r="I114" s="1850"/>
      <c r="J114" s="1850"/>
      <c r="K114" s="1850"/>
      <c r="L114" s="1850"/>
      <c r="M114" s="1850"/>
      <c r="N114" s="1850"/>
      <c r="O114" s="1850"/>
      <c r="P114" s="1850"/>
      <c r="Q114" s="1850"/>
    </row>
    <row r="115" spans="2:17" s="539" customFormat="1">
      <c r="B115" s="1850"/>
      <c r="C115" s="1850"/>
      <c r="D115" s="1850"/>
      <c r="E115" s="1850"/>
      <c r="F115" s="1850"/>
      <c r="G115" s="1850"/>
      <c r="H115" s="1850"/>
      <c r="I115" s="1850"/>
      <c r="J115" s="1850"/>
      <c r="K115" s="1850"/>
      <c r="L115" s="1850"/>
      <c r="M115" s="1850"/>
      <c r="N115" s="1850"/>
      <c r="O115" s="1850"/>
      <c r="P115" s="1850"/>
      <c r="Q115" s="1850"/>
    </row>
    <row r="116" spans="2:17" s="539" customFormat="1">
      <c r="B116" s="1850"/>
      <c r="C116" s="1850"/>
      <c r="D116" s="1850"/>
      <c r="E116" s="1850"/>
      <c r="F116" s="1850"/>
      <c r="G116" s="1850"/>
      <c r="H116" s="1850"/>
      <c r="I116" s="1850"/>
      <c r="J116" s="1850"/>
      <c r="K116" s="1850"/>
      <c r="L116" s="1850"/>
      <c r="M116" s="1850"/>
      <c r="N116" s="1850"/>
      <c r="O116" s="1850"/>
      <c r="P116" s="1850"/>
      <c r="Q116" s="1850"/>
    </row>
    <row r="117" spans="2:17" s="539" customFormat="1">
      <c r="B117" s="1850"/>
      <c r="C117" s="1850"/>
      <c r="D117" s="1850"/>
      <c r="E117" s="1850"/>
      <c r="F117" s="1850"/>
      <c r="G117" s="1850"/>
      <c r="H117" s="1850"/>
      <c r="I117" s="1850"/>
      <c r="J117" s="1850"/>
      <c r="K117" s="1850"/>
      <c r="L117" s="1850"/>
      <c r="M117" s="1850"/>
      <c r="N117" s="1850"/>
      <c r="O117" s="1850"/>
      <c r="P117" s="1850"/>
      <c r="Q117" s="1850"/>
    </row>
    <row r="118" spans="2:17" s="539" customFormat="1">
      <c r="B118" s="1850"/>
      <c r="C118" s="1850"/>
      <c r="D118" s="1850"/>
      <c r="E118" s="1850"/>
      <c r="F118" s="1850"/>
      <c r="G118" s="1850"/>
      <c r="H118" s="1850"/>
      <c r="I118" s="1850"/>
      <c r="J118" s="1850"/>
      <c r="K118" s="1850"/>
      <c r="L118" s="1850"/>
      <c r="M118" s="1850"/>
      <c r="N118" s="1850"/>
      <c r="O118" s="1850"/>
      <c r="P118" s="1850"/>
      <c r="Q118" s="1850"/>
    </row>
    <row r="119" spans="2:17" s="539" customFormat="1">
      <c r="B119" s="1850"/>
      <c r="C119" s="1850"/>
      <c r="D119" s="1850"/>
      <c r="E119" s="1850"/>
      <c r="F119" s="1850"/>
      <c r="G119" s="1850"/>
      <c r="H119" s="1850"/>
      <c r="I119" s="1850"/>
      <c r="J119" s="1850"/>
      <c r="K119" s="1850"/>
      <c r="L119" s="1850"/>
      <c r="M119" s="1850"/>
      <c r="N119" s="1850"/>
      <c r="O119" s="1850"/>
      <c r="P119" s="1850"/>
      <c r="Q119" s="1850"/>
    </row>
    <row r="120" spans="2:17" s="539" customFormat="1">
      <c r="B120" s="1850"/>
      <c r="C120" s="1850"/>
      <c r="D120" s="1850"/>
      <c r="E120" s="1850"/>
      <c r="F120" s="1850"/>
      <c r="G120" s="1850"/>
      <c r="H120" s="1850"/>
      <c r="I120" s="1850"/>
      <c r="J120" s="1850"/>
      <c r="K120" s="1850"/>
      <c r="L120" s="1850"/>
      <c r="M120" s="1850"/>
      <c r="N120" s="1850"/>
      <c r="O120" s="1850"/>
      <c r="P120" s="1850"/>
      <c r="Q120" s="1850"/>
    </row>
    <row r="121" spans="2:17" s="539" customFormat="1">
      <c r="B121" s="1850"/>
      <c r="C121" s="1850"/>
      <c r="D121" s="1850"/>
      <c r="E121" s="1850"/>
      <c r="F121" s="1850"/>
      <c r="G121" s="1850"/>
      <c r="H121" s="1850"/>
      <c r="I121" s="1850"/>
      <c r="J121" s="1850"/>
      <c r="K121" s="1850"/>
      <c r="L121" s="1850"/>
      <c r="M121" s="1850"/>
      <c r="N121" s="1850"/>
      <c r="O121" s="1850"/>
      <c r="P121" s="1850"/>
      <c r="Q121" s="1850"/>
    </row>
    <row r="122" spans="2:17" s="539" customFormat="1">
      <c r="B122" s="1850"/>
      <c r="C122" s="1850"/>
      <c r="D122" s="1850"/>
      <c r="E122" s="1850"/>
      <c r="F122" s="1850"/>
      <c r="G122" s="1850"/>
      <c r="H122" s="1850"/>
      <c r="I122" s="1850"/>
      <c r="J122" s="1850"/>
      <c r="K122" s="1850"/>
      <c r="L122" s="1850"/>
      <c r="M122" s="1850"/>
      <c r="N122" s="1850"/>
      <c r="O122" s="1850"/>
      <c r="P122" s="1850"/>
      <c r="Q122" s="1850"/>
    </row>
    <row r="123" spans="2:17" s="539" customFormat="1">
      <c r="B123" s="1850"/>
      <c r="C123" s="1850"/>
      <c r="D123" s="1850"/>
      <c r="E123" s="1850"/>
      <c r="F123" s="1850"/>
      <c r="G123" s="1850"/>
      <c r="H123" s="1850"/>
      <c r="I123" s="1850"/>
      <c r="J123" s="1850"/>
      <c r="K123" s="1850"/>
      <c r="L123" s="1850"/>
      <c r="M123" s="1850"/>
      <c r="N123" s="1850"/>
      <c r="O123" s="1850"/>
      <c r="P123" s="1850"/>
      <c r="Q123" s="1850"/>
    </row>
    <row r="124" spans="2:17" s="539" customFormat="1">
      <c r="B124" s="1850"/>
      <c r="C124" s="1850"/>
      <c r="D124" s="1850"/>
      <c r="E124" s="1850"/>
      <c r="F124" s="1850"/>
      <c r="G124" s="1850"/>
      <c r="H124" s="1850"/>
      <c r="I124" s="1850"/>
      <c r="J124" s="1850"/>
      <c r="K124" s="1850"/>
      <c r="L124" s="1850"/>
      <c r="M124" s="1850"/>
      <c r="N124" s="1850"/>
      <c r="O124" s="1850"/>
      <c r="P124" s="1850"/>
      <c r="Q124" s="1850"/>
    </row>
    <row r="125" spans="2:17" s="539" customFormat="1">
      <c r="B125" s="1850"/>
      <c r="C125" s="1850"/>
      <c r="D125" s="1850"/>
      <c r="E125" s="1850"/>
      <c r="F125" s="1850"/>
      <c r="G125" s="1850"/>
      <c r="H125" s="1850"/>
      <c r="I125" s="1850"/>
      <c r="J125" s="1850"/>
      <c r="K125" s="1850"/>
      <c r="L125" s="1850"/>
      <c r="M125" s="1850"/>
      <c r="N125" s="1850"/>
      <c r="O125" s="1850"/>
      <c r="P125" s="1850"/>
      <c r="Q125" s="1850"/>
    </row>
    <row r="126" spans="2:17" s="539" customFormat="1">
      <c r="B126" s="1850"/>
      <c r="C126" s="1850"/>
      <c r="D126" s="1850"/>
      <c r="E126" s="1850"/>
      <c r="F126" s="1850"/>
      <c r="G126" s="1850"/>
      <c r="H126" s="1850"/>
      <c r="I126" s="1850"/>
      <c r="J126" s="1850"/>
      <c r="K126" s="1850"/>
      <c r="L126" s="1850"/>
      <c r="M126" s="1850"/>
      <c r="N126" s="1850"/>
      <c r="O126" s="1850"/>
      <c r="P126" s="1850"/>
      <c r="Q126" s="1850"/>
    </row>
    <row r="127" spans="2:17" s="539" customFormat="1">
      <c r="B127" s="1850"/>
      <c r="C127" s="1850"/>
      <c r="D127" s="1850"/>
      <c r="E127" s="1850"/>
      <c r="F127" s="1850"/>
      <c r="G127" s="1850"/>
      <c r="H127" s="1850"/>
      <c r="I127" s="1850"/>
      <c r="J127" s="1850"/>
      <c r="K127" s="1850"/>
      <c r="L127" s="1850"/>
      <c r="M127" s="1850"/>
      <c r="N127" s="1850"/>
      <c r="O127" s="1850"/>
      <c r="P127" s="1850"/>
      <c r="Q127" s="1850"/>
    </row>
    <row r="128" spans="2:17" s="539" customFormat="1">
      <c r="B128" s="1850"/>
      <c r="C128" s="1850"/>
      <c r="D128" s="1850"/>
      <c r="E128" s="1850"/>
      <c r="F128" s="1850"/>
      <c r="G128" s="1850"/>
      <c r="H128" s="1850"/>
      <c r="I128" s="1850"/>
      <c r="J128" s="1850"/>
      <c r="K128" s="1850"/>
      <c r="L128" s="1850"/>
      <c r="M128" s="1850"/>
      <c r="N128" s="1850"/>
      <c r="O128" s="1850"/>
      <c r="P128" s="1850"/>
      <c r="Q128" s="1850"/>
    </row>
    <row r="129" spans="2:17" s="539" customFormat="1">
      <c r="B129" s="1850"/>
      <c r="C129" s="1850"/>
      <c r="D129" s="1850"/>
      <c r="E129" s="1850"/>
      <c r="F129" s="1850"/>
      <c r="G129" s="1850"/>
      <c r="H129" s="1850"/>
      <c r="I129" s="1850"/>
      <c r="J129" s="1850"/>
      <c r="K129" s="1850"/>
      <c r="L129" s="1850"/>
      <c r="M129" s="1850"/>
      <c r="N129" s="1850"/>
      <c r="O129" s="1850"/>
      <c r="P129" s="1850"/>
      <c r="Q129" s="1850"/>
    </row>
    <row r="130" spans="2:17" s="539" customFormat="1">
      <c r="B130" s="1850"/>
      <c r="C130" s="1850"/>
      <c r="D130" s="1850"/>
      <c r="E130" s="1850"/>
      <c r="F130" s="1850"/>
      <c r="G130" s="1850"/>
      <c r="H130" s="1850"/>
      <c r="I130" s="1850"/>
      <c r="J130" s="1850"/>
      <c r="K130" s="1850"/>
      <c r="L130" s="1850"/>
      <c r="M130" s="1850"/>
      <c r="N130" s="1850"/>
      <c r="O130" s="1850"/>
      <c r="P130" s="1850"/>
      <c r="Q130" s="1850"/>
    </row>
    <row r="131" spans="2:17" s="539" customFormat="1">
      <c r="B131" s="1850"/>
      <c r="C131" s="1850"/>
      <c r="D131" s="1850"/>
      <c r="E131" s="1850"/>
      <c r="F131" s="1850"/>
      <c r="G131" s="1850"/>
      <c r="H131" s="1850"/>
      <c r="I131" s="1850"/>
      <c r="J131" s="1850"/>
      <c r="K131" s="1850"/>
      <c r="L131" s="1850"/>
      <c r="M131" s="1850"/>
      <c r="N131" s="1850"/>
      <c r="O131" s="1850"/>
      <c r="P131" s="1850"/>
      <c r="Q131" s="1850"/>
    </row>
    <row r="132" spans="2:17" s="539" customFormat="1">
      <c r="B132" s="1850"/>
      <c r="C132" s="1850"/>
      <c r="D132" s="1850"/>
      <c r="E132" s="1850"/>
      <c r="F132" s="1850"/>
      <c r="G132" s="1850"/>
      <c r="H132" s="1850"/>
      <c r="I132" s="1850"/>
      <c r="J132" s="1850"/>
      <c r="K132" s="1850"/>
      <c r="L132" s="1850"/>
      <c r="M132" s="1850"/>
      <c r="N132" s="1850"/>
      <c r="O132" s="1850"/>
      <c r="P132" s="1850"/>
      <c r="Q132" s="1850"/>
    </row>
    <row r="133" spans="2:17" s="539" customFormat="1">
      <c r="B133" s="1850"/>
      <c r="C133" s="1850"/>
      <c r="D133" s="1850"/>
      <c r="E133" s="1850"/>
      <c r="F133" s="1850"/>
      <c r="G133" s="1850"/>
      <c r="H133" s="1850"/>
      <c r="I133" s="1850"/>
      <c r="J133" s="1850"/>
      <c r="K133" s="1850"/>
      <c r="L133" s="1850"/>
      <c r="M133" s="1850"/>
      <c r="N133" s="1850"/>
      <c r="O133" s="1850"/>
      <c r="P133" s="1850"/>
      <c r="Q133" s="1850"/>
    </row>
    <row r="134" spans="2:17" s="539" customFormat="1">
      <c r="B134" s="1850"/>
      <c r="C134" s="1850"/>
      <c r="D134" s="1850"/>
      <c r="E134" s="1850"/>
      <c r="F134" s="1850"/>
      <c r="G134" s="1850"/>
      <c r="H134" s="1850"/>
      <c r="I134" s="1850"/>
      <c r="J134" s="1850"/>
      <c r="K134" s="1850"/>
      <c r="L134" s="1850"/>
      <c r="M134" s="1850"/>
      <c r="N134" s="1850"/>
      <c r="O134" s="1850"/>
      <c r="P134" s="1850"/>
      <c r="Q134" s="1850"/>
    </row>
    <row r="135" spans="2:17" s="539" customFormat="1">
      <c r="B135" s="1850"/>
      <c r="C135" s="1850"/>
      <c r="D135" s="1850"/>
      <c r="E135" s="1850"/>
      <c r="F135" s="1850"/>
      <c r="G135" s="1850"/>
      <c r="H135" s="1850"/>
      <c r="I135" s="1850"/>
      <c r="J135" s="1850"/>
      <c r="K135" s="1850"/>
      <c r="L135" s="1850"/>
      <c r="M135" s="1850"/>
      <c r="N135" s="1850"/>
      <c r="O135" s="1850"/>
      <c r="P135" s="1850"/>
      <c r="Q135" s="1850"/>
    </row>
    <row r="136" spans="2:17" s="539" customFormat="1">
      <c r="B136" s="1850"/>
      <c r="C136" s="1850"/>
      <c r="D136" s="1850"/>
      <c r="E136" s="1850"/>
      <c r="F136" s="1850"/>
      <c r="G136" s="1850"/>
      <c r="H136" s="1850"/>
      <c r="I136" s="1850"/>
      <c r="J136" s="1850"/>
      <c r="K136" s="1850"/>
      <c r="L136" s="1850"/>
      <c r="M136" s="1850"/>
      <c r="N136" s="1850"/>
      <c r="O136" s="1850"/>
      <c r="P136" s="1850"/>
      <c r="Q136" s="1850"/>
    </row>
    <row r="137" spans="2:17" s="539" customFormat="1">
      <c r="B137" s="1850"/>
      <c r="C137" s="1850"/>
      <c r="D137" s="1850"/>
      <c r="E137" s="1850"/>
      <c r="F137" s="1850"/>
      <c r="G137" s="1850"/>
      <c r="H137" s="1850"/>
      <c r="I137" s="1850"/>
      <c r="J137" s="1850"/>
      <c r="K137" s="1850"/>
      <c r="L137" s="1850"/>
      <c r="M137" s="1850"/>
      <c r="N137" s="1850"/>
      <c r="O137" s="1850"/>
      <c r="P137" s="1850"/>
      <c r="Q137" s="1850"/>
    </row>
    <row r="138" spans="2:17" s="539" customFormat="1">
      <c r="B138" s="1850"/>
      <c r="C138" s="1850"/>
      <c r="D138" s="1850"/>
      <c r="E138" s="1850"/>
      <c r="F138" s="1850"/>
      <c r="G138" s="1850"/>
      <c r="H138" s="1850"/>
      <c r="I138" s="1850"/>
      <c r="J138" s="1850"/>
      <c r="K138" s="1850"/>
      <c r="L138" s="1850"/>
      <c r="M138" s="1850"/>
      <c r="N138" s="1850"/>
      <c r="O138" s="1850"/>
      <c r="P138" s="1850"/>
      <c r="Q138" s="1850"/>
    </row>
    <row r="139" spans="2:17" s="539" customFormat="1">
      <c r="B139" s="1850"/>
      <c r="C139" s="1850"/>
      <c r="D139" s="1850"/>
      <c r="E139" s="1850"/>
      <c r="F139" s="1850"/>
      <c r="G139" s="1850"/>
      <c r="H139" s="1850"/>
      <c r="I139" s="1850"/>
      <c r="J139" s="1850"/>
      <c r="K139" s="1850"/>
      <c r="L139" s="1850"/>
      <c r="M139" s="1850"/>
      <c r="N139" s="1850"/>
      <c r="O139" s="1850"/>
      <c r="P139" s="1850"/>
      <c r="Q139" s="1850"/>
    </row>
    <row r="140" spans="2:17" s="539" customFormat="1">
      <c r="B140" s="1850"/>
      <c r="C140" s="1850"/>
      <c r="D140" s="1850"/>
      <c r="E140" s="1850"/>
      <c r="F140" s="1850"/>
      <c r="G140" s="1850"/>
      <c r="H140" s="1850"/>
      <c r="I140" s="1850"/>
      <c r="J140" s="1850"/>
      <c r="K140" s="1850"/>
      <c r="L140" s="1850"/>
      <c r="M140" s="1850"/>
      <c r="N140" s="1850"/>
      <c r="O140" s="1850"/>
      <c r="P140" s="1850"/>
      <c r="Q140" s="1850"/>
    </row>
    <row r="141" spans="2:17" s="539" customFormat="1">
      <c r="B141" s="1850"/>
      <c r="C141" s="1850"/>
      <c r="D141" s="1850"/>
      <c r="E141" s="1850"/>
      <c r="F141" s="1850"/>
      <c r="G141" s="1850"/>
      <c r="H141" s="1850"/>
      <c r="I141" s="1850"/>
      <c r="J141" s="1850"/>
      <c r="K141" s="1850"/>
      <c r="L141" s="1850"/>
      <c r="M141" s="1850"/>
      <c r="N141" s="1850"/>
      <c r="O141" s="1850"/>
      <c r="P141" s="1850"/>
      <c r="Q141" s="1850"/>
    </row>
    <row r="142" spans="2:17" s="539" customFormat="1">
      <c r="B142" s="1850"/>
      <c r="C142" s="1850"/>
      <c r="D142" s="1850"/>
      <c r="E142" s="1850"/>
      <c r="F142" s="1850"/>
      <c r="G142" s="1850"/>
      <c r="H142" s="1850"/>
      <c r="I142" s="1850"/>
      <c r="J142" s="1850"/>
      <c r="K142" s="1850"/>
      <c r="L142" s="1850"/>
      <c r="M142" s="1850"/>
      <c r="N142" s="1850"/>
      <c r="O142" s="1850"/>
      <c r="P142" s="1850"/>
      <c r="Q142" s="1850"/>
    </row>
    <row r="143" spans="2:17" s="539" customFormat="1">
      <c r="B143" s="1850"/>
      <c r="C143" s="1850"/>
      <c r="D143" s="1850"/>
      <c r="E143" s="1850"/>
      <c r="F143" s="1850"/>
      <c r="G143" s="1850"/>
      <c r="H143" s="1850"/>
      <c r="I143" s="1850"/>
      <c r="J143" s="1850"/>
      <c r="K143" s="1850"/>
      <c r="L143" s="1850"/>
      <c r="M143" s="1850"/>
      <c r="N143" s="1850"/>
      <c r="O143" s="1850"/>
      <c r="P143" s="1850"/>
      <c r="Q143" s="1850"/>
    </row>
    <row r="144" spans="2:17" s="539" customFormat="1">
      <c r="B144" s="1850"/>
      <c r="C144" s="1850"/>
      <c r="D144" s="1850"/>
      <c r="E144" s="1850"/>
      <c r="F144" s="1850"/>
      <c r="G144" s="1850"/>
      <c r="H144" s="1850"/>
      <c r="I144" s="1850"/>
      <c r="J144" s="1850"/>
      <c r="K144" s="1850"/>
      <c r="L144" s="1850"/>
      <c r="M144" s="1850"/>
      <c r="N144" s="1850"/>
      <c r="O144" s="1850"/>
      <c r="P144" s="1850"/>
      <c r="Q144" s="1850"/>
    </row>
    <row r="145" spans="2:17" s="539" customFormat="1">
      <c r="B145" s="1850"/>
      <c r="C145" s="1850"/>
      <c r="D145" s="1850"/>
      <c r="E145" s="1850"/>
      <c r="F145" s="1850"/>
      <c r="G145" s="1850"/>
      <c r="H145" s="1850"/>
      <c r="I145" s="1850"/>
      <c r="J145" s="1850"/>
      <c r="K145" s="1850"/>
      <c r="L145" s="1850"/>
      <c r="M145" s="1850"/>
      <c r="N145" s="1850"/>
      <c r="O145" s="1850"/>
      <c r="P145" s="1850"/>
      <c r="Q145" s="1850"/>
    </row>
    <row r="146" spans="2:17" s="539" customFormat="1">
      <c r="B146" s="1850"/>
      <c r="C146" s="1850"/>
      <c r="D146" s="1850"/>
      <c r="E146" s="1850"/>
      <c r="F146" s="1850"/>
      <c r="G146" s="1850"/>
      <c r="H146" s="1850"/>
      <c r="I146" s="1850"/>
      <c r="J146" s="1850"/>
      <c r="K146" s="1850"/>
      <c r="L146" s="1850"/>
      <c r="M146" s="1850"/>
      <c r="N146" s="1850"/>
      <c r="O146" s="1850"/>
      <c r="P146" s="1850"/>
      <c r="Q146" s="1850"/>
    </row>
    <row r="147" spans="2:17" s="539" customFormat="1">
      <c r="B147" s="1850"/>
      <c r="C147" s="1850"/>
      <c r="D147" s="1850"/>
      <c r="E147" s="1850"/>
      <c r="F147" s="1850"/>
      <c r="G147" s="1850"/>
      <c r="H147" s="1850"/>
      <c r="I147" s="1850"/>
      <c r="J147" s="1850"/>
      <c r="K147" s="1850"/>
      <c r="L147" s="1850"/>
      <c r="M147" s="1850"/>
      <c r="N147" s="1850"/>
      <c r="O147" s="1850"/>
      <c r="P147" s="1850"/>
      <c r="Q147" s="1850"/>
    </row>
    <row r="148" spans="2:17" s="539" customFormat="1">
      <c r="B148" s="1850"/>
      <c r="C148" s="1850"/>
      <c r="D148" s="1850"/>
      <c r="E148" s="1850"/>
      <c r="F148" s="1850"/>
      <c r="G148" s="1850"/>
      <c r="H148" s="1850"/>
      <c r="I148" s="1850"/>
      <c r="J148" s="1850"/>
      <c r="K148" s="1850"/>
      <c r="L148" s="1850"/>
      <c r="M148" s="1850"/>
      <c r="N148" s="1850"/>
      <c r="O148" s="1850"/>
      <c r="P148" s="1850"/>
      <c r="Q148" s="1850"/>
    </row>
    <row r="149" spans="2:17" s="539" customFormat="1">
      <c r="B149" s="1850"/>
      <c r="C149" s="1850"/>
      <c r="D149" s="1850"/>
      <c r="E149" s="1850"/>
      <c r="F149" s="1850"/>
      <c r="G149" s="1850"/>
      <c r="H149" s="1850"/>
      <c r="I149" s="1850"/>
      <c r="J149" s="1850"/>
      <c r="K149" s="1850"/>
      <c r="L149" s="1850"/>
      <c r="M149" s="1850"/>
      <c r="N149" s="1850"/>
      <c r="O149" s="1850"/>
      <c r="P149" s="1850"/>
      <c r="Q149" s="1850"/>
    </row>
    <row r="150" spans="2:17" s="539" customFormat="1">
      <c r="B150" s="1850"/>
      <c r="C150" s="1850"/>
      <c r="D150" s="1850"/>
      <c r="E150" s="1850"/>
      <c r="F150" s="1850"/>
      <c r="G150" s="1850"/>
      <c r="H150" s="1850"/>
      <c r="I150" s="1850"/>
      <c r="J150" s="1850"/>
      <c r="K150" s="1850"/>
      <c r="L150" s="1850"/>
      <c r="M150" s="1850"/>
      <c r="N150" s="1850"/>
      <c r="O150" s="1850"/>
      <c r="P150" s="1850"/>
      <c r="Q150" s="1850"/>
    </row>
    <row r="151" spans="2:17" s="539" customFormat="1">
      <c r="B151" s="1850"/>
      <c r="C151" s="1850"/>
      <c r="D151" s="1850"/>
      <c r="E151" s="1850"/>
      <c r="F151" s="1850"/>
      <c r="G151" s="1850"/>
      <c r="H151" s="1850"/>
      <c r="I151" s="1850"/>
      <c r="J151" s="1850"/>
      <c r="K151" s="1850"/>
      <c r="L151" s="1850"/>
      <c r="M151" s="1850"/>
      <c r="N151" s="1850"/>
      <c r="O151" s="1850"/>
      <c r="P151" s="1850"/>
      <c r="Q151" s="1850"/>
    </row>
    <row r="152" spans="2:17" s="539" customFormat="1">
      <c r="B152" s="1850"/>
      <c r="C152" s="1850"/>
      <c r="D152" s="1850"/>
      <c r="E152" s="1850"/>
      <c r="F152" s="1850"/>
      <c r="G152" s="1850"/>
      <c r="H152" s="1850"/>
      <c r="I152" s="1850"/>
      <c r="J152" s="1850"/>
      <c r="K152" s="1850"/>
      <c r="L152" s="1850"/>
      <c r="M152" s="1850"/>
      <c r="N152" s="1850"/>
      <c r="O152" s="1850"/>
      <c r="P152" s="1850"/>
      <c r="Q152" s="1850"/>
    </row>
    <row r="153" spans="2:17" s="539" customFormat="1">
      <c r="B153" s="1850"/>
      <c r="C153" s="1850"/>
      <c r="D153" s="1850"/>
      <c r="E153" s="1850"/>
      <c r="F153" s="1850"/>
      <c r="G153" s="1850"/>
      <c r="H153" s="1850"/>
      <c r="I153" s="1850"/>
      <c r="J153" s="1850"/>
      <c r="K153" s="1850"/>
      <c r="L153" s="1850"/>
      <c r="M153" s="1850"/>
      <c r="N153" s="1850"/>
      <c r="O153" s="1850"/>
      <c r="P153" s="1850"/>
      <c r="Q153" s="1850"/>
    </row>
    <row r="154" spans="2:17" s="539" customFormat="1">
      <c r="B154" s="1850"/>
      <c r="C154" s="1850"/>
      <c r="D154" s="1850"/>
      <c r="E154" s="1850"/>
      <c r="F154" s="1850"/>
      <c r="G154" s="1850"/>
      <c r="H154" s="1850"/>
      <c r="I154" s="1850"/>
      <c r="J154" s="1850"/>
      <c r="K154" s="1850"/>
      <c r="L154" s="1850"/>
      <c r="M154" s="1850"/>
      <c r="N154" s="1850"/>
      <c r="O154" s="1850"/>
      <c r="P154" s="1850"/>
      <c r="Q154" s="1850"/>
    </row>
    <row r="155" spans="2:17" s="539" customFormat="1">
      <c r="B155" s="1850"/>
      <c r="C155" s="1850"/>
      <c r="D155" s="1850"/>
      <c r="E155" s="1850"/>
      <c r="F155" s="1850"/>
      <c r="G155" s="1850"/>
      <c r="H155" s="1850"/>
      <c r="I155" s="1850"/>
      <c r="J155" s="1850"/>
      <c r="K155" s="1850"/>
      <c r="L155" s="1850"/>
      <c r="M155" s="1850"/>
      <c r="N155" s="1850"/>
      <c r="O155" s="1850"/>
      <c r="P155" s="1850"/>
      <c r="Q155" s="1850"/>
    </row>
    <row r="156" spans="2:17" s="539" customFormat="1">
      <c r="B156" s="1850"/>
      <c r="C156" s="1850"/>
      <c r="D156" s="1850"/>
      <c r="E156" s="1850"/>
      <c r="F156" s="1850"/>
      <c r="G156" s="1850"/>
      <c r="H156" s="1850"/>
      <c r="I156" s="1850"/>
      <c r="J156" s="1850"/>
      <c r="K156" s="1850"/>
      <c r="L156" s="1850"/>
      <c r="M156" s="1850"/>
      <c r="N156" s="1850"/>
      <c r="O156" s="1850"/>
      <c r="P156" s="1850"/>
      <c r="Q156" s="1850"/>
    </row>
    <row r="157" spans="2:17" s="539" customFormat="1">
      <c r="B157" s="1850"/>
      <c r="C157" s="1850"/>
      <c r="D157" s="1850"/>
      <c r="E157" s="1850"/>
      <c r="F157" s="1850"/>
      <c r="G157" s="1850"/>
      <c r="H157" s="1850"/>
      <c r="I157" s="1850"/>
      <c r="J157" s="1850"/>
      <c r="K157" s="1850"/>
      <c r="L157" s="1850"/>
      <c r="M157" s="1850"/>
      <c r="N157" s="1850"/>
      <c r="O157" s="1850"/>
      <c r="P157" s="1850"/>
      <c r="Q157" s="1850"/>
    </row>
    <row r="158" spans="2:17" s="539" customFormat="1">
      <c r="B158" s="1850"/>
      <c r="C158" s="1850"/>
      <c r="D158" s="1850"/>
      <c r="E158" s="1850"/>
      <c r="F158" s="1850"/>
      <c r="G158" s="1850"/>
      <c r="H158" s="1850"/>
      <c r="I158" s="1850"/>
      <c r="J158" s="1850"/>
      <c r="K158" s="1850"/>
      <c r="L158" s="1850"/>
      <c r="M158" s="1850"/>
      <c r="N158" s="1850"/>
      <c r="O158" s="1850"/>
      <c r="P158" s="1850"/>
      <c r="Q158" s="1850"/>
    </row>
    <row r="159" spans="2:17" s="539" customFormat="1">
      <c r="B159" s="1850"/>
      <c r="C159" s="1850"/>
      <c r="D159" s="1850"/>
      <c r="E159" s="1850"/>
      <c r="F159" s="1850"/>
      <c r="G159" s="1850"/>
      <c r="H159" s="1850"/>
      <c r="I159" s="1850"/>
      <c r="J159" s="1850"/>
      <c r="K159" s="1850"/>
      <c r="L159" s="1850"/>
      <c r="M159" s="1850"/>
      <c r="N159" s="1850"/>
      <c r="O159" s="1850"/>
      <c r="P159" s="1850"/>
      <c r="Q159" s="1850"/>
    </row>
    <row r="160" spans="2:17" s="539" customFormat="1">
      <c r="B160" s="1850"/>
      <c r="C160" s="1850"/>
      <c r="D160" s="1850"/>
      <c r="E160" s="1850"/>
      <c r="F160" s="1850"/>
      <c r="G160" s="1850"/>
      <c r="H160" s="1850"/>
      <c r="I160" s="1850"/>
      <c r="J160" s="1850"/>
      <c r="K160" s="1850"/>
      <c r="L160" s="1850"/>
      <c r="M160" s="1850"/>
      <c r="N160" s="1850"/>
      <c r="O160" s="1850"/>
      <c r="P160" s="1850"/>
      <c r="Q160" s="1850"/>
    </row>
    <row r="161" spans="2:17" s="539" customFormat="1">
      <c r="B161" s="1850"/>
      <c r="C161" s="1850"/>
      <c r="D161" s="1850"/>
      <c r="E161" s="1850"/>
      <c r="F161" s="1850"/>
      <c r="G161" s="1850"/>
      <c r="H161" s="1850"/>
      <c r="I161" s="1850"/>
      <c r="J161" s="1850"/>
      <c r="K161" s="1850"/>
      <c r="L161" s="1850"/>
      <c r="M161" s="1850"/>
      <c r="N161" s="1850"/>
      <c r="O161" s="1850"/>
      <c r="P161" s="1850"/>
      <c r="Q161" s="1850"/>
    </row>
    <row r="162" spans="2:17" s="539" customFormat="1">
      <c r="B162" s="1850"/>
      <c r="C162" s="1850"/>
      <c r="D162" s="1850"/>
      <c r="E162" s="1850"/>
      <c r="F162" s="1850"/>
      <c r="G162" s="1850"/>
      <c r="H162" s="1850"/>
      <c r="I162" s="1850"/>
      <c r="J162" s="1850"/>
      <c r="K162" s="1850"/>
      <c r="L162" s="1850"/>
      <c r="M162" s="1850"/>
      <c r="N162" s="1850"/>
      <c r="O162" s="1850"/>
      <c r="P162" s="1850"/>
      <c r="Q162" s="1850"/>
    </row>
    <row r="163" spans="2:17" s="539" customFormat="1">
      <c r="B163" s="1850"/>
      <c r="C163" s="1850"/>
      <c r="D163" s="1850"/>
      <c r="E163" s="1850"/>
      <c r="F163" s="1850"/>
      <c r="G163" s="1850"/>
      <c r="H163" s="1850"/>
      <c r="I163" s="1850"/>
      <c r="J163" s="1850"/>
      <c r="K163" s="1850"/>
      <c r="L163" s="1850"/>
      <c r="M163" s="1850"/>
      <c r="N163" s="1850"/>
      <c r="O163" s="1850"/>
      <c r="P163" s="1850"/>
      <c r="Q163" s="1850"/>
    </row>
    <row r="164" spans="2:17" s="539" customFormat="1">
      <c r="B164" s="1850"/>
      <c r="C164" s="1850"/>
      <c r="D164" s="1850"/>
      <c r="E164" s="1850"/>
      <c r="F164" s="1850"/>
      <c r="G164" s="1850"/>
      <c r="H164" s="1850"/>
      <c r="I164" s="1850"/>
      <c r="J164" s="1850"/>
      <c r="K164" s="1850"/>
      <c r="L164" s="1850"/>
      <c r="M164" s="1850"/>
      <c r="N164" s="1850"/>
      <c r="O164" s="1850"/>
      <c r="P164" s="1850"/>
      <c r="Q164" s="1850"/>
    </row>
    <row r="165" spans="2:17" s="539" customFormat="1">
      <c r="B165" s="1850"/>
      <c r="C165" s="1850"/>
      <c r="D165" s="1850"/>
      <c r="E165" s="1850"/>
      <c r="F165" s="1850"/>
      <c r="G165" s="1850"/>
      <c r="H165" s="1850"/>
      <c r="I165" s="1850"/>
      <c r="J165" s="1850"/>
      <c r="K165" s="1850"/>
      <c r="L165" s="1850"/>
      <c r="M165" s="1850"/>
      <c r="N165" s="1850"/>
      <c r="O165" s="1850"/>
      <c r="P165" s="1850"/>
      <c r="Q165" s="1850"/>
    </row>
    <row r="166" spans="2:17" s="539" customFormat="1">
      <c r="B166" s="1850"/>
      <c r="C166" s="1850"/>
      <c r="D166" s="1850"/>
      <c r="E166" s="1850"/>
      <c r="F166" s="1850"/>
      <c r="G166" s="1850"/>
      <c r="H166" s="1850"/>
      <c r="I166" s="1850"/>
      <c r="J166" s="1850"/>
      <c r="K166" s="1850"/>
      <c r="L166" s="1850"/>
      <c r="M166" s="1850"/>
      <c r="N166" s="1850"/>
      <c r="O166" s="1850"/>
      <c r="P166" s="1850"/>
      <c r="Q166" s="1850"/>
    </row>
    <row r="167" spans="2:17" s="539" customFormat="1">
      <c r="B167" s="1850"/>
      <c r="C167" s="1850"/>
      <c r="D167" s="1850"/>
      <c r="E167" s="1850"/>
      <c r="F167" s="1850"/>
      <c r="G167" s="1850"/>
      <c r="H167" s="1850"/>
      <c r="I167" s="1850"/>
      <c r="J167" s="1850"/>
      <c r="K167" s="1850"/>
      <c r="L167" s="1850"/>
      <c r="M167" s="1850"/>
      <c r="N167" s="1850"/>
      <c r="O167" s="1850"/>
      <c r="P167" s="1850"/>
      <c r="Q167" s="1850"/>
    </row>
    <row r="168" spans="2:17" s="539" customFormat="1">
      <c r="B168" s="1850"/>
      <c r="C168" s="1850"/>
      <c r="D168" s="1850"/>
      <c r="E168" s="1850"/>
      <c r="F168" s="1850"/>
      <c r="G168" s="1850"/>
      <c r="H168" s="1850"/>
      <c r="I168" s="1850"/>
      <c r="J168" s="1850"/>
      <c r="K168" s="1850"/>
      <c r="L168" s="1850"/>
      <c r="M168" s="1850"/>
      <c r="N168" s="1850"/>
      <c r="O168" s="1850"/>
      <c r="P168" s="1850"/>
      <c r="Q168" s="1850"/>
    </row>
    <row r="169" spans="2:17" s="539" customFormat="1">
      <c r="B169" s="1850"/>
      <c r="C169" s="1850"/>
      <c r="D169" s="1850"/>
      <c r="E169" s="1850"/>
      <c r="F169" s="1850"/>
      <c r="G169" s="1850"/>
      <c r="H169" s="1850"/>
      <c r="I169" s="1850"/>
      <c r="J169" s="1850"/>
      <c r="K169" s="1850"/>
      <c r="L169" s="1850"/>
      <c r="M169" s="1850"/>
      <c r="N169" s="1850"/>
      <c r="O169" s="1850"/>
      <c r="P169" s="1850"/>
      <c r="Q169" s="1850"/>
    </row>
    <row r="170" spans="2:17" s="539" customFormat="1">
      <c r="B170" s="1850"/>
      <c r="C170" s="1850"/>
      <c r="D170" s="1850"/>
      <c r="E170" s="1850"/>
      <c r="F170" s="1850"/>
      <c r="G170" s="1850"/>
      <c r="H170" s="1850"/>
      <c r="I170" s="1850"/>
      <c r="J170" s="1850"/>
      <c r="K170" s="1850"/>
      <c r="L170" s="1850"/>
      <c r="M170" s="1850"/>
      <c r="N170" s="1850"/>
      <c r="O170" s="1850"/>
      <c r="P170" s="1850"/>
      <c r="Q170" s="1850"/>
    </row>
    <row r="171" spans="2:17" s="539" customFormat="1">
      <c r="B171" s="1850"/>
      <c r="C171" s="1850"/>
      <c r="D171" s="1850"/>
      <c r="E171" s="1850"/>
      <c r="F171" s="1850"/>
      <c r="G171" s="1850"/>
      <c r="H171" s="1850"/>
      <c r="I171" s="1850"/>
      <c r="J171" s="1850"/>
      <c r="K171" s="1850"/>
      <c r="L171" s="1850"/>
      <c r="M171" s="1850"/>
      <c r="N171" s="1850"/>
      <c r="O171" s="1850"/>
      <c r="P171" s="1850"/>
      <c r="Q171" s="1850"/>
    </row>
    <row r="172" spans="2:17" s="539" customFormat="1">
      <c r="B172" s="1850"/>
      <c r="C172" s="1850"/>
      <c r="D172" s="1850"/>
      <c r="E172" s="1850"/>
      <c r="F172" s="1850"/>
      <c r="G172" s="1850"/>
      <c r="H172" s="1850"/>
      <c r="I172" s="1850"/>
      <c r="J172" s="1850"/>
      <c r="K172" s="1850"/>
      <c r="L172" s="1850"/>
      <c r="M172" s="1850"/>
      <c r="N172" s="1850"/>
      <c r="O172" s="1850"/>
      <c r="P172" s="1850"/>
      <c r="Q172" s="1850"/>
    </row>
    <row r="173" spans="2:17" s="539" customFormat="1">
      <c r="B173" s="1850"/>
      <c r="C173" s="1850"/>
      <c r="D173" s="1850"/>
      <c r="E173" s="1850"/>
      <c r="F173" s="1850"/>
      <c r="G173" s="1850"/>
      <c r="H173" s="1850"/>
      <c r="I173" s="1850"/>
      <c r="J173" s="1850"/>
      <c r="K173" s="1850"/>
      <c r="L173" s="1850"/>
      <c r="M173" s="1850"/>
      <c r="N173" s="1850"/>
      <c r="O173" s="1850"/>
      <c r="P173" s="1850"/>
      <c r="Q173" s="1850"/>
    </row>
    <row r="174" spans="2:17" s="539" customFormat="1">
      <c r="B174" s="1850"/>
      <c r="C174" s="1850"/>
      <c r="D174" s="1850"/>
      <c r="E174" s="1850"/>
      <c r="F174" s="1850"/>
      <c r="G174" s="1850"/>
      <c r="H174" s="1850"/>
      <c r="I174" s="1850"/>
      <c r="J174" s="1850"/>
      <c r="K174" s="1850"/>
      <c r="L174" s="1850"/>
      <c r="M174" s="1850"/>
      <c r="N174" s="1850"/>
      <c r="O174" s="1850"/>
      <c r="P174" s="1850"/>
      <c r="Q174" s="1850"/>
    </row>
    <row r="175" spans="2:17" s="539" customFormat="1">
      <c r="B175" s="1850"/>
      <c r="C175" s="1850"/>
      <c r="D175" s="1850"/>
      <c r="E175" s="1850"/>
      <c r="F175" s="1850"/>
      <c r="G175" s="1850"/>
      <c r="H175" s="1850"/>
      <c r="I175" s="1850"/>
      <c r="J175" s="1850"/>
      <c r="K175" s="1850"/>
      <c r="L175" s="1850"/>
      <c r="M175" s="1850"/>
      <c r="N175" s="1850"/>
      <c r="O175" s="1850"/>
      <c r="P175" s="1850"/>
      <c r="Q175" s="1850"/>
    </row>
    <row r="176" spans="2:17" s="539" customFormat="1">
      <c r="B176" s="1850"/>
      <c r="C176" s="1850"/>
      <c r="D176" s="1850"/>
      <c r="E176" s="1850"/>
      <c r="F176" s="1850"/>
      <c r="G176" s="1850"/>
      <c r="H176" s="1850"/>
      <c r="I176" s="1850"/>
      <c r="J176" s="1850"/>
      <c r="K176" s="1850"/>
      <c r="L176" s="1850"/>
      <c r="M176" s="1850"/>
      <c r="N176" s="1850"/>
      <c r="O176" s="1850"/>
      <c r="P176" s="1850"/>
      <c r="Q176" s="1850"/>
    </row>
    <row r="177" spans="1:17" s="539" customFormat="1">
      <c r="B177" s="1850"/>
      <c r="C177" s="1850"/>
      <c r="D177" s="1850"/>
      <c r="E177" s="1850"/>
      <c r="F177" s="1850"/>
      <c r="G177" s="1850"/>
      <c r="H177" s="1850"/>
      <c r="I177" s="1850"/>
      <c r="J177" s="1850"/>
      <c r="K177" s="1850"/>
      <c r="L177" s="1850"/>
      <c r="M177" s="1850"/>
      <c r="N177" s="1850"/>
      <c r="O177" s="1850"/>
      <c r="P177" s="1850"/>
      <c r="Q177" s="1850"/>
    </row>
    <row r="178" spans="1:17" s="539" customFormat="1">
      <c r="B178" s="1850"/>
      <c r="C178" s="1850"/>
      <c r="D178" s="1850"/>
      <c r="E178" s="1850"/>
      <c r="F178" s="1850"/>
      <c r="G178" s="1850"/>
      <c r="H178" s="1850"/>
      <c r="I178" s="1850"/>
      <c r="J178" s="1850"/>
      <c r="K178" s="1850"/>
      <c r="L178" s="1850"/>
      <c r="M178" s="1850"/>
      <c r="N178" s="1850"/>
      <c r="O178" s="1850"/>
      <c r="P178" s="1850"/>
      <c r="Q178" s="1850"/>
    </row>
    <row r="179" spans="1:17" s="539" customFormat="1">
      <c r="B179" s="1850"/>
      <c r="C179" s="1850"/>
      <c r="D179" s="1850"/>
      <c r="E179" s="1850"/>
      <c r="F179" s="1850"/>
      <c r="G179" s="1850"/>
      <c r="H179" s="1850"/>
      <c r="I179" s="1850"/>
      <c r="J179" s="1850"/>
      <c r="K179" s="1850"/>
      <c r="L179" s="1850"/>
      <c r="M179" s="1850"/>
      <c r="N179" s="1850"/>
      <c r="O179" s="1850"/>
      <c r="P179" s="1850"/>
      <c r="Q179" s="1850"/>
    </row>
    <row r="180" spans="1:17" s="539" customFormat="1">
      <c r="B180" s="1850"/>
      <c r="C180" s="1850"/>
      <c r="D180" s="1850"/>
      <c r="E180" s="1850"/>
      <c r="F180" s="1850"/>
      <c r="G180" s="1850"/>
      <c r="H180" s="1850"/>
      <c r="I180" s="1850"/>
      <c r="J180" s="1850"/>
      <c r="K180" s="1850"/>
      <c r="L180" s="1850"/>
      <c r="M180" s="1850"/>
      <c r="N180" s="1850"/>
      <c r="O180" s="1850"/>
      <c r="P180" s="1850"/>
      <c r="Q180" s="1850"/>
    </row>
    <row r="181" spans="1:17" s="539" customFormat="1">
      <c r="B181" s="1850"/>
      <c r="C181" s="1850"/>
      <c r="D181" s="1850"/>
      <c r="E181" s="1850"/>
      <c r="F181" s="1850"/>
      <c r="G181" s="1850"/>
      <c r="H181" s="1850"/>
      <c r="I181" s="1850"/>
      <c r="J181" s="1850"/>
      <c r="K181" s="1850"/>
      <c r="L181" s="1850"/>
      <c r="M181" s="1850"/>
      <c r="N181" s="1850"/>
      <c r="O181" s="1850"/>
      <c r="P181" s="1850"/>
      <c r="Q181" s="1850"/>
    </row>
    <row r="182" spans="1:17" s="539" customFormat="1">
      <c r="B182" s="1850"/>
      <c r="C182" s="1850"/>
      <c r="D182" s="1850"/>
      <c r="E182" s="1850"/>
      <c r="F182" s="1850"/>
      <c r="G182" s="1850"/>
      <c r="H182" s="1850"/>
      <c r="I182" s="1850"/>
      <c r="J182" s="1850"/>
      <c r="K182" s="1850"/>
      <c r="L182" s="1850"/>
      <c r="M182" s="1850"/>
      <c r="N182" s="1850"/>
      <c r="O182" s="1850"/>
      <c r="P182" s="1850"/>
      <c r="Q182" s="1850"/>
    </row>
    <row r="183" spans="1:17" s="539" customFormat="1">
      <c r="B183" s="1850"/>
      <c r="C183" s="1850"/>
      <c r="D183" s="1850"/>
      <c r="E183" s="1850"/>
      <c r="F183" s="1850"/>
      <c r="G183" s="1850"/>
      <c r="H183" s="1850"/>
      <c r="I183" s="1850"/>
      <c r="J183" s="1850"/>
      <c r="K183" s="1850"/>
      <c r="L183" s="1850"/>
      <c r="M183" s="1850"/>
      <c r="N183" s="1850"/>
      <c r="O183" s="1850"/>
      <c r="P183" s="1850"/>
      <c r="Q183" s="1850"/>
    </row>
    <row r="184" spans="1:17" s="539" customFormat="1">
      <c r="B184" s="1850"/>
      <c r="C184" s="1850"/>
      <c r="D184" s="1850"/>
      <c r="E184" s="1850"/>
      <c r="F184" s="1850"/>
      <c r="G184" s="1850"/>
      <c r="H184" s="1850"/>
      <c r="I184" s="1850"/>
      <c r="J184" s="1850"/>
      <c r="K184" s="1850"/>
      <c r="L184" s="1850"/>
      <c r="M184" s="1850"/>
      <c r="N184" s="1850"/>
      <c r="O184" s="1850"/>
      <c r="P184" s="1850"/>
      <c r="Q184" s="1850"/>
    </row>
    <row r="185" spans="1:17" s="539" customFormat="1">
      <c r="B185" s="1850"/>
      <c r="C185" s="1850"/>
      <c r="D185" s="1850"/>
      <c r="E185" s="1850"/>
      <c r="F185" s="1850"/>
      <c r="G185" s="1850"/>
      <c r="H185" s="1850"/>
      <c r="I185" s="1850"/>
      <c r="J185" s="1850"/>
      <c r="K185" s="1850"/>
      <c r="L185" s="1850"/>
      <c r="M185" s="1850"/>
      <c r="N185" s="1850"/>
      <c r="O185" s="1850"/>
      <c r="P185" s="1850"/>
      <c r="Q185" s="1850"/>
    </row>
    <row r="186" spans="1:17">
      <c r="A186" s="539"/>
      <c r="B186" s="1850"/>
      <c r="C186" s="1850"/>
      <c r="E186" s="1850"/>
      <c r="F186" s="1850"/>
      <c r="G186" s="1850"/>
    </row>
    <row r="187" spans="1:17">
      <c r="A187" s="539"/>
      <c r="B187" s="1850"/>
      <c r="C187" s="1850"/>
      <c r="E187" s="1850"/>
      <c r="F187" s="1850"/>
      <c r="G187" s="1850"/>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19" sqref="H19"/>
    </sheetView>
  </sheetViews>
  <sheetFormatPr defaultColWidth="9" defaultRowHeight="13.5"/>
  <cols>
    <col min="1" max="1" width="25" style="1874" customWidth="1"/>
    <col min="2" max="9" width="15.75" style="1874" customWidth="1"/>
    <col min="10" max="16384" width="9" style="1874"/>
  </cols>
  <sheetData>
    <row r="1" spans="1:11" ht="16.5">
      <c r="A1" s="1873" t="s">
        <v>653</v>
      </c>
      <c r="B1" s="1873">
        <f>SUM(B14:B23)</f>
        <v>57408.26</v>
      </c>
      <c r="C1" s="1982"/>
      <c r="D1" s="1982"/>
      <c r="E1" s="1982"/>
      <c r="F1" s="1982"/>
      <c r="G1" s="1983"/>
      <c r="H1" s="1983"/>
      <c r="I1" s="1983"/>
      <c r="J1" s="1983"/>
      <c r="K1" s="1983"/>
    </row>
    <row r="2" spans="1:11" ht="16.5">
      <c r="A2" s="1873" t="s">
        <v>641</v>
      </c>
      <c r="B2" s="1873">
        <f>SUM(C14:C23)</f>
        <v>16447.62</v>
      </c>
      <c r="C2" s="1982"/>
      <c r="D2" s="1982"/>
      <c r="E2" s="1982"/>
      <c r="F2" s="1982"/>
      <c r="G2" s="1983"/>
      <c r="H2" s="1983"/>
      <c r="I2" s="1983"/>
      <c r="J2" s="1983"/>
      <c r="K2" s="1983"/>
    </row>
    <row r="3" spans="1:11" ht="16.5">
      <c r="A3" s="1873" t="s">
        <v>650</v>
      </c>
      <c r="B3" s="1875">
        <f>项目基本情况!D3</f>
        <v>46049</v>
      </c>
      <c r="C3" s="1982"/>
      <c r="D3" s="1982"/>
      <c r="E3" s="1982"/>
      <c r="F3" s="1982"/>
      <c r="G3" s="1983"/>
      <c r="H3" s="1983"/>
      <c r="I3" s="1983"/>
      <c r="J3" s="1983"/>
      <c r="K3" s="1983"/>
    </row>
    <row r="4" spans="1:11" ht="33">
      <c r="A4" s="1873" t="s">
        <v>649</v>
      </c>
      <c r="B4" s="1873" t="s">
        <v>648</v>
      </c>
      <c r="C4" s="1873" t="s">
        <v>647</v>
      </c>
      <c r="D4" s="1873" t="s">
        <v>646</v>
      </c>
      <c r="E4" s="1982"/>
      <c r="F4" s="1983"/>
      <c r="G4" s="1983"/>
      <c r="H4" s="1983"/>
      <c r="I4" s="1983"/>
      <c r="J4" s="1983"/>
      <c r="K4" s="1983"/>
    </row>
    <row r="5" spans="1:11" ht="16.5">
      <c r="A5" s="1873" t="s">
        <v>645</v>
      </c>
      <c r="B5" s="1873">
        <f ca="1">SUM(D14:D23)</f>
        <v>166674</v>
      </c>
      <c r="C5" s="1873">
        <f ca="1">ROUND(B5*10000/$B$1,0)</f>
        <v>29033</v>
      </c>
      <c r="D5" s="1873">
        <f ca="1">ROUND(B5*10000/$B$2,0)</f>
        <v>101336</v>
      </c>
      <c r="E5" s="1982"/>
      <c r="F5" s="1983"/>
      <c r="G5" s="1983"/>
      <c r="H5" s="1983"/>
      <c r="I5" s="1983"/>
      <c r="J5" s="1983"/>
      <c r="K5" s="1983"/>
    </row>
    <row r="6" spans="1:11" ht="16.5">
      <c r="A6" s="1873" t="s">
        <v>644</v>
      </c>
      <c r="B6" s="1873">
        <f ca="1">SUM(G14:G23)</f>
        <v>166674</v>
      </c>
      <c r="C6" s="1873">
        <f ca="1">ROUND(B6*10000/$B$1,0)</f>
        <v>29033</v>
      </c>
      <c r="D6" s="1873">
        <f ca="1">ROUND(B6*10000/$B$2,0)</f>
        <v>101336</v>
      </c>
      <c r="E6" s="1982"/>
      <c r="F6" s="1983"/>
      <c r="G6" s="1983"/>
      <c r="H6" s="1983"/>
      <c r="I6" s="1983"/>
      <c r="J6" s="1983"/>
      <c r="K6" s="1983"/>
    </row>
    <row r="7" spans="1:11" ht="16.5">
      <c r="A7" s="1873" t="s">
        <v>652</v>
      </c>
      <c r="B7" s="1873">
        <f>SUM(H14:H23)</f>
        <v>0</v>
      </c>
      <c r="C7" s="1873" t="str">
        <f>IF(B7=H14,结果表!H110,ROUND(B7*10000/$B$1,0))</f>
        <v>——</v>
      </c>
      <c r="D7" s="1873">
        <f>ROUND(B7*10000/$B$2,0)</f>
        <v>0</v>
      </c>
      <c r="E7" s="1982"/>
      <c r="F7" s="1983"/>
      <c r="G7" s="1983"/>
      <c r="H7" s="1983"/>
      <c r="I7" s="1983"/>
      <c r="J7" s="1983"/>
      <c r="K7" s="1983"/>
    </row>
    <row r="8" spans="1:11" ht="16.5">
      <c r="A8" s="1873" t="s">
        <v>581</v>
      </c>
      <c r="B8" s="1873">
        <f>SUM(I14:I23)</f>
        <v>0</v>
      </c>
      <c r="C8" s="1873" t="str">
        <f>IF(B8=I14,结果表!H112,ROUND(B8*10000/$B$1,0))</f>
        <v>——</v>
      </c>
      <c r="D8" s="1873">
        <f>ROUND(B8*10000/$B$2,0)</f>
        <v>0</v>
      </c>
      <c r="E8" s="1982"/>
      <c r="F8" s="1983"/>
      <c r="G8" s="1983"/>
      <c r="H8" s="1983"/>
      <c r="I8" s="1983"/>
      <c r="J8" s="1983"/>
      <c r="K8" s="1983"/>
    </row>
    <row r="9" spans="1:11" ht="16.5">
      <c r="A9" s="1873" t="s">
        <v>643</v>
      </c>
      <c r="B9" s="2652"/>
      <c r="C9" s="2653"/>
      <c r="D9" s="2653"/>
      <c r="E9" s="1982"/>
      <c r="F9" s="1983"/>
      <c r="G9" s="1983"/>
      <c r="H9" s="1983"/>
      <c r="I9" s="1983"/>
      <c r="J9" s="1983"/>
      <c r="K9" s="1983"/>
    </row>
    <row r="10" spans="1:11" ht="16.5">
      <c r="A10" s="1873" t="s">
        <v>642</v>
      </c>
      <c r="B10" s="1873">
        <f>IF(E10="",0,ROUND(B1*(E10*365/G10)/10000,0))</f>
        <v>0</v>
      </c>
      <c r="C10" s="1873" t="s">
        <v>3238</v>
      </c>
      <c r="D10" s="1873" t="s">
        <v>3239</v>
      </c>
      <c r="E10" s="3737"/>
      <c r="F10" s="2547" t="s">
        <v>3240</v>
      </c>
      <c r="G10" s="3738"/>
      <c r="H10" s="1983"/>
      <c r="I10" s="1983"/>
      <c r="J10" s="1983"/>
      <c r="K10" s="1983"/>
    </row>
    <row r="11" spans="1:11" ht="16.5">
      <c r="A11" s="1873" t="s">
        <v>658</v>
      </c>
      <c r="B11" s="3736"/>
      <c r="C11" s="1982"/>
      <c r="D11" s="1982"/>
      <c r="E11" s="1982"/>
      <c r="F11" s="1983"/>
      <c r="G11" s="1983"/>
      <c r="H11" s="1983"/>
      <c r="I11" s="1983"/>
      <c r="J11" s="1983"/>
      <c r="K11" s="1983"/>
    </row>
    <row r="12" spans="1:11" ht="16.5">
      <c r="A12" s="1982"/>
      <c r="B12" s="1982"/>
      <c r="C12" s="1982"/>
      <c r="D12" s="1982"/>
      <c r="E12" s="1982"/>
      <c r="F12" s="1983"/>
      <c r="G12" s="1983"/>
      <c r="H12" s="1983"/>
      <c r="I12" s="1983"/>
      <c r="J12" s="1983"/>
      <c r="K12" s="1983"/>
    </row>
    <row r="13" spans="1:11" ht="33">
      <c r="A13" s="1876" t="s">
        <v>657</v>
      </c>
      <c r="B13" s="1877" t="s">
        <v>654</v>
      </c>
      <c r="C13" s="1877" t="s">
        <v>656</v>
      </c>
      <c r="D13" s="1877" t="s">
        <v>655</v>
      </c>
      <c r="E13" s="1873" t="s">
        <v>647</v>
      </c>
      <c r="F13" s="1873" t="s">
        <v>646</v>
      </c>
      <c r="G13" s="1877" t="s">
        <v>640</v>
      </c>
      <c r="H13" s="1877" t="s">
        <v>651</v>
      </c>
      <c r="I13" s="1877" t="s">
        <v>639</v>
      </c>
      <c r="J13" s="1983"/>
      <c r="K13" s="1983"/>
    </row>
    <row r="14" spans="1:11" ht="16.5">
      <c r="A14" s="1878" t="s">
        <v>638</v>
      </c>
      <c r="B14" s="3734">
        <f>'数据-汇总表'!E3</f>
        <v>57408.26</v>
      </c>
      <c r="C14" s="3734">
        <f>'数据-汇总表'!D3</f>
        <v>16447.62</v>
      </c>
      <c r="D14" s="3734">
        <f ca="1">结果表!H101</f>
        <v>166674</v>
      </c>
      <c r="E14" s="3734">
        <f ca="1">ROUND(D14*10000/B14,0)</f>
        <v>29033</v>
      </c>
      <c r="F14" s="3734">
        <f ca="1">ROUND(D14*10000/C14,0)</f>
        <v>101336</v>
      </c>
      <c r="G14" s="3734">
        <f ca="1">D14</f>
        <v>166674</v>
      </c>
      <c r="H14" s="3734"/>
      <c r="I14" s="3734"/>
      <c r="J14" s="1983"/>
      <c r="K14" s="1983"/>
    </row>
    <row r="15" spans="1:11" ht="16.5">
      <c r="A15" s="1878" t="s">
        <v>637</v>
      </c>
      <c r="B15" s="3735"/>
      <c r="C15" s="3735"/>
      <c r="D15" s="3735"/>
      <c r="E15" s="3734" t="e">
        <f t="shared" ref="E15:E23" si="0">ROUND(D15*10000/B15,0)</f>
        <v>#DIV/0!</v>
      </c>
      <c r="F15" s="3734" t="e">
        <f t="shared" ref="F15:F23" si="1">ROUND(D15*10000/C15,0)</f>
        <v>#DIV/0!</v>
      </c>
      <c r="G15" s="3736"/>
      <c r="H15" s="3736"/>
      <c r="I15" s="3735"/>
      <c r="J15" s="1983"/>
      <c r="K15" s="1983"/>
    </row>
    <row r="16" spans="1:11" ht="16.5">
      <c r="A16" s="1878" t="s">
        <v>636</v>
      </c>
      <c r="B16" s="3735"/>
      <c r="C16" s="3735"/>
      <c r="D16" s="3735"/>
      <c r="E16" s="3734" t="e">
        <f t="shared" si="0"/>
        <v>#DIV/0!</v>
      </c>
      <c r="F16" s="3734" t="e">
        <f t="shared" si="1"/>
        <v>#DIV/0!</v>
      </c>
      <c r="G16" s="3736"/>
      <c r="H16" s="3736"/>
      <c r="I16" s="3735"/>
      <c r="J16" s="1983"/>
      <c r="K16" s="1983"/>
    </row>
    <row r="17" spans="1:11" ht="16.5">
      <c r="A17" s="1878" t="s">
        <v>635</v>
      </c>
      <c r="B17" s="3735"/>
      <c r="C17" s="3735"/>
      <c r="D17" s="3735"/>
      <c r="E17" s="3734" t="e">
        <f t="shared" si="0"/>
        <v>#DIV/0!</v>
      </c>
      <c r="F17" s="3734" t="e">
        <f t="shared" si="1"/>
        <v>#DIV/0!</v>
      </c>
      <c r="G17" s="3736"/>
      <c r="H17" s="3736"/>
      <c r="I17" s="3735"/>
      <c r="J17" s="1983"/>
      <c r="K17" s="1983"/>
    </row>
    <row r="18" spans="1:11" ht="16.5">
      <c r="A18" s="1878" t="s">
        <v>634</v>
      </c>
      <c r="B18" s="3735"/>
      <c r="C18" s="3735"/>
      <c r="D18" s="3735"/>
      <c r="E18" s="3734" t="e">
        <f t="shared" si="0"/>
        <v>#DIV/0!</v>
      </c>
      <c r="F18" s="3734" t="e">
        <f t="shared" si="1"/>
        <v>#DIV/0!</v>
      </c>
      <c r="G18" s="3735"/>
      <c r="H18" s="3735"/>
      <c r="I18" s="3735"/>
      <c r="J18" s="1983"/>
      <c r="K18" s="1983"/>
    </row>
    <row r="19" spans="1:11" ht="16.5">
      <c r="A19" s="1878" t="s">
        <v>633</v>
      </c>
      <c r="B19" s="3735"/>
      <c r="C19" s="3735"/>
      <c r="D19" s="3735"/>
      <c r="E19" s="3734" t="e">
        <f t="shared" si="0"/>
        <v>#DIV/0!</v>
      </c>
      <c r="F19" s="3734" t="e">
        <f t="shared" si="1"/>
        <v>#DIV/0!</v>
      </c>
      <c r="G19" s="3735"/>
      <c r="H19" s="3735"/>
      <c r="I19" s="3735"/>
      <c r="J19" s="1983"/>
      <c r="K19" s="1983"/>
    </row>
    <row r="20" spans="1:11" ht="16.5">
      <c r="A20" s="1878" t="s">
        <v>632</v>
      </c>
      <c r="B20" s="3735"/>
      <c r="C20" s="3735"/>
      <c r="D20" s="3735"/>
      <c r="E20" s="3734" t="e">
        <f t="shared" si="0"/>
        <v>#DIV/0!</v>
      </c>
      <c r="F20" s="3734" t="e">
        <f t="shared" si="1"/>
        <v>#DIV/0!</v>
      </c>
      <c r="G20" s="3735"/>
      <c r="H20" s="3735"/>
      <c r="I20" s="3735"/>
      <c r="J20" s="1983"/>
      <c r="K20" s="1983"/>
    </row>
    <row r="21" spans="1:11" ht="16.5">
      <c r="A21" s="1878" t="s">
        <v>631</v>
      </c>
      <c r="B21" s="3735"/>
      <c r="C21" s="3735"/>
      <c r="D21" s="3735"/>
      <c r="E21" s="3734" t="e">
        <f t="shared" si="0"/>
        <v>#DIV/0!</v>
      </c>
      <c r="F21" s="3734" t="e">
        <f t="shared" si="1"/>
        <v>#DIV/0!</v>
      </c>
      <c r="G21" s="3735"/>
      <c r="H21" s="3735"/>
      <c r="I21" s="3735"/>
      <c r="J21" s="1983"/>
      <c r="K21" s="1983"/>
    </row>
    <row r="22" spans="1:11" ht="16.5">
      <c r="A22" s="1878" t="s">
        <v>630</v>
      </c>
      <c r="B22" s="3735"/>
      <c r="C22" s="3735"/>
      <c r="D22" s="3735"/>
      <c r="E22" s="3734" t="e">
        <f t="shared" si="0"/>
        <v>#DIV/0!</v>
      </c>
      <c r="F22" s="3734" t="e">
        <f t="shared" si="1"/>
        <v>#DIV/0!</v>
      </c>
      <c r="G22" s="3735"/>
      <c r="H22" s="3735"/>
      <c r="I22" s="3735"/>
      <c r="J22" s="1983"/>
      <c r="K22" s="1983"/>
    </row>
    <row r="23" spans="1:11" ht="16.5">
      <c r="A23" s="1878" t="s">
        <v>629</v>
      </c>
      <c r="B23" s="3735"/>
      <c r="C23" s="3735"/>
      <c r="D23" s="3735"/>
      <c r="E23" s="3736" t="e">
        <f t="shared" si="0"/>
        <v>#DIV/0!</v>
      </c>
      <c r="F23" s="3736" t="e">
        <f t="shared" si="1"/>
        <v>#DIV/0!</v>
      </c>
      <c r="G23" s="3735"/>
      <c r="H23" s="3735"/>
      <c r="I23" s="3735"/>
      <c r="J23" s="1983"/>
      <c r="K23" s="1983"/>
    </row>
    <row r="24" spans="1:11">
      <c r="A24" s="1983"/>
      <c r="B24" s="1983"/>
      <c r="C24" s="1983"/>
      <c r="D24" s="1983"/>
      <c r="E24" s="1983"/>
      <c r="F24" s="1983"/>
      <c r="G24" s="1983"/>
      <c r="H24" s="1983"/>
      <c r="I24" s="1983"/>
      <c r="J24" s="1983"/>
      <c r="K24" s="1983"/>
    </row>
    <row r="25" spans="1:11">
      <c r="A25" s="1983"/>
      <c r="B25" s="1983"/>
      <c r="C25" s="1983"/>
      <c r="D25" s="1983"/>
      <c r="E25" s="1983"/>
      <c r="F25" s="1983"/>
      <c r="G25" s="1983"/>
      <c r="H25" s="1983"/>
      <c r="I25" s="1983"/>
      <c r="J25" s="1983"/>
      <c r="K25" s="1983"/>
    </row>
    <row r="26" spans="1:11">
      <c r="A26" s="1983"/>
      <c r="B26" s="1983"/>
      <c r="C26" s="1983"/>
      <c r="D26" s="1983"/>
      <c r="E26" s="1983"/>
      <c r="F26" s="1983"/>
      <c r="G26" s="1983"/>
      <c r="H26" s="1983"/>
      <c r="I26" s="1983"/>
      <c r="J26" s="1983"/>
      <c r="K26" s="1983"/>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88" zoomScaleNormal="100" zoomScaleSheetLayoutView="100" zoomScalePageLayoutView="80" workbookViewId="0">
      <selection activeCell="H6" sqref="H6"/>
    </sheetView>
  </sheetViews>
  <sheetFormatPr defaultColWidth="12.625" defaultRowHeight="21.75" customHeight="1"/>
  <cols>
    <col min="1" max="2" width="12.625" style="1223"/>
    <col min="3" max="4" width="12.625" style="1223" customWidth="1"/>
    <col min="5" max="9" width="12.625" style="1223"/>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80"/>
    <col min="36" max="16384" width="12.625" style="1223"/>
  </cols>
  <sheetData>
    <row r="1" spans="1:12" ht="21.75" customHeight="1" thickBot="1">
      <c r="A1" s="1186" t="s">
        <v>1242</v>
      </c>
      <c r="B1" s="464"/>
      <c r="C1" s="1277"/>
      <c r="D1" s="464"/>
      <c r="E1" s="464"/>
      <c r="F1" s="1278" t="s">
        <v>1243</v>
      </c>
      <c r="G1" s="1123" t="s">
        <v>4299</v>
      </c>
      <c r="H1" s="1278" t="str">
        <f>IF(G1="现房","——","估价对象范围")</f>
        <v>——</v>
      </c>
      <c r="I1" s="1279" t="s">
        <v>4300</v>
      </c>
    </row>
    <row r="2" spans="1:12" ht="21.75" customHeight="1" thickBot="1">
      <c r="A2" s="4512" t="str">
        <f>项目基本情况!S2</f>
        <v>北京市房地产</v>
      </c>
      <c r="B2" s="4513"/>
      <c r="C2" s="4513"/>
      <c r="D2" s="4513"/>
      <c r="E2" s="4513"/>
      <c r="F2" s="4513"/>
      <c r="G2" s="4513"/>
      <c r="H2" s="4513"/>
      <c r="I2" s="4514"/>
    </row>
    <row r="3" spans="1:12" ht="12.75">
      <c r="A3" s="4516" t="s">
        <v>1244</v>
      </c>
      <c r="B3" s="4517"/>
      <c r="C3" s="4517"/>
      <c r="D3" s="4517"/>
      <c r="E3" s="4517"/>
      <c r="F3" s="4517"/>
      <c r="G3" s="4517"/>
      <c r="H3" s="4517"/>
      <c r="I3" s="4517"/>
    </row>
    <row r="4" spans="1:12" ht="14.25">
      <c r="A4" s="1281" t="s">
        <v>1245</v>
      </c>
      <c r="B4" s="1282" t="s">
        <v>1246</v>
      </c>
      <c r="C4" s="3655" t="s">
        <v>4291</v>
      </c>
      <c r="D4" s="3655" t="s">
        <v>4167</v>
      </c>
      <c r="E4" s="4518" t="s">
        <v>1247</v>
      </c>
      <c r="F4" s="4519"/>
      <c r="G4" s="4519"/>
      <c r="H4" s="4519"/>
      <c r="I4" s="4520"/>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53" t="s">
        <v>1248</v>
      </c>
      <c r="B5" s="4515">
        <v>25</v>
      </c>
      <c r="C5" s="4496"/>
      <c r="D5" s="4491"/>
      <c r="E5" s="49" t="s">
        <v>1249</v>
      </c>
      <c r="F5" s="1283"/>
      <c r="G5" s="1283"/>
      <c r="H5" s="1283"/>
      <c r="I5" s="950"/>
    </row>
    <row r="6" spans="1:12" ht="12.75">
      <c r="A6" s="4453"/>
      <c r="B6" s="4515"/>
      <c r="C6" s="4497"/>
      <c r="D6" s="4491"/>
      <c r="E6" s="49" t="s">
        <v>1250</v>
      </c>
      <c r="F6" s="1283"/>
      <c r="G6" s="1283"/>
      <c r="H6" s="1283"/>
      <c r="I6" s="950"/>
    </row>
    <row r="7" spans="1:12" ht="12.75">
      <c r="A7" s="4453"/>
      <c r="B7" s="4515"/>
      <c r="C7" s="4498"/>
      <c r="D7" s="4491"/>
      <c r="E7" s="49" t="s">
        <v>1251</v>
      </c>
      <c r="F7" s="1283"/>
      <c r="G7" s="1283"/>
      <c r="H7" s="1283"/>
      <c r="I7" s="950"/>
    </row>
    <row r="8" spans="1:12" ht="12.75">
      <c r="A8" s="4453" t="s">
        <v>1252</v>
      </c>
      <c r="B8" s="4515">
        <v>15</v>
      </c>
      <c r="C8" s="4496"/>
      <c r="D8" s="4491"/>
      <c r="E8" s="49" t="s">
        <v>1253</v>
      </c>
      <c r="F8" s="1283"/>
      <c r="G8" s="1283"/>
      <c r="H8" s="1283"/>
      <c r="I8" s="950"/>
    </row>
    <row r="9" spans="1:12" ht="12.75">
      <c r="A9" s="4453"/>
      <c r="B9" s="4515"/>
      <c r="C9" s="4498"/>
      <c r="D9" s="4491"/>
      <c r="E9" s="49" t="s">
        <v>1254</v>
      </c>
      <c r="F9" s="1283"/>
      <c r="G9" s="1283"/>
      <c r="H9" s="1283"/>
      <c r="I9" s="950"/>
    </row>
    <row r="10" spans="1:12" ht="12.75">
      <c r="A10" s="4453" t="s">
        <v>1255</v>
      </c>
      <c r="B10" s="4515">
        <v>15</v>
      </c>
      <c r="C10" s="4496"/>
      <c r="D10" s="4491"/>
      <c r="E10" s="49" t="s">
        <v>1256</v>
      </c>
      <c r="F10" s="1283"/>
      <c r="G10" s="1283"/>
      <c r="H10" s="1283"/>
      <c r="I10" s="950"/>
    </row>
    <row r="11" spans="1:12" ht="12.75">
      <c r="A11" s="4453"/>
      <c r="B11" s="4515"/>
      <c r="C11" s="4498"/>
      <c r="D11" s="4491"/>
      <c r="E11" s="49" t="s">
        <v>1257</v>
      </c>
      <c r="F11" s="1283"/>
      <c r="G11" s="1283"/>
      <c r="H11" s="1283"/>
      <c r="I11" s="950"/>
    </row>
    <row r="12" spans="1:12" ht="12.75">
      <c r="A12" s="4453" t="s">
        <v>1258</v>
      </c>
      <c r="B12" s="4515">
        <v>15</v>
      </c>
      <c r="C12" s="4496"/>
      <c r="D12" s="4491"/>
      <c r="E12" s="49" t="s">
        <v>1259</v>
      </c>
      <c r="F12" s="1283"/>
      <c r="G12" s="1283"/>
      <c r="H12" s="1283"/>
      <c r="I12" s="950"/>
    </row>
    <row r="13" spans="1:12" ht="12.75">
      <c r="A13" s="4453"/>
      <c r="B13" s="4515"/>
      <c r="C13" s="4498"/>
      <c r="D13" s="4491"/>
      <c r="E13" s="49" t="s">
        <v>1260</v>
      </c>
      <c r="F13" s="1283"/>
      <c r="G13" s="1283"/>
      <c r="H13" s="1283"/>
      <c r="I13" s="950"/>
    </row>
    <row r="14" spans="1:12" ht="12.75">
      <c r="A14" s="4453" t="s">
        <v>1261</v>
      </c>
      <c r="B14" s="4515">
        <v>30</v>
      </c>
      <c r="C14" s="4496">
        <v>6</v>
      </c>
      <c r="D14" s="4491">
        <v>4</v>
      </c>
      <c r="E14" s="49" t="s">
        <v>1262</v>
      </c>
      <c r="F14" s="1283"/>
      <c r="G14" s="1283"/>
      <c r="H14" s="1283"/>
      <c r="I14" s="950"/>
    </row>
    <row r="15" spans="1:12" ht="12.75">
      <c r="A15" s="4453"/>
      <c r="B15" s="4515"/>
      <c r="C15" s="4497"/>
      <c r="D15" s="4491"/>
      <c r="E15" s="49" t="s">
        <v>1263</v>
      </c>
      <c r="F15" s="1283"/>
      <c r="G15" s="1283"/>
      <c r="H15" s="1283"/>
      <c r="I15" s="950"/>
    </row>
    <row r="16" spans="1:12" ht="12.75">
      <c r="A16" s="4453"/>
      <c r="B16" s="4515"/>
      <c r="C16" s="4498"/>
      <c r="D16" s="4491"/>
      <c r="E16" s="49" t="s">
        <v>1264</v>
      </c>
      <c r="F16" s="1283"/>
      <c r="G16" s="1283"/>
      <c r="H16" s="1283"/>
      <c r="I16" s="950"/>
    </row>
    <row r="17" spans="1:36" ht="15">
      <c r="A17" s="1284" t="s">
        <v>1265</v>
      </c>
      <c r="B17" s="3654"/>
      <c r="C17" s="3739">
        <f>SUM(C5:C16)</f>
        <v>6</v>
      </c>
      <c r="D17" s="3739">
        <f>SUM(D5:D16)</f>
        <v>4</v>
      </c>
      <c r="E17" s="47"/>
      <c r="F17" s="47"/>
      <c r="G17" s="47"/>
      <c r="H17" s="47"/>
      <c r="I17" s="47"/>
      <c r="K17" s="186"/>
      <c r="L17" s="186" t="s">
        <v>1266</v>
      </c>
      <c r="M17" s="186" t="s">
        <v>1267</v>
      </c>
    </row>
    <row r="18" spans="1:36" ht="31.9" customHeight="1" thickBot="1">
      <c r="A18" s="1285" t="s">
        <v>1268</v>
      </c>
      <c r="B18" s="1208"/>
      <c r="C18" s="3740">
        <f>ROUND(C17/SUM(C17:D17),2)</f>
        <v>0.6</v>
      </c>
      <c r="D18" s="3740">
        <f>1-C18</f>
        <v>0.4</v>
      </c>
      <c r="E18" s="4503" t="s">
        <v>2040</v>
      </c>
      <c r="F18" s="4504"/>
      <c r="G18" s="4504"/>
      <c r="H18" s="4504"/>
      <c r="I18" s="4504"/>
      <c r="K18" s="186" t="s">
        <v>1269</v>
      </c>
      <c r="L18" s="2736">
        <f>IF(C1="",'数据-汇总表'!E3,SUMIF(项目类型,C1,'数据-汇总表'!E17:E26)+SUMIF(项目类型,C1,'数据-汇总表'!I17:I26))</f>
        <v>57408.26</v>
      </c>
      <c r="M18" s="2736">
        <f>IF(C1="",'数据-汇总表'!E3,SUMIF(项目类型,C1,'数据-汇总表'!E17:E26))</f>
        <v>57408.26</v>
      </c>
    </row>
    <row r="19" spans="1:36" ht="15">
      <c r="A19" s="1286" t="s">
        <v>1270</v>
      </c>
      <c r="B19" s="1287" t="s">
        <v>1271</v>
      </c>
      <c r="C19" s="3741">
        <f ca="1">SUMIF(INDIRECT("'"&amp;C4&amp;"'"&amp;"!A:A"),结果表!B19,INDIRECT("'"&amp;C4&amp;"'"&amp;"!B:B"))</f>
        <v>219432</v>
      </c>
      <c r="D19" s="3742">
        <f ca="1">SUMIF(INDIRECT("'"&amp;D4&amp;"'"&amp;"!A:A"),结果表!B19,INDIRECT("'"&amp;D4&amp;"'"&amp;"!B:B"))</f>
        <v>87537.482799999998</v>
      </c>
      <c r="E19" s="1286" t="s">
        <v>1272</v>
      </c>
      <c r="F19" s="1287" t="s">
        <v>1271</v>
      </c>
      <c r="G19" s="3747">
        <f ca="1">ROUND(C19*$C$18+D19*$D$18,0)</f>
        <v>166674</v>
      </c>
      <c r="H19" s="1288" t="s">
        <v>1273</v>
      </c>
      <c r="I19" s="47">
        <f ca="1">ROUND(C19*$C$18+D19*$D$18,4)</f>
        <v>166674.1931</v>
      </c>
      <c r="K19" s="186" t="s">
        <v>1274</v>
      </c>
      <c r="L19" s="2736">
        <f>IF(C1="",'数据-汇总表'!D3,SUMIF(项目类型,C1,'数据-汇总表'!D17:D26)+SUMIF(项目类型,C1,'数据-汇总表'!H17:H27))</f>
        <v>16447.62</v>
      </c>
      <c r="M19" s="2736">
        <f>IF(C1="",'数据-汇总表'!D3,SUMIF(项目类型,C1,'数据-汇总表'!D17:D26))</f>
        <v>16447.62</v>
      </c>
    </row>
    <row r="20" spans="1:36" ht="15">
      <c r="A20" s="1289"/>
      <c r="B20" s="25" t="s">
        <v>1275</v>
      </c>
      <c r="C20" s="3743">
        <f ca="1">SUMIF(INDIRECT("'"&amp;C4&amp;"'"&amp;"!A:A"),结果表!B20,INDIRECT("'"&amp;C4&amp;"'"&amp;"!B:B"))</f>
        <v>38223</v>
      </c>
      <c r="D20" s="3744">
        <f ca="1">SUMIF(INDIRECT("'"&amp;D4&amp;"'"&amp;"!A:A"),结果表!B20,INDIRECT("'"&amp;D4&amp;"'"&amp;"!B:B"))</f>
        <v>15248</v>
      </c>
      <c r="E20" s="1289"/>
      <c r="F20" s="25" t="s">
        <v>1275</v>
      </c>
      <c r="G20" s="3748">
        <f ca="1">ROUND(C20*$C$18+D20*$D$18,0)</f>
        <v>29033</v>
      </c>
      <c r="H20" s="545" t="s">
        <v>1276</v>
      </c>
      <c r="I20" s="47"/>
    </row>
    <row r="21" spans="1:36" ht="15" customHeight="1" thickBot="1">
      <c r="A21" s="312"/>
      <c r="B21" s="3490" t="s">
        <v>3632</v>
      </c>
      <c r="C21" s="3745">
        <f ca="1">SUMIF(INDIRECT("'"&amp;C4&amp;"'"&amp;"!A:A"),结果表!B21,INDIRECT("'"&amp;C4&amp;"'"&amp;"!B:B"))</f>
        <v>0</v>
      </c>
      <c r="D21" s="3746">
        <f ca="1">SUMIF(INDIRECT("'"&amp;D4&amp;"'"&amp;"!A:A"),结果表!B21,INDIRECT("'"&amp;D4&amp;"'"&amp;"!B:B"))</f>
        <v>0</v>
      </c>
      <c r="E21" s="1289"/>
      <c r="F21" s="26" t="s">
        <v>1277</v>
      </c>
      <c r="G21" s="3748">
        <f ca="1">ROUND(C21*$C$18+D21*$D$18,0)</f>
        <v>0</v>
      </c>
      <c r="H21" s="545" t="s">
        <v>1276</v>
      </c>
      <c r="I21" s="47"/>
    </row>
    <row r="22" spans="1:36" ht="15" thickBot="1">
      <c r="A22" s="1226" t="s">
        <v>1278</v>
      </c>
      <c r="B22" s="1290"/>
      <c r="C22" s="2654"/>
      <c r="D22" s="4001">
        <f ca="1">IF(C19&lt;D19,D19/C19-1,C19/D19-1)</f>
        <v>1.5067204696911847</v>
      </c>
      <c r="E22" s="3481"/>
      <c r="F22" s="3483"/>
      <c r="G22" s="3749">
        <f ca="1">ROUND(G19/('数据-汇总表'!D3/666.67),0)</f>
        <v>6756</v>
      </c>
      <c r="H22" s="3482" t="s">
        <v>3630</v>
      </c>
      <c r="I22" s="47"/>
    </row>
    <row r="23" spans="1:36" ht="13.5" thickBot="1">
      <c r="A23" s="464"/>
      <c r="B23" s="464"/>
      <c r="C23" s="464"/>
      <c r="D23" s="464"/>
      <c r="E23" s="47"/>
      <c r="F23" s="47"/>
      <c r="G23" s="47"/>
      <c r="H23" s="47"/>
      <c r="I23" s="47"/>
    </row>
    <row r="24" spans="1:36" ht="14.25">
      <c r="A24" s="4536" t="s">
        <v>1279</v>
      </c>
      <c r="B24" s="1287" t="s">
        <v>1271</v>
      </c>
      <c r="C24" s="3747">
        <f>IF(B30=0,0,D30)</f>
        <v>0</v>
      </c>
      <c r="D24" s="3750"/>
      <c r="E24" s="47"/>
      <c r="F24" s="47"/>
      <c r="G24" s="47"/>
      <c r="H24" s="47"/>
      <c r="I24" s="47"/>
    </row>
    <row r="25" spans="1:36" ht="14.25">
      <c r="A25" s="4537"/>
      <c r="B25" s="3491" t="s">
        <v>3633</v>
      </c>
      <c r="C25" s="3751">
        <f>IF(B30=0,0,C30)</f>
        <v>0</v>
      </c>
      <c r="D25" s="3752"/>
      <c r="E25" s="47"/>
      <c r="F25" s="47"/>
      <c r="G25" s="47"/>
      <c r="H25" s="47"/>
      <c r="I25" s="47"/>
    </row>
    <row r="26" spans="1:36" ht="13.5" customHeight="1">
      <c r="A26" s="1291" t="s">
        <v>1280</v>
      </c>
      <c r="B26" s="53" t="s">
        <v>1281</v>
      </c>
      <c r="C26" s="53" t="s">
        <v>1282</v>
      </c>
      <c r="D26" s="54" t="s">
        <v>1283</v>
      </c>
      <c r="E26" s="47"/>
      <c r="F26" s="47"/>
      <c r="G26" s="47"/>
      <c r="H26" s="47"/>
      <c r="I26" s="47"/>
    </row>
    <row r="27" spans="1:36" ht="14.25">
      <c r="A27" s="1291"/>
      <c r="B27" s="3753">
        <v>0</v>
      </c>
      <c r="C27" s="3753">
        <v>0</v>
      </c>
      <c r="D27" s="3754">
        <f>ROUND(C27*B27/10000,0)</f>
        <v>0</v>
      </c>
      <c r="E27" s="47"/>
      <c r="F27" s="47"/>
      <c r="G27" s="47"/>
      <c r="H27" s="47"/>
      <c r="I27" s="47"/>
    </row>
    <row r="28" spans="1:36" ht="14.25">
      <c r="A28" s="1291"/>
      <c r="B28" s="3753"/>
      <c r="C28" s="3753"/>
      <c r="D28" s="3754"/>
      <c r="E28" s="47"/>
      <c r="F28" s="47"/>
      <c r="G28" s="47"/>
      <c r="H28" s="47"/>
      <c r="I28" s="47"/>
    </row>
    <row r="29" spans="1:36" ht="14.25">
      <c r="A29" s="1291"/>
      <c r="B29" s="3753"/>
      <c r="C29" s="3753"/>
      <c r="D29" s="3754"/>
      <c r="E29" s="47"/>
      <c r="F29" s="47"/>
      <c r="G29" s="47"/>
      <c r="H29" s="47"/>
      <c r="I29" s="47"/>
    </row>
    <row r="30" spans="1:36" ht="15" thickBot="1">
      <c r="A30" s="53" t="s">
        <v>1284</v>
      </c>
      <c r="B30" s="3753"/>
      <c r="C30" s="3753"/>
      <c r="D30" s="3753"/>
      <c r="E30" s="1718" t="s">
        <v>2041</v>
      </c>
      <c r="F30" s="47"/>
      <c r="G30" s="47"/>
      <c r="H30" s="47"/>
      <c r="I30" s="47"/>
    </row>
    <row r="31" spans="1:36" s="1724" customFormat="1" ht="26.45" customHeight="1" thickTop="1" thickBot="1">
      <c r="A31" s="1719"/>
      <c r="B31" s="1720"/>
      <c r="C31" s="1720"/>
      <c r="D31" s="1720"/>
      <c r="E31" s="1720"/>
      <c r="F31" s="1720"/>
      <c r="G31" s="1720"/>
      <c r="H31" s="1720"/>
      <c r="I31" s="1721" t="s">
        <v>2042</v>
      </c>
      <c r="J31" s="1984"/>
      <c r="K31" s="1722"/>
      <c r="L31" s="1722"/>
      <c r="M31" s="1722"/>
      <c r="N31" s="1722"/>
      <c r="O31" s="1722"/>
      <c r="P31" s="1722"/>
      <c r="Q31" s="1722"/>
      <c r="R31" s="1722"/>
      <c r="S31" s="1722"/>
      <c r="T31" s="1722"/>
      <c r="U31" s="1722"/>
      <c r="V31" s="1722"/>
      <c r="W31" s="1722"/>
      <c r="X31" s="1722"/>
      <c r="Y31" s="1722"/>
      <c r="Z31" s="1722"/>
      <c r="AA31" s="1722"/>
      <c r="AB31" s="1723"/>
      <c r="AC31" s="1723"/>
      <c r="AD31" s="1723"/>
      <c r="AE31" s="1723"/>
      <c r="AF31" s="1723"/>
      <c r="AG31" s="1723"/>
      <c r="AH31" s="1723"/>
      <c r="AI31" s="1723"/>
      <c r="AJ31" s="1723"/>
    </row>
    <row r="32" spans="1:36" ht="16.5" thickTop="1" thickBot="1">
      <c r="A32" s="1292" t="s">
        <v>1285</v>
      </c>
      <c r="B32" s="1201"/>
      <c r="C32" s="3755">
        <f ca="1">IF(D32="总价",G19-C24,G20-C25)</f>
        <v>166674</v>
      </c>
      <c r="D32" s="1293" t="s">
        <v>4292</v>
      </c>
      <c r="E32" s="47"/>
      <c r="F32" s="47"/>
      <c r="G32" s="47"/>
      <c r="H32" s="47"/>
      <c r="I32" s="47"/>
    </row>
    <row r="33" spans="1:19" ht="15">
      <c r="A33" s="534" t="s">
        <v>1286</v>
      </c>
      <c r="B33" s="49"/>
      <c r="C33" s="1294" t="s">
        <v>4293</v>
      </c>
      <c r="D33" s="1295" t="s">
        <v>4167</v>
      </c>
      <c r="E33" s="1296" t="s">
        <v>1287</v>
      </c>
      <c r="F33" s="1297" t="str">
        <f>IF(D32="楼面单价","取值（单价）","取值（总价）")</f>
        <v>取值（总价）</v>
      </c>
      <c r="G33" s="47"/>
      <c r="H33" s="47"/>
      <c r="I33" s="47"/>
    </row>
    <row r="34" spans="1:19" ht="15">
      <c r="A34" s="1298"/>
      <c r="B34" s="1299" t="s">
        <v>1288</v>
      </c>
      <c r="C34" s="3756">
        <f ca="1">IF(C33="自定义",F34,C32-C35)</f>
        <v>166674</v>
      </c>
      <c r="D34" s="4002">
        <f ca="1">IF(C33="自定义",ROUND(C34/C32,3),IF(C33="收益比率",SUMIF(INDIRECT("'"&amp;D33&amp;"'"&amp;"!b:b"),"土地收益比率",INDIRECT("'"&amp;D33&amp;"'"&amp;"!c:c")),SUMIF(INDIRECT("'"&amp;D33&amp;"'"&amp;"!b:b"),"土地成本比率",INDIRECT("'"&amp;D33&amp;"'"&amp;"!c:c"))))</f>
        <v>0</v>
      </c>
      <c r="E34" s="1300" t="s">
        <v>1289</v>
      </c>
      <c r="F34" s="3758"/>
      <c r="G34" s="47"/>
      <c r="H34" s="47"/>
      <c r="I34" s="47"/>
    </row>
    <row r="35" spans="1:19" ht="15.75" thickBot="1">
      <c r="A35" s="1301"/>
      <c r="B35" s="1302" t="s">
        <v>1290</v>
      </c>
      <c r="C35" s="3757">
        <f ca="1">IF(C33="自定义",F35,ROUND(C32*D35,0))</f>
        <v>0</v>
      </c>
      <c r="D35" s="4003">
        <f ca="1">IF(C33="自定义",ROUND(C35/C32,3),IF(C33="收益比率",SUMIF(INDIRECT("'"&amp;D33&amp;"'"&amp;"!b:b"),"建筑物收益比率",INDIRECT("'"&amp;D33&amp;"'"&amp;"!c:c")),SUMIF(INDIRECT("'"&amp;D33&amp;"'"&amp;"!b:b"),"建筑物成本比率",INDIRECT("'"&amp;D33&amp;"'"&amp;"!c:c"))))</f>
        <v>0</v>
      </c>
      <c r="E35" s="1303" t="s">
        <v>1291</v>
      </c>
      <c r="F35" s="3759"/>
      <c r="G35" s="47"/>
      <c r="H35" s="47"/>
      <c r="I35" s="47"/>
    </row>
    <row r="36" spans="1:19" ht="15.75" thickBot="1">
      <c r="A36" s="4508" t="s">
        <v>1292</v>
      </c>
      <c r="B36" s="1304" t="s">
        <v>1293</v>
      </c>
      <c r="C36" s="3760"/>
      <c r="D36" s="1305"/>
      <c r="E36" s="1229"/>
      <c r="F36" s="1306"/>
      <c r="G36" s="47"/>
      <c r="H36" s="47"/>
      <c r="I36" s="47"/>
    </row>
    <row r="37" spans="1:19" ht="15.75" thickBot="1">
      <c r="A37" s="4509"/>
      <c r="B37" s="1217" t="s">
        <v>1294</v>
      </c>
      <c r="C37" s="3761"/>
      <c r="D37" s="785"/>
      <c r="E37" s="785"/>
      <c r="F37" s="1306"/>
      <c r="G37" s="47"/>
      <c r="H37" s="47"/>
      <c r="I37" s="47"/>
    </row>
    <row r="38" spans="1:19" ht="15.75" thickBot="1">
      <c r="A38" s="4510"/>
      <c r="B38" s="1307" t="s">
        <v>1295</v>
      </c>
      <c r="C38" s="3762"/>
      <c r="D38" s="1308" t="s">
        <v>1296</v>
      </c>
      <c r="E38" s="785"/>
      <c r="F38" s="1306"/>
      <c r="G38" s="47"/>
      <c r="H38" s="47"/>
      <c r="I38" s="47"/>
    </row>
    <row r="39" spans="1:19" ht="15">
      <c r="A39" s="1289" t="s">
        <v>1297</v>
      </c>
      <c r="B39" s="1309" t="s">
        <v>1298</v>
      </c>
      <c r="C39" s="1310" t="s">
        <v>1299</v>
      </c>
      <c r="D39" s="1310" t="s">
        <v>1300</v>
      </c>
      <c r="E39" s="1311" t="s">
        <v>1301</v>
      </c>
      <c r="F39" s="1306"/>
      <c r="G39" s="47"/>
      <c r="H39" s="47"/>
      <c r="I39" s="47"/>
    </row>
    <row r="40" spans="1:19" ht="14.25">
      <c r="A40" s="1312" t="s">
        <v>1302</v>
      </c>
      <c r="B40" s="3763"/>
      <c r="C40" s="3764"/>
      <c r="D40" s="3764"/>
      <c r="E40" s="3758"/>
      <c r="F40" s="1306"/>
      <c r="G40" s="47"/>
      <c r="H40" s="47"/>
      <c r="I40" s="47"/>
    </row>
    <row r="41" spans="1:19" ht="14.25">
      <c r="A41" s="1312" t="s">
        <v>1303</v>
      </c>
      <c r="B41" s="3763"/>
      <c r="C41" s="3764"/>
      <c r="D41" s="3764"/>
      <c r="E41" s="3758"/>
      <c r="F41" s="1306"/>
      <c r="G41" s="47"/>
      <c r="H41" s="47"/>
      <c r="I41" s="47"/>
    </row>
    <row r="42" spans="1:19" ht="15" thickBot="1">
      <c r="A42" s="1313"/>
      <c r="B42" s="3765"/>
      <c r="C42" s="3766"/>
      <c r="D42" s="3766"/>
      <c r="E42" s="3759"/>
      <c r="F42" s="1306"/>
      <c r="G42" s="47"/>
      <c r="H42" s="47"/>
      <c r="I42" s="47"/>
    </row>
    <row r="43" spans="1:19" ht="12.75">
      <c r="A43" s="1137"/>
      <c r="B43" s="1137"/>
      <c r="C43" s="1137"/>
      <c r="D43" s="1137"/>
      <c r="E43" s="1137"/>
      <c r="F43" s="1314"/>
      <c r="G43" s="1314"/>
      <c r="H43" s="1314"/>
      <c r="I43" s="1315"/>
    </row>
    <row r="44" spans="1:19" ht="18.75">
      <c r="A44" s="1134" t="s">
        <v>1304</v>
      </c>
      <c r="B44" s="1316"/>
      <c r="C44" s="1316"/>
      <c r="D44" s="1317"/>
      <c r="E44" s="1317"/>
      <c r="F44" s="1318"/>
      <c r="G44" s="1318"/>
      <c r="H44" s="1318"/>
      <c r="I44" s="1318"/>
      <c r="J44" s="1319" t="s">
        <v>1305</v>
      </c>
      <c r="K44" s="4"/>
      <c r="L44" s="4"/>
      <c r="M44" s="4"/>
      <c r="N44" s="4"/>
      <c r="O44" s="4"/>
    </row>
    <row r="45" spans="1:19" ht="14.25" customHeight="1" thickBot="1">
      <c r="A45" s="4533" t="s">
        <v>1306</v>
      </c>
      <c r="B45" s="4534"/>
      <c r="C45" s="4535"/>
      <c r="D45" s="56">
        <f ca="1">ROUND(H101*F45,0)</f>
        <v>166674</v>
      </c>
      <c r="E45" s="57" t="s">
        <v>1307</v>
      </c>
      <c r="F45" s="58">
        <v>1</v>
      </c>
      <c r="G45" s="59" t="s">
        <v>1308</v>
      </c>
      <c r="H45" s="47"/>
      <c r="I45" s="47"/>
      <c r="J45" s="4538" t="s">
        <v>1309</v>
      </c>
      <c r="K45" s="4538"/>
      <c r="L45" s="4538"/>
      <c r="M45" s="4538"/>
      <c r="N45" s="4538"/>
      <c r="O45" s="4538"/>
    </row>
    <row r="46" spans="1:19" ht="14.25" customHeight="1">
      <c r="A46" s="4530" t="s">
        <v>1310</v>
      </c>
      <c r="B46" s="4531"/>
      <c r="C46" s="4531"/>
      <c r="D46" s="4531"/>
      <c r="E46" s="4531"/>
      <c r="F46" s="4531"/>
      <c r="G46" s="4532"/>
      <c r="H46" s="1320"/>
      <c r="I46" s="60"/>
      <c r="J46" s="1881">
        <v>1</v>
      </c>
      <c r="K46" s="4539" t="s">
        <v>1311</v>
      </c>
      <c r="L46" s="4539"/>
      <c r="M46" s="4540"/>
      <c r="N46" s="4540"/>
      <c r="O46" s="4540"/>
    </row>
    <row r="47" spans="1:19" ht="12" customHeight="1">
      <c r="A47" s="61" t="s">
        <v>1312</v>
      </c>
      <c r="B47" s="62"/>
      <c r="C47" s="63"/>
      <c r="D47" s="746" t="s">
        <v>1313</v>
      </c>
      <c r="E47" s="186" t="s">
        <v>1314</v>
      </c>
      <c r="F47" s="64" t="s">
        <v>1315</v>
      </c>
      <c r="G47" s="1896" t="s">
        <v>1316</v>
      </c>
      <c r="H47" s="1897"/>
      <c r="I47" s="60"/>
      <c r="J47" s="1881">
        <v>2</v>
      </c>
      <c r="K47" s="4539" t="s">
        <v>1317</v>
      </c>
      <c r="L47" s="4539"/>
      <c r="M47" s="4541">
        <f>'数据-取费表'!B2</f>
        <v>46049</v>
      </c>
      <c r="N47" s="4541"/>
      <c r="O47" s="4541"/>
    </row>
    <row r="48" spans="1:19" ht="25.5">
      <c r="A48" s="4511" t="s">
        <v>1318</v>
      </c>
      <c r="B48" s="4495"/>
      <c r="C48" s="4495"/>
      <c r="D48" s="3767">
        <f>ROUND(IF(H48="情况1",0,IF(H48="情况2",D52,IF(H48="情况3",D53,IF(H48="情况4",D54))))*(1+'数据-取费表'!B44),0)</f>
        <v>0</v>
      </c>
      <c r="E48" s="925" t="str">
        <f>IF(H48="情况4","(销售额-原购置价)×税（费）率","销售额×税（费）率")</f>
        <v>销售额×税（费）率</v>
      </c>
      <c r="F48" s="3647">
        <f>IF(H48="情况1","免征",'数据-取费表'!B42)</f>
        <v>0</v>
      </c>
      <c r="G48" s="1898" t="s">
        <v>1319</v>
      </c>
      <c r="H48" s="1899"/>
      <c r="I48" s="1320"/>
      <c r="J48" s="1881">
        <v>3</v>
      </c>
      <c r="K48" s="4539" t="s">
        <v>1320</v>
      </c>
      <c r="L48" s="4539"/>
      <c r="M48" s="4542">
        <f ca="1">H101</f>
        <v>166674</v>
      </c>
      <c r="N48" s="4542"/>
      <c r="O48" s="4542"/>
      <c r="R48" s="3507" t="s">
        <v>3647</v>
      </c>
      <c r="S48" s="3508"/>
    </row>
    <row r="49" spans="1:35" ht="25.5" customHeight="1">
      <c r="A49" s="3648" t="s">
        <v>1321</v>
      </c>
      <c r="B49" s="4479" t="s">
        <v>1322</v>
      </c>
      <c r="C49" s="4479"/>
      <c r="D49" s="3768">
        <v>0</v>
      </c>
      <c r="E49" s="207" t="s">
        <v>1323</v>
      </c>
      <c r="F49" s="3642" t="s">
        <v>26</v>
      </c>
      <c r="G49" s="4471"/>
      <c r="H49" s="3502" t="s">
        <v>2043</v>
      </c>
      <c r="I49" s="3503"/>
      <c r="J49" s="1881">
        <v>4</v>
      </c>
      <c r="K49" s="4539" t="str">
        <f>IF(项目基本情况!E8="房地产抵押价值","房地产抵押价值","抵押担保权已注销时的房地产抵押价值")</f>
        <v>房地产抵押价值</v>
      </c>
      <c r="L49" s="4539"/>
      <c r="M49" s="4542">
        <f ca="1">IF(项目基本情况!E8="房地产抵押价值",H107,H109)</f>
        <v>166674</v>
      </c>
      <c r="N49" s="4542"/>
      <c r="O49" s="4542"/>
      <c r="R49" s="3509" t="s">
        <v>3648</v>
      </c>
      <c r="S49" s="3507" t="s">
        <v>3649</v>
      </c>
    </row>
    <row r="50" spans="1:35" ht="25.5" customHeight="1">
      <c r="A50" s="3649"/>
      <c r="B50" s="4479" t="s">
        <v>1324</v>
      </c>
      <c r="C50" s="4479"/>
      <c r="D50" s="3769"/>
      <c r="E50" s="214"/>
      <c r="F50" s="3642"/>
      <c r="G50" s="4472"/>
      <c r="H50" s="1328" t="s">
        <v>2044</v>
      </c>
      <c r="I50" s="3503"/>
      <c r="J50" s="4538" t="s">
        <v>1325</v>
      </c>
      <c r="K50" s="4538"/>
      <c r="L50" s="4538"/>
      <c r="M50" s="4538"/>
      <c r="N50" s="4538"/>
      <c r="O50" s="4538"/>
      <c r="R50" s="3509" t="s">
        <v>3650</v>
      </c>
      <c r="S50" s="3507" t="s">
        <v>3651</v>
      </c>
    </row>
    <row r="51" spans="1:35" ht="20.45" customHeight="1">
      <c r="A51" s="3650"/>
      <c r="B51" s="4479" t="s">
        <v>1326</v>
      </c>
      <c r="C51" s="4479"/>
      <c r="D51" s="731"/>
      <c r="E51" s="210"/>
      <c r="F51" s="3642"/>
      <c r="G51" s="4473"/>
      <c r="H51" s="1328" t="s">
        <v>2045</v>
      </c>
      <c r="I51" s="3503"/>
      <c r="J51" s="1882" t="s">
        <v>1327</v>
      </c>
      <c r="K51" s="4539" t="s">
        <v>1328</v>
      </c>
      <c r="L51" s="4539"/>
      <c r="M51" s="1882" t="s">
        <v>1329</v>
      </c>
      <c r="N51" s="1882" t="s">
        <v>1330</v>
      </c>
      <c r="O51" s="1882" t="s">
        <v>1331</v>
      </c>
      <c r="R51" s="3509" t="s">
        <v>3652</v>
      </c>
      <c r="S51" s="3508" t="s">
        <v>3653</v>
      </c>
    </row>
    <row r="52" spans="1:35" ht="24" customHeight="1">
      <c r="A52" s="1733" t="s">
        <v>1332</v>
      </c>
      <c r="B52" s="4479" t="s">
        <v>1333</v>
      </c>
      <c r="C52" s="4479"/>
      <c r="D52" s="731">
        <f ca="1">ROUND(D45*F52/(1+F52),0)</f>
        <v>4855</v>
      </c>
      <c r="E52" s="925" t="s">
        <v>1334</v>
      </c>
      <c r="F52" s="1900">
        <v>0.03</v>
      </c>
      <c r="G52" s="920" t="s">
        <v>3695</v>
      </c>
      <c r="H52" s="1894"/>
      <c r="I52" s="1321"/>
      <c r="J52" s="1881">
        <v>1</v>
      </c>
      <c r="K52" s="4468" t="s">
        <v>1335</v>
      </c>
      <c r="L52" s="4468"/>
      <c r="M52" s="3771">
        <f>IF(D48&lt;=0,0,D48)</f>
        <v>0</v>
      </c>
      <c r="N52" s="1881" t="str">
        <f>E48</f>
        <v>销售额×税（费）率</v>
      </c>
      <c r="O52" s="3678">
        <f>F48</f>
        <v>0</v>
      </c>
      <c r="R52" s="3507" t="s">
        <v>3654</v>
      </c>
      <c r="S52" s="3507" t="s">
        <v>3658</v>
      </c>
    </row>
    <row r="53" spans="1:35" ht="12" customHeight="1">
      <c r="A53" s="1733" t="s">
        <v>1336</v>
      </c>
      <c r="B53" s="4480" t="s">
        <v>2191</v>
      </c>
      <c r="C53" s="4481"/>
      <c r="D53" s="731">
        <f ca="1">IF(G53="2016年5月1日之前项目",ROUND(D45*F53/(1+F53),0),H63)</f>
        <v>13762</v>
      </c>
      <c r="E53" s="925" t="str">
        <f>IF(G53="2016年5月1日之前项目","全额计税","进销项计算")</f>
        <v>进销项计算</v>
      </c>
      <c r="F53" s="1900">
        <f>IF(G53="2016年5月1日之前项目",5%,9%)</f>
        <v>0.09</v>
      </c>
      <c r="G53" s="3732"/>
      <c r="H53" s="1894"/>
      <c r="I53" s="1321"/>
      <c r="J53" s="1881">
        <v>2</v>
      </c>
      <c r="K53" s="4468" t="s">
        <v>1337</v>
      </c>
      <c r="L53" s="4468"/>
      <c r="M53" s="3771">
        <f t="shared" ref="M53:O54" ca="1" si="0">D55</f>
        <v>83</v>
      </c>
      <c r="N53" s="1881" t="str">
        <f t="shared" si="0"/>
        <v>销售额×税（费）率</v>
      </c>
      <c r="O53" s="3678" t="str">
        <f t="shared" si="0"/>
        <v>免征</v>
      </c>
      <c r="R53" s="3507" t="s">
        <v>3655</v>
      </c>
      <c r="S53" s="3508" t="s">
        <v>3662</v>
      </c>
    </row>
    <row r="54" spans="1:35" ht="12" customHeight="1">
      <c r="A54" s="1733" t="s">
        <v>1338</v>
      </c>
      <c r="B54" s="4480" t="s">
        <v>2192</v>
      </c>
      <c r="C54" s="4481"/>
      <c r="D54" s="731">
        <f ca="1">IF(G54="2016年5月1日之前项目",C68,H63)</f>
        <v>13762</v>
      </c>
      <c r="E54" s="3662" t="str">
        <f>IF(G54="2016年5月1日之前项目","差额计税","进销项计算")</f>
        <v>进销项计算</v>
      </c>
      <c r="F54" s="1900">
        <f>IF(G54="2016年5月1日之前项目",5%,9%)</f>
        <v>0.09</v>
      </c>
      <c r="G54" s="3732"/>
      <c r="H54" s="1902"/>
      <c r="I54" s="1321"/>
      <c r="J54" s="1881">
        <v>3</v>
      </c>
      <c r="K54" s="4468" t="s">
        <v>1339</v>
      </c>
      <c r="L54" s="4468"/>
      <c r="M54" s="3771" t="e">
        <f t="shared" ca="1" si="0"/>
        <v>#VALUE!</v>
      </c>
      <c r="N54" s="1881" t="str">
        <f t="shared" si="0"/>
        <v>增值额×税（费）率</v>
      </c>
      <c r="O54" s="3679" t="str">
        <f t="shared" si="0"/>
        <v>免征</v>
      </c>
      <c r="P54" s="47"/>
      <c r="R54" s="3509" t="s">
        <v>3656</v>
      </c>
      <c r="S54" s="3508" t="s">
        <v>3659</v>
      </c>
    </row>
    <row r="55" spans="1:35" ht="24" customHeight="1">
      <c r="A55" s="4494" t="s">
        <v>1340</v>
      </c>
      <c r="B55" s="4495"/>
      <c r="C55" s="4495"/>
      <c r="D55" s="3767">
        <f ca="1">IF(H55="个人住宅",0,ROUND(D45*I55,0))</f>
        <v>83</v>
      </c>
      <c r="E55" s="925" t="s">
        <v>1341</v>
      </c>
      <c r="F55" s="1900" t="str">
        <f>IF(H55="正常",I55,"免征")</f>
        <v>免征</v>
      </c>
      <c r="G55" s="1901"/>
      <c r="H55" s="1899"/>
      <c r="I55" s="65">
        <f>'数据-取费表'!B50</f>
        <v>5.0000000000000001E-4</v>
      </c>
      <c r="J55" s="1881">
        <f>IF(H59="非个人房产","",4)</f>
        <v>4</v>
      </c>
      <c r="K55" s="4468" t="str">
        <f>IF(H59="非个人房产","——","个人所得税")</f>
        <v>个人所得税</v>
      </c>
      <c r="L55" s="4468"/>
      <c r="M55" s="3772">
        <f ca="1">D59</f>
        <v>1667</v>
      </c>
      <c r="N55" s="1504" t="str">
        <f>E59</f>
        <v>差额计税</v>
      </c>
      <c r="O55" s="3680">
        <f>F59</f>
        <v>0.01</v>
      </c>
      <c r="R55" s="3509" t="s">
        <v>3657</v>
      </c>
      <c r="S55" s="3508" t="s">
        <v>3660</v>
      </c>
    </row>
    <row r="56" spans="1:35" ht="24.75">
      <c r="A56" s="4494" t="s">
        <v>1342</v>
      </c>
      <c r="B56" s="4495"/>
      <c r="C56" s="4495"/>
      <c r="D56" s="3767" t="e">
        <f ca="1">IF(H56="个人住宅",D57,IF(H56="正常",D58,ROUND(D45*F56,0)))</f>
        <v>#VALUE!</v>
      </c>
      <c r="E56" s="925" t="s">
        <v>1343</v>
      </c>
      <c r="F56" s="1900" t="str">
        <f>IF(H56="正常",F58,IF(H56="按预征率计算",5%,"免征"))</f>
        <v>免征</v>
      </c>
      <c r="G56" s="1903" t="s">
        <v>1344</v>
      </c>
      <c r="H56" s="1904"/>
      <c r="I56" s="1322"/>
      <c r="J56" s="1881" t="str">
        <f>IF(项目基本情况!K6="上海银行",IF(J55="",4,J55+1),"")</f>
        <v/>
      </c>
      <c r="K56" s="4432" t="str">
        <f>IF(项目基本情况!K6="上海银行","其他处置费用","")</f>
        <v/>
      </c>
      <c r="L56" s="4433"/>
      <c r="M56" s="3771" t="str">
        <f>IF(项目基本情况!K6="上海银行",M69,"")</f>
        <v/>
      </c>
      <c r="N56" s="4432" t="str">
        <f>IF(项目基本情况!K6="上海银行","包含处置中涉及的律师、诉讼、拍卖、评估等费用","")</f>
        <v/>
      </c>
      <c r="O56" s="4436"/>
      <c r="R56" s="3508"/>
      <c r="S56" s="3508" t="s">
        <v>3661</v>
      </c>
    </row>
    <row r="57" spans="1:35" ht="12.75">
      <c r="A57" s="1733" t="s">
        <v>1321</v>
      </c>
      <c r="B57" s="4480" t="s">
        <v>1345</v>
      </c>
      <c r="C57" s="4481"/>
      <c r="D57" s="3768">
        <v>0</v>
      </c>
      <c r="E57" s="207" t="s">
        <v>1323</v>
      </c>
      <c r="F57" s="186"/>
      <c r="G57" s="1901"/>
      <c r="H57" s="1905"/>
      <c r="I57" s="1322"/>
      <c r="J57" s="4468">
        <f>IF(AND(J55="",J56=""),4,IF(项目基本情况!K6="上海银行",结果表!J56+1,结果表!J55+1))</f>
        <v>5</v>
      </c>
      <c r="K57" s="4468" t="s">
        <v>1346</v>
      </c>
      <c r="L57" s="1883" t="s">
        <v>1347</v>
      </c>
      <c r="M57" s="1884"/>
      <c r="N57" s="3773">
        <f ca="1">SUMIF(M52:M56,"&lt;9e307")</f>
        <v>1750</v>
      </c>
      <c r="O57" s="1885"/>
      <c r="P57" s="1985">
        <f ca="1">N57/M49</f>
        <v>1.0499538020327106E-2</v>
      </c>
      <c r="R57" s="4521" t="s">
        <v>3707</v>
      </c>
      <c r="S57" s="4522"/>
    </row>
    <row r="58" spans="1:35" ht="24.75">
      <c r="A58" s="1733" t="s">
        <v>1332</v>
      </c>
      <c r="B58" s="4480" t="s">
        <v>1348</v>
      </c>
      <c r="C58" s="4479"/>
      <c r="D58" s="3767">
        <f ca="1">IF(H58="转让取得",C81,C97)</f>
        <v>74316</v>
      </c>
      <c r="E58" s="925" t="s">
        <v>1343</v>
      </c>
      <c r="F58" s="186" t="s">
        <v>26</v>
      </c>
      <c r="G58" s="1901"/>
      <c r="H58" s="1904"/>
      <c r="I58" s="1322"/>
      <c r="J58" s="4468"/>
      <c r="K58" s="4468"/>
      <c r="L58" s="1883" t="s">
        <v>1349</v>
      </c>
      <c r="M58" s="1886"/>
      <c r="N58" s="1887" t="str">
        <f ca="1">NUMBERSTRING(INT(N57*10000),2)&amp;"元整"</f>
        <v>壹仟柒佰伍拾万元整</v>
      </c>
      <c r="O58" s="1888"/>
      <c r="R58" s="4523"/>
      <c r="S58" s="4524"/>
    </row>
    <row r="59" spans="1:35" ht="24.75" thickBot="1">
      <c r="A59" s="4469" t="s">
        <v>1350</v>
      </c>
      <c r="B59" s="4470"/>
      <c r="C59" s="4470"/>
      <c r="D59" s="3770">
        <f ca="1">IF(H59="非个人房产","——",IF(H59="个人住宅（满五唯一有凭证）",0,IF(H59="个人其他（无凭证）",ROUND(D45/(1+'数据-取费表'!C43)*F59,0),ROUND(C67*F59,0))))</f>
        <v>1667</v>
      </c>
      <c r="E59" s="3314" t="str">
        <f>IF(H59="非个人房产","——",IF(H59="个人其他（无凭证）","销售额×税（费）率",IF(H59="个人住宅（满五唯一有凭证）","免征","差额计税")))</f>
        <v>差额计税</v>
      </c>
      <c r="F59" s="3504">
        <f>IF(OR(H59="非个人房产",H59="个人住宅（满五唯一有凭证）"),"——",IF(H59="个人其他（有凭证）",20%,1%))</f>
        <v>0.01</v>
      </c>
      <c r="G59" s="1906" t="s">
        <v>1344</v>
      </c>
      <c r="H59" s="3505"/>
      <c r="I59" s="3506" t="s">
        <v>2046</v>
      </c>
      <c r="J59" s="4466">
        <f>J57+1</f>
        <v>6</v>
      </c>
      <c r="K59" s="4468" t="s">
        <v>1351</v>
      </c>
      <c r="L59" s="1881" t="s">
        <v>1347</v>
      </c>
      <c r="M59" s="1889"/>
      <c r="N59" s="2655">
        <f ca="1">M49-N57</f>
        <v>164924</v>
      </c>
      <c r="O59" s="1890"/>
      <c r="R59" s="3507" t="s">
        <v>3663</v>
      </c>
      <c r="S59" s="3507" t="s">
        <v>3664</v>
      </c>
    </row>
    <row r="60" spans="1:35" ht="12" customHeight="1" thickBot="1">
      <c r="A60" s="1323"/>
      <c r="B60" s="464"/>
      <c r="C60" s="464"/>
      <c r="D60" s="464"/>
      <c r="E60" s="1136"/>
      <c r="F60" s="1322"/>
      <c r="G60" s="1322"/>
      <c r="H60" s="60"/>
      <c r="I60" s="47"/>
      <c r="J60" s="4467"/>
      <c r="K60" s="4468"/>
      <c r="L60" s="1883" t="s">
        <v>1349</v>
      </c>
      <c r="M60" s="1886"/>
      <c r="N60" s="1887" t="str">
        <f ca="1">NUMBERSTRING(INT(N59*10000),2)&amp;"元整"</f>
        <v>壹拾陆亿肆仟玖佰贰拾肆万元整</v>
      </c>
      <c r="O60" s="1888"/>
      <c r="R60" s="3507" t="s">
        <v>3665</v>
      </c>
      <c r="S60" s="3507" t="s">
        <v>3706</v>
      </c>
    </row>
    <row r="61" spans="1:35" ht="14.25" thickBot="1">
      <c r="A61" s="4528" t="s">
        <v>3704</v>
      </c>
      <c r="B61" s="4529"/>
      <c r="C61" s="4529"/>
      <c r="D61" s="4529"/>
      <c r="E61" s="3669"/>
      <c r="F61" s="4505" t="s">
        <v>3705</v>
      </c>
      <c r="G61" s="4506"/>
      <c r="H61" s="4506"/>
      <c r="I61" s="4507"/>
      <c r="J61" s="3651">
        <f>J59+1</f>
        <v>7</v>
      </c>
      <c r="K61" s="4468" t="s">
        <v>1352</v>
      </c>
      <c r="L61" s="4468"/>
      <c r="M61" s="1891"/>
      <c r="N61" s="2656">
        <f ca="1">ROUND(N59*10000/'数据-汇总表'!E3,0)</f>
        <v>28728</v>
      </c>
      <c r="O61" s="1892"/>
    </row>
    <row r="62" spans="1:35" ht="13.5" customHeight="1">
      <c r="A62" s="3676" t="s">
        <v>3718</v>
      </c>
      <c r="B62" s="3677" t="s">
        <v>3719</v>
      </c>
      <c r="C62" s="2443" t="s">
        <v>3717</v>
      </c>
      <c r="D62" s="3663" t="s">
        <v>3708</v>
      </c>
      <c r="E62" s="3670" t="s">
        <v>3710</v>
      </c>
      <c r="F62" s="3682" t="s">
        <v>3720</v>
      </c>
      <c r="G62" s="3683" t="s">
        <v>3699</v>
      </c>
      <c r="H62" s="3684" t="s">
        <v>3721</v>
      </c>
      <c r="I62" s="3685" t="s">
        <v>3701</v>
      </c>
    </row>
    <row r="63" spans="1:35" ht="12.75">
      <c r="A63" s="70" t="s">
        <v>328</v>
      </c>
      <c r="B63" s="3672" t="s">
        <v>3712</v>
      </c>
      <c r="C63" s="3774">
        <f ca="1">ROUND(C64+C65,0)</f>
        <v>166674</v>
      </c>
      <c r="D63" s="3664"/>
      <c r="E63" s="4525" t="s">
        <v>3709</v>
      </c>
      <c r="F63" s="1733">
        <v>1</v>
      </c>
      <c r="G63" s="2814" t="s">
        <v>3696</v>
      </c>
      <c r="H63" s="3284">
        <f ca="1">H64-H66</f>
        <v>13762</v>
      </c>
      <c r="I63" s="2751"/>
      <c r="J63" s="4434" t="s">
        <v>1356</v>
      </c>
      <c r="K63" s="914" t="s">
        <v>1357</v>
      </c>
      <c r="L63" s="3789">
        <f ca="1">IF(M49&gt;10000,M49*0.5%,IF(AND(M49&gt;1000,M49&lt;=10000),M49*1%,IF(AND(M49&gt;100,M49&lt;=1000),M49*3%,IF(AND(M49&gt;10,M49&lt;=100),M49*5%,M49*8%))))</f>
        <v>833.37</v>
      </c>
      <c r="M63" s="2736">
        <f ca="1">ROUND(L63,1)</f>
        <v>833.4</v>
      </c>
      <c r="N63" s="1893"/>
      <c r="Z63" s="1280"/>
      <c r="AI63" s="1223"/>
    </row>
    <row r="64" spans="1:35" ht="14.25" customHeight="1">
      <c r="A64" s="67" t="s">
        <v>323</v>
      </c>
      <c r="B64" s="3673" t="s">
        <v>3713</v>
      </c>
      <c r="C64" s="3653">
        <f ca="1">D45</f>
        <v>166674</v>
      </c>
      <c r="D64" s="3665"/>
      <c r="E64" s="4526"/>
      <c r="F64" s="1733">
        <v>2</v>
      </c>
      <c r="G64" s="2814" t="s">
        <v>3697</v>
      </c>
      <c r="H64" s="3284">
        <f ca="1">ROUND(H65*I64/(1+I64),0)</f>
        <v>13762</v>
      </c>
      <c r="I64" s="3686">
        <v>0.09</v>
      </c>
      <c r="J64" s="4434"/>
      <c r="K64" s="914" t="s">
        <v>1358</v>
      </c>
      <c r="L64" s="3789">
        <f ca="1">IF(M49&gt;2000,M49*0.5%,IF(AND(M49&gt;1000,M49&lt;=2000),M49*0.6%,IF(AND(M49&gt;500,M49&lt;=1000),M49*0.7%,IF(AND(M49&gt;200,M49&lt;=500),M49*0.8%,IF(AND(M49&gt;100,M49&lt;=200),M49*0.9%,IF(AND(M49&gt;50,M49&lt;=100),M49*1%,IF(AND(M49&gt;20,M49&lt;=50),M49*1.5%,IF(AND(M49&gt;10,M49&lt;=20),M49*2%,IF(AND(M49&gt;1,M49&lt;=10),M49*2.5%)))))))))</f>
        <v>833.37</v>
      </c>
      <c r="M64" s="2736">
        <f t="shared" ref="M64:M65" ca="1" si="1">ROUND(L64,1)</f>
        <v>833.4</v>
      </c>
      <c r="N64" s="1894" t="s">
        <v>1359</v>
      </c>
      <c r="Z64" s="1280"/>
      <c r="AI64" s="1223"/>
    </row>
    <row r="65" spans="1:35" ht="14.25" customHeight="1">
      <c r="A65" s="67" t="s">
        <v>324</v>
      </c>
      <c r="B65" s="3673" t="s">
        <v>3714</v>
      </c>
      <c r="C65" s="3775"/>
      <c r="D65" s="3666"/>
      <c r="E65" s="4526"/>
      <c r="F65" s="67" t="s">
        <v>323</v>
      </c>
      <c r="G65" s="3687" t="s">
        <v>3700</v>
      </c>
      <c r="H65" s="3284">
        <f ca="1">D45</f>
        <v>166674</v>
      </c>
      <c r="I65" s="2751"/>
      <c r="J65" s="4434"/>
      <c r="K65" s="914" t="s">
        <v>1360</v>
      </c>
      <c r="L65" s="3789">
        <f ca="1">IF(M49&gt;1000,M49*0.1%,IF(AND(M49&gt;500,M49&lt;=1000),M49*0.5%,IF(AND(M49&gt;50,M49&lt;=500),M49*1%,IF(AND(M49&gt;1,M49&lt;=50),M49*1.5%))))</f>
        <v>166.67400000000001</v>
      </c>
      <c r="M65" s="2736">
        <f t="shared" ca="1" si="1"/>
        <v>166.7</v>
      </c>
      <c r="N65" s="1894" t="s">
        <v>1359</v>
      </c>
      <c r="Z65" s="1280"/>
      <c r="AI65" s="1223"/>
    </row>
    <row r="66" spans="1:35" ht="14.25" customHeight="1">
      <c r="A66" s="70" t="s">
        <v>325</v>
      </c>
      <c r="B66" s="3674" t="s">
        <v>3715</v>
      </c>
      <c r="C66" s="3775"/>
      <c r="D66" s="3667"/>
      <c r="E66" s="4526"/>
      <c r="F66" s="2493">
        <v>3</v>
      </c>
      <c r="G66" s="2814" t="s">
        <v>3698</v>
      </c>
      <c r="H66" s="3319">
        <f>ROUND(H67*I67,0)+ROUND(H68*I68,0)</f>
        <v>0</v>
      </c>
      <c r="I66" s="4213"/>
      <c r="J66" s="4434"/>
      <c r="K66" s="914" t="s">
        <v>1361</v>
      </c>
      <c r="L66" s="3789">
        <f ca="1">M49*0.5%</f>
        <v>833.37</v>
      </c>
      <c r="M66" s="2736">
        <f ca="1">IF(L66&gt;0.5,0.5,ROUND(L66,0))</f>
        <v>0.5</v>
      </c>
      <c r="N66" s="1894" t="s">
        <v>1362</v>
      </c>
      <c r="Z66" s="1280"/>
      <c r="AI66" s="1223"/>
    </row>
    <row r="67" spans="1:35" ht="14.25" customHeight="1">
      <c r="A67" s="70" t="s">
        <v>326</v>
      </c>
      <c r="B67" s="3671" t="s">
        <v>3711</v>
      </c>
      <c r="C67" s="3653">
        <f ca="1">C63-C66</f>
        <v>166674</v>
      </c>
      <c r="D67" s="3666"/>
      <c r="E67" s="4526"/>
      <c r="F67" s="67" t="s">
        <v>323</v>
      </c>
      <c r="G67" s="3687" t="s">
        <v>3702</v>
      </c>
      <c r="H67" s="3764"/>
      <c r="I67" s="3686">
        <v>0.09</v>
      </c>
      <c r="J67" s="4434"/>
      <c r="K67" s="914" t="s">
        <v>1363</v>
      </c>
      <c r="L67" s="3789">
        <f ca="1">IF(M49&gt;=10000,(8.25+(M49-10000)*0.01%),IF(AND(M49&gt;=8000,M49&lt;10000),(7.85+(M49-8000)*0.02%),IF(AND(M49&gt;=5000,M49&lt;8000),(6.65+(M49-5000)*0.04%),IF(AND(M49&gt;=2000,M49&lt;5000),(4.25+(PM49-2000)*0.08%),IF(AND(M49&gt;=1000,M49&lt;2000),(2.75+(M49-1000)*0.15%),IF(AND(M49&gt;=100,M49&lt;1000),(0.5+(M49-100)*0.25%),IF(AND(M49&gt;0,M49&lt;100),M49*0.5%)))))))</f>
        <v>23.917400000000001</v>
      </c>
      <c r="M67" s="2736">
        <f ca="1">ROUND(L67*0.9,1)</f>
        <v>21.5</v>
      </c>
      <c r="N67" s="1893"/>
      <c r="Z67" s="1280"/>
      <c r="AI67" s="1223"/>
    </row>
    <row r="68" spans="1:35" ht="14.25" customHeight="1" thickBot="1">
      <c r="A68" s="72" t="s">
        <v>327</v>
      </c>
      <c r="B68" s="3675" t="s">
        <v>3716</v>
      </c>
      <c r="C68" s="3659">
        <f ca="1">IF(C67&lt;=0,0,ROUND(C67*D68,0))</f>
        <v>8334</v>
      </c>
      <c r="D68" s="3668">
        <v>0.05</v>
      </c>
      <c r="E68" s="4527"/>
      <c r="F68" s="3681" t="s">
        <v>324</v>
      </c>
      <c r="G68" s="3688" t="s">
        <v>3703</v>
      </c>
      <c r="H68" s="3766"/>
      <c r="I68" s="3689">
        <v>0.06</v>
      </c>
      <c r="J68" s="4434"/>
      <c r="K68" s="914" t="s">
        <v>1364</v>
      </c>
      <c r="L68" s="3789">
        <f ca="1">IF(M49&gt;10000,M49*0.5%,IF(AND(M49&gt;5000,M49&lt;=10000),M49*1%,IF(AND(M49&gt;1000,M49&lt;=5000),M49*2%,IF(AND(M49&gt;200,M49&lt;=1000),M49*3%,M49*5%))))</f>
        <v>833.37</v>
      </c>
      <c r="M68" s="2736">
        <f ca="1">ROUND(L68,1)</f>
        <v>833.4</v>
      </c>
      <c r="N68" s="1893"/>
      <c r="Z68" s="1280"/>
      <c r="AI68" s="1223"/>
    </row>
    <row r="69" spans="1:35" ht="16.5" customHeight="1">
      <c r="A69" s="1324"/>
      <c r="B69" s="1325"/>
      <c r="C69" s="1326"/>
      <c r="D69" s="1327"/>
      <c r="E69" s="1328"/>
      <c r="F69" s="1136"/>
      <c r="G69" s="1136"/>
      <c r="H69" s="1137"/>
      <c r="I69" s="464"/>
      <c r="J69" s="4435"/>
      <c r="K69" s="914" t="s">
        <v>1365</v>
      </c>
      <c r="L69" s="3789"/>
      <c r="M69" s="2736">
        <f ca="1">ROUND(SUM(M63:M68),0)</f>
        <v>2689</v>
      </c>
      <c r="N69" s="1895">
        <f ca="1">M69/M49</f>
        <v>1.6133290135234051E-2</v>
      </c>
      <c r="Z69" s="1280"/>
      <c r="AI69" s="1223"/>
    </row>
    <row r="70" spans="1:35" s="463" customFormat="1" ht="15" thickBot="1">
      <c r="A70" s="4485" t="s">
        <v>1366</v>
      </c>
      <c r="B70" s="4486"/>
      <c r="C70" s="4486"/>
      <c r="D70" s="4486"/>
      <c r="E70" s="4486"/>
      <c r="F70" s="4486"/>
      <c r="G70" s="4486"/>
      <c r="H70" s="4486"/>
      <c r="I70" s="1329"/>
      <c r="J70" s="1058"/>
      <c r="K70" s="1058"/>
      <c r="L70" s="1058"/>
      <c r="M70" s="1058"/>
      <c r="N70" s="1330"/>
      <c r="O70" s="1330"/>
      <c r="P70" s="1330"/>
      <c r="Q70" s="1330"/>
      <c r="R70" s="1330"/>
      <c r="S70" s="1330"/>
      <c r="T70" s="1330"/>
      <c r="U70" s="1330"/>
      <c r="V70" s="1330"/>
      <c r="W70" s="1330"/>
      <c r="X70" s="1330"/>
      <c r="Y70" s="1330"/>
      <c r="Z70" s="1330"/>
      <c r="AA70" s="1331"/>
      <c r="AB70" s="1331"/>
      <c r="AC70" s="1331"/>
      <c r="AD70" s="1331"/>
      <c r="AE70" s="1331"/>
      <c r="AF70" s="1331"/>
      <c r="AG70" s="1331"/>
      <c r="AH70" s="1331"/>
      <c r="AI70" s="1331"/>
    </row>
    <row r="71" spans="1:35" s="463" customFormat="1" ht="14.25">
      <c r="A71" s="4482" t="s">
        <v>1353</v>
      </c>
      <c r="B71" s="4483"/>
      <c r="C71" s="1486"/>
      <c r="D71" s="1486" t="s">
        <v>1354</v>
      </c>
      <c r="E71" s="74" t="s">
        <v>1355</v>
      </c>
      <c r="F71" s="75"/>
      <c r="G71" s="75"/>
      <c r="H71" s="76"/>
      <c r="I71" s="1332"/>
      <c r="J71" s="1058"/>
      <c r="K71" s="1058"/>
      <c r="L71" s="1058"/>
      <c r="M71" s="1058"/>
      <c r="N71" s="1330"/>
      <c r="O71" s="1330"/>
      <c r="P71" s="1330"/>
      <c r="Q71" s="1330"/>
      <c r="R71" s="1330"/>
      <c r="S71" s="1330"/>
      <c r="T71" s="1330"/>
      <c r="U71" s="1330"/>
      <c r="V71" s="1330"/>
      <c r="W71" s="1330"/>
      <c r="X71" s="1330"/>
      <c r="Y71" s="1330"/>
      <c r="Z71" s="1330"/>
      <c r="AA71" s="1331"/>
      <c r="AB71" s="1331"/>
      <c r="AC71" s="1331"/>
      <c r="AD71" s="1331"/>
      <c r="AE71" s="1331"/>
      <c r="AF71" s="1331"/>
      <c r="AG71" s="1331"/>
      <c r="AH71" s="1331"/>
      <c r="AI71" s="1331"/>
    </row>
    <row r="72" spans="1:35" s="463" customFormat="1" ht="14.25">
      <c r="A72" s="70" t="s">
        <v>328</v>
      </c>
      <c r="B72" s="71" t="s">
        <v>1367</v>
      </c>
      <c r="C72" s="3776">
        <f ca="1">ROUND(D45/(1+D72),0)</f>
        <v>152912</v>
      </c>
      <c r="D72" s="3652">
        <v>0.09</v>
      </c>
      <c r="E72" s="8" t="s">
        <v>3694</v>
      </c>
      <c r="F72" s="924"/>
      <c r="G72" s="924"/>
      <c r="H72" s="77"/>
      <c r="I72" s="1332"/>
      <c r="J72" s="1058"/>
      <c r="K72" s="1058"/>
      <c r="L72" s="1058"/>
      <c r="M72" s="1058"/>
      <c r="N72" s="1330"/>
      <c r="O72" s="1330"/>
      <c r="P72" s="1330"/>
      <c r="Q72" s="1330"/>
      <c r="R72" s="1330"/>
      <c r="S72" s="1330"/>
      <c r="T72" s="1330"/>
      <c r="U72" s="1330"/>
      <c r="V72" s="1330"/>
      <c r="W72" s="1330"/>
      <c r="X72" s="1330"/>
      <c r="Y72" s="1330"/>
      <c r="Z72" s="1330"/>
      <c r="AA72" s="1331"/>
      <c r="AB72" s="1331"/>
      <c r="AC72" s="1331"/>
      <c r="AD72" s="1331"/>
      <c r="AE72" s="1331"/>
      <c r="AF72" s="1331"/>
      <c r="AG72" s="1331"/>
      <c r="AH72" s="1331"/>
      <c r="AI72" s="1331"/>
    </row>
    <row r="73" spans="1:35" s="463" customFormat="1" ht="14.25">
      <c r="A73" s="70" t="s">
        <v>325</v>
      </c>
      <c r="B73" s="64" t="s">
        <v>1368</v>
      </c>
      <c r="C73" s="3776">
        <f ca="1">C74+C78</f>
        <v>18349</v>
      </c>
      <c r="D73" s="3653" t="s">
        <v>24</v>
      </c>
      <c r="E73" s="926"/>
      <c r="F73" s="924"/>
      <c r="G73" s="924"/>
      <c r="H73" s="77"/>
      <c r="I73" s="1332"/>
      <c r="J73" s="1330"/>
      <c r="K73" s="1330"/>
      <c r="L73" s="1330"/>
      <c r="M73" s="1330"/>
      <c r="N73" s="1330"/>
      <c r="O73" s="1330"/>
      <c r="P73" s="1330"/>
      <c r="Q73" s="1330"/>
      <c r="R73" s="1330"/>
      <c r="S73" s="1330"/>
      <c r="T73" s="1330"/>
      <c r="U73" s="1330"/>
      <c r="V73" s="1330"/>
      <c r="W73" s="1330"/>
      <c r="X73" s="1330"/>
      <c r="Y73" s="1330"/>
      <c r="Z73" s="1330"/>
      <c r="AA73" s="1331"/>
      <c r="AB73" s="1331"/>
      <c r="AC73" s="1331"/>
      <c r="AD73" s="1331"/>
      <c r="AE73" s="1331"/>
      <c r="AF73" s="1331"/>
      <c r="AG73" s="1331"/>
      <c r="AH73" s="1331"/>
      <c r="AI73" s="1331"/>
    </row>
    <row r="74" spans="1:35" s="463" customFormat="1" ht="24">
      <c r="A74" s="67" t="s">
        <v>323</v>
      </c>
      <c r="B74" s="68" t="s">
        <v>1369</v>
      </c>
      <c r="C74" s="3653">
        <f>ROUND(IF(G77="2016年5月1日后购买",C75/(1+D72)+C76+C77,C75+C76+C77),0)</f>
        <v>0</v>
      </c>
      <c r="D74" s="3653" t="s">
        <v>24</v>
      </c>
      <c r="E74" s="8" t="s">
        <v>3694</v>
      </c>
      <c r="F74" s="924"/>
      <c r="G74" s="924"/>
      <c r="H74" s="77"/>
      <c r="I74" s="1332"/>
      <c r="J74" s="1330"/>
      <c r="K74" s="1330"/>
      <c r="L74" s="1330"/>
      <c r="M74" s="1330"/>
      <c r="N74" s="1330"/>
      <c r="O74" s="1330"/>
      <c r="P74" s="1330"/>
      <c r="Q74" s="1330"/>
      <c r="R74" s="1330"/>
      <c r="S74" s="1330"/>
      <c r="T74" s="1330"/>
      <c r="U74" s="1330"/>
      <c r="V74" s="1330"/>
      <c r="W74" s="1330"/>
      <c r="X74" s="1330"/>
      <c r="Y74" s="1330"/>
      <c r="Z74" s="1330"/>
      <c r="AA74" s="1331"/>
      <c r="AB74" s="1331"/>
      <c r="AC74" s="1331"/>
      <c r="AD74" s="1331"/>
      <c r="AE74" s="1331"/>
      <c r="AF74" s="1331"/>
      <c r="AG74" s="1331"/>
      <c r="AH74" s="1331"/>
      <c r="AI74" s="1331"/>
    </row>
    <row r="75" spans="1:35" s="463" customFormat="1" ht="14.25">
      <c r="A75" s="67" t="s">
        <v>329</v>
      </c>
      <c r="B75" s="68" t="s">
        <v>1370</v>
      </c>
      <c r="C75" s="3775"/>
      <c r="D75" s="3653" t="s">
        <v>24</v>
      </c>
      <c r="E75" s="79" t="s">
        <v>1371</v>
      </c>
      <c r="F75" s="1908"/>
      <c r="G75" s="79" t="s">
        <v>1372</v>
      </c>
      <c r="H75" s="3778"/>
      <c r="I75" s="1333"/>
      <c r="J75" s="1330"/>
      <c r="K75" s="1330"/>
      <c r="L75" s="1330"/>
      <c r="M75" s="1330"/>
      <c r="N75" s="1330"/>
      <c r="O75" s="1330"/>
      <c r="P75" s="1330"/>
      <c r="Q75" s="1330"/>
      <c r="R75" s="1330"/>
      <c r="S75" s="1330"/>
      <c r="T75" s="1330"/>
      <c r="U75" s="1330"/>
      <c r="V75" s="1330"/>
      <c r="W75" s="1330"/>
      <c r="X75" s="1330"/>
      <c r="Y75" s="1330"/>
      <c r="Z75" s="1330"/>
      <c r="AA75" s="1331"/>
      <c r="AB75" s="1331"/>
      <c r="AC75" s="1331"/>
      <c r="AD75" s="1331"/>
      <c r="AE75" s="1331"/>
      <c r="AF75" s="1331"/>
      <c r="AG75" s="1331"/>
      <c r="AH75" s="1331"/>
      <c r="AI75" s="1331"/>
    </row>
    <row r="76" spans="1:35" s="463" customFormat="1" ht="24.75" customHeight="1">
      <c r="A76" s="67" t="s">
        <v>330</v>
      </c>
      <c r="B76" s="80" t="s">
        <v>1373</v>
      </c>
      <c r="C76" s="3653">
        <f>IF(F75="购房发票",ROUND(C75*H75*D76,0),0)</f>
        <v>0</v>
      </c>
      <c r="D76" s="3656">
        <v>0.05</v>
      </c>
      <c r="E76" s="4480" t="s">
        <v>1374</v>
      </c>
      <c r="F76" s="4479"/>
      <c r="G76" s="4479"/>
      <c r="H76" s="4484"/>
      <c r="I76" s="1332"/>
      <c r="J76" s="1330"/>
      <c r="K76" s="1330"/>
      <c r="L76" s="1330"/>
      <c r="M76" s="1330"/>
      <c r="N76" s="1330"/>
      <c r="O76" s="1330"/>
      <c r="P76" s="1330"/>
      <c r="Q76" s="1330"/>
      <c r="R76" s="1330"/>
      <c r="S76" s="1330"/>
      <c r="T76" s="1330"/>
      <c r="U76" s="1330"/>
      <c r="V76" s="1330"/>
      <c r="W76" s="1330"/>
      <c r="X76" s="1330"/>
      <c r="Y76" s="1330"/>
      <c r="Z76" s="1330"/>
      <c r="AA76" s="1331"/>
      <c r="AB76" s="1331"/>
      <c r="AC76" s="1331"/>
      <c r="AD76" s="1331"/>
      <c r="AE76" s="1331"/>
      <c r="AF76" s="1331"/>
      <c r="AG76" s="1331"/>
      <c r="AH76" s="1331"/>
      <c r="AI76" s="1331"/>
    </row>
    <row r="77" spans="1:35" s="463" customFormat="1" ht="24.75" customHeight="1">
      <c r="A77" s="67" t="s">
        <v>331</v>
      </c>
      <c r="B77" s="68" t="s">
        <v>1375</v>
      </c>
      <c r="C77" s="3653">
        <f>ROUND(IF(G77="个人住宅",0,IF(G77="2016年5月1日前购买",C75*D77,C75*D77/(1+D72))),0)</f>
        <v>0</v>
      </c>
      <c r="D77" s="3657">
        <f>'数据-取费表'!B49+'数据-取费表'!B50</f>
        <v>3.0499999999999999E-2</v>
      </c>
      <c r="E77" s="8" t="s">
        <v>1376</v>
      </c>
      <c r="F77" s="81"/>
      <c r="G77" s="1334"/>
      <c r="H77" s="1732" t="str">
        <f>IF(G77="个人买卖住房","免征印花税"," ")</f>
        <v xml:space="preserve"> </v>
      </c>
      <c r="I77" s="1332"/>
      <c r="J77" s="1330"/>
      <c r="K77" s="1330"/>
      <c r="L77" s="1330"/>
      <c r="M77" s="1330"/>
      <c r="N77" s="1330"/>
      <c r="O77" s="1330"/>
      <c r="P77" s="1330"/>
      <c r="Q77" s="1330"/>
      <c r="R77" s="1330"/>
      <c r="S77" s="1330"/>
      <c r="T77" s="1330"/>
      <c r="U77" s="1330"/>
      <c r="V77" s="1330"/>
      <c r="W77" s="1330"/>
      <c r="X77" s="1330"/>
      <c r="Y77" s="1330"/>
      <c r="Z77" s="1330"/>
      <c r="AA77" s="1331"/>
      <c r="AB77" s="1331"/>
      <c r="AC77" s="1331"/>
      <c r="AD77" s="1331"/>
      <c r="AE77" s="1331"/>
      <c r="AF77" s="1331"/>
      <c r="AG77" s="1331"/>
      <c r="AH77" s="1331"/>
      <c r="AI77" s="1331"/>
    </row>
    <row r="78" spans="1:35" s="463" customFormat="1" ht="24.75" customHeight="1">
      <c r="A78" s="67" t="s">
        <v>324</v>
      </c>
      <c r="B78" s="68" t="s">
        <v>1377</v>
      </c>
      <c r="C78" s="3653">
        <f ca="1">ROUND(C72*D78,0)</f>
        <v>18349</v>
      </c>
      <c r="D78" s="3658">
        <f>'数据-取费表'!B44</f>
        <v>0.12000000000000001</v>
      </c>
      <c r="E78" s="4474" t="s">
        <v>1378</v>
      </c>
      <c r="F78" s="4475"/>
      <c r="G78" s="4475"/>
      <c r="H78" s="4476"/>
      <c r="I78" s="1335"/>
      <c r="J78" s="1330"/>
      <c r="K78" s="1330"/>
      <c r="L78" s="1330"/>
      <c r="M78" s="1330"/>
      <c r="N78" s="1330"/>
      <c r="O78" s="1330"/>
      <c r="P78" s="1330"/>
      <c r="Q78" s="1330"/>
      <c r="R78" s="1330"/>
      <c r="S78" s="1330"/>
      <c r="T78" s="1330"/>
      <c r="U78" s="1330"/>
      <c r="V78" s="1330"/>
      <c r="W78" s="1330"/>
      <c r="X78" s="1330"/>
      <c r="Y78" s="1330"/>
      <c r="Z78" s="1330"/>
      <c r="AA78" s="1331"/>
      <c r="AB78" s="1331"/>
      <c r="AC78" s="1331"/>
      <c r="AD78" s="1331"/>
      <c r="AE78" s="1331"/>
      <c r="AF78" s="1331"/>
      <c r="AG78" s="1331"/>
      <c r="AH78" s="1331"/>
      <c r="AI78" s="1331"/>
    </row>
    <row r="79" spans="1:35" s="463" customFormat="1" ht="14.25">
      <c r="A79" s="70" t="s">
        <v>332</v>
      </c>
      <c r="B79" s="71" t="s">
        <v>1379</v>
      </c>
      <c r="C79" s="3776">
        <f ca="1">C72-C73</f>
        <v>134563</v>
      </c>
      <c r="D79" s="3653" t="s">
        <v>24</v>
      </c>
      <c r="E79" s="926"/>
      <c r="F79" s="924"/>
      <c r="G79" s="924"/>
      <c r="H79" s="77"/>
      <c r="I79" s="1332"/>
      <c r="J79" s="1330"/>
      <c r="K79" s="1330"/>
      <c r="L79" s="1330"/>
      <c r="M79" s="1330"/>
      <c r="N79" s="1330"/>
      <c r="O79" s="1330"/>
      <c r="P79" s="1330"/>
      <c r="Q79" s="1330"/>
      <c r="R79" s="1330"/>
      <c r="S79" s="1330"/>
      <c r="T79" s="1330"/>
      <c r="U79" s="1330"/>
      <c r="V79" s="1330"/>
      <c r="W79" s="1330"/>
      <c r="X79" s="1330"/>
      <c r="Y79" s="1330"/>
      <c r="Z79" s="1330"/>
      <c r="AA79" s="1331"/>
      <c r="AB79" s="1331"/>
      <c r="AC79" s="1331"/>
      <c r="AD79" s="1331"/>
      <c r="AE79" s="1331"/>
      <c r="AF79" s="1331"/>
      <c r="AG79" s="1331"/>
      <c r="AH79" s="1331"/>
      <c r="AI79" s="1331"/>
    </row>
    <row r="80" spans="1:35" s="463" customFormat="1" ht="24">
      <c r="A80" s="70" t="s">
        <v>333</v>
      </c>
      <c r="B80" s="71" t="s">
        <v>1380</v>
      </c>
      <c r="C80" s="4004">
        <f ca="1">IF(C79&lt;=0,0,C79/C73)</f>
        <v>7.3335331625701672</v>
      </c>
      <c r="D80" s="365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24"/>
      <c r="G80" s="924"/>
      <c r="H80" s="77"/>
      <c r="I80" s="1332"/>
      <c r="J80" s="1330"/>
      <c r="K80" s="1330"/>
      <c r="L80" s="1330"/>
      <c r="M80" s="1330"/>
      <c r="N80" s="1330"/>
      <c r="O80" s="1330"/>
      <c r="P80" s="1330"/>
      <c r="Q80" s="1330"/>
      <c r="R80" s="1330"/>
      <c r="S80" s="1330"/>
      <c r="T80" s="1330"/>
      <c r="U80" s="1330"/>
      <c r="V80" s="1330"/>
      <c r="W80" s="1330"/>
      <c r="X80" s="1330"/>
      <c r="Y80" s="1330"/>
      <c r="Z80" s="1330"/>
      <c r="AA80" s="1331"/>
      <c r="AB80" s="1331"/>
      <c r="AC80" s="1331"/>
      <c r="AD80" s="1331"/>
      <c r="AE80" s="1331"/>
      <c r="AF80" s="1331"/>
      <c r="AG80" s="1331"/>
      <c r="AH80" s="1331"/>
      <c r="AI80" s="1331"/>
    </row>
    <row r="81" spans="1:35" s="463" customFormat="1" ht="24.75" thickBot="1">
      <c r="A81" s="72" t="s">
        <v>334</v>
      </c>
      <c r="B81" s="73" t="s">
        <v>1381</v>
      </c>
      <c r="C81" s="3777">
        <f ca="1">ROUND(IF(C79&lt;=0,0,IF(C80&gt;=200%,C79*60%-C73*35%,IF(C80&gt;=100%,C79*50%-C73*15%,IF(C80&gt;=50%,C79*40%-C73*5%,IF(C80&lt;50%,C79*30%,0))))),0)</f>
        <v>74316</v>
      </c>
      <c r="D81" s="3659"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32"/>
      <c r="J81" s="1330"/>
      <c r="K81" s="1330"/>
      <c r="L81" s="1330"/>
      <c r="M81" s="1330"/>
      <c r="N81" s="1330"/>
      <c r="O81" s="1330"/>
      <c r="P81" s="1330"/>
      <c r="Q81" s="1330"/>
      <c r="R81" s="1330"/>
      <c r="S81" s="1330"/>
      <c r="T81" s="1330"/>
      <c r="U81" s="1330"/>
      <c r="V81" s="1330"/>
      <c r="W81" s="1330"/>
      <c r="X81" s="1330"/>
      <c r="Y81" s="1330"/>
      <c r="Z81" s="1330"/>
      <c r="AA81" s="1331"/>
      <c r="AB81" s="1331"/>
      <c r="AC81" s="1331"/>
      <c r="AD81" s="1331"/>
      <c r="AE81" s="1331"/>
      <c r="AF81" s="1331"/>
      <c r="AG81" s="1331"/>
      <c r="AH81" s="1331"/>
      <c r="AI81" s="1331"/>
    </row>
    <row r="82" spans="1:35" s="463" customFormat="1" ht="7.5" customHeight="1">
      <c r="A82" s="4"/>
      <c r="B82" s="465"/>
      <c r="C82" s="4"/>
      <c r="D82" s="4"/>
      <c r="E82" s="465"/>
      <c r="F82" s="465"/>
      <c r="G82" s="465"/>
      <c r="H82" s="466"/>
      <c r="I82" s="1335"/>
      <c r="J82" s="1330"/>
      <c r="K82" s="1330"/>
      <c r="L82" s="1330"/>
      <c r="M82" s="1330"/>
      <c r="N82" s="1330"/>
      <c r="O82" s="1330"/>
      <c r="P82" s="1330"/>
      <c r="Q82" s="1330"/>
      <c r="R82" s="1330"/>
      <c r="S82" s="1330"/>
      <c r="T82" s="1330"/>
      <c r="U82" s="1330"/>
      <c r="V82" s="1330"/>
      <c r="W82" s="1330"/>
      <c r="X82" s="1330"/>
      <c r="Y82" s="1330"/>
      <c r="Z82" s="1330"/>
      <c r="AA82" s="1331"/>
      <c r="AB82" s="1331"/>
      <c r="AC82" s="1331"/>
      <c r="AD82" s="1331"/>
      <c r="AE82" s="1331"/>
      <c r="AF82" s="1331"/>
      <c r="AG82" s="1331"/>
      <c r="AH82" s="1331"/>
      <c r="AI82" s="1331"/>
    </row>
    <row r="83" spans="1:35" s="463" customFormat="1" ht="15" thickBot="1">
      <c r="A83" s="4485" t="s">
        <v>1382</v>
      </c>
      <c r="B83" s="4486"/>
      <c r="C83" s="4486"/>
      <c r="D83" s="4486"/>
      <c r="E83" s="4486"/>
      <c r="F83" s="4486"/>
      <c r="G83" s="4486"/>
      <c r="H83" s="4486"/>
      <c r="I83" s="1333"/>
      <c r="J83" s="1330"/>
      <c r="K83" s="1330"/>
      <c r="L83" s="1330"/>
      <c r="M83" s="1330"/>
      <c r="N83" s="1330"/>
      <c r="O83" s="1330"/>
      <c r="P83" s="1330"/>
      <c r="Q83" s="1330"/>
      <c r="R83" s="1330"/>
      <c r="S83" s="1330"/>
      <c r="T83" s="1330"/>
      <c r="U83" s="1330"/>
      <c r="V83" s="1330"/>
      <c r="W83" s="1330"/>
      <c r="X83" s="1330"/>
      <c r="Y83" s="1330"/>
      <c r="Z83" s="1330"/>
      <c r="AA83" s="1331"/>
      <c r="AB83" s="1331"/>
      <c r="AC83" s="1331"/>
      <c r="AD83" s="1331"/>
      <c r="AE83" s="1331"/>
      <c r="AF83" s="1331"/>
      <c r="AG83" s="1331"/>
      <c r="AH83" s="1331"/>
      <c r="AI83" s="1331"/>
    </row>
    <row r="84" spans="1:35" s="463" customFormat="1" ht="14.25">
      <c r="A84" s="4482" t="s">
        <v>1353</v>
      </c>
      <c r="B84" s="4483"/>
      <c r="C84" s="1486"/>
      <c r="D84" s="1486" t="s">
        <v>1354</v>
      </c>
      <c r="E84" s="74" t="s">
        <v>1355</v>
      </c>
      <c r="F84" s="75"/>
      <c r="G84" s="75"/>
      <c r="H84" s="86"/>
      <c r="I84" s="1333"/>
      <c r="J84" s="1330"/>
      <c r="K84" s="1330"/>
      <c r="L84" s="1330"/>
      <c r="M84" s="1330"/>
      <c r="N84" s="1330"/>
      <c r="O84" s="1330"/>
      <c r="P84" s="1330"/>
      <c r="Q84" s="1330"/>
      <c r="R84" s="1330"/>
      <c r="S84" s="1330"/>
      <c r="T84" s="1330"/>
      <c r="U84" s="1330"/>
      <c r="V84" s="1330"/>
      <c r="W84" s="1330"/>
      <c r="X84" s="1330"/>
      <c r="Y84" s="1330"/>
      <c r="Z84" s="1330"/>
      <c r="AA84" s="1331"/>
      <c r="AB84" s="1331"/>
      <c r="AC84" s="1331"/>
      <c r="AD84" s="1331"/>
      <c r="AE84" s="1331"/>
      <c r="AF84" s="1331"/>
      <c r="AG84" s="1331"/>
      <c r="AH84" s="1331"/>
      <c r="AI84" s="1331"/>
    </row>
    <row r="85" spans="1:35" s="463" customFormat="1" ht="14.25">
      <c r="A85" s="70" t="s">
        <v>328</v>
      </c>
      <c r="B85" s="71" t="s">
        <v>1367</v>
      </c>
      <c r="C85" s="3776">
        <f ca="1">ROUND(D45/(1+D85),0)</f>
        <v>152912</v>
      </c>
      <c r="D85" s="3652">
        <v>0.09</v>
      </c>
      <c r="E85" s="8" t="s">
        <v>3694</v>
      </c>
      <c r="F85" s="924"/>
      <c r="G85" s="924"/>
      <c r="H85" s="87"/>
      <c r="I85" s="1333"/>
      <c r="J85" s="1330"/>
      <c r="K85" s="1330"/>
      <c r="L85" s="1330"/>
      <c r="M85" s="1330"/>
      <c r="N85" s="1330"/>
      <c r="O85" s="1330"/>
      <c r="P85" s="1330"/>
      <c r="Q85" s="1330"/>
      <c r="R85" s="1330"/>
      <c r="S85" s="1330"/>
      <c r="T85" s="1330"/>
      <c r="U85" s="1330"/>
      <c r="V85" s="1330"/>
      <c r="W85" s="1330"/>
      <c r="X85" s="1330"/>
      <c r="Y85" s="1330"/>
      <c r="Z85" s="1330"/>
      <c r="AA85" s="1331"/>
      <c r="AB85" s="1331"/>
      <c r="AC85" s="1331"/>
      <c r="AD85" s="1331"/>
      <c r="AE85" s="1331"/>
      <c r="AF85" s="1331"/>
      <c r="AG85" s="1331"/>
      <c r="AH85" s="1331"/>
      <c r="AI85" s="1331"/>
    </row>
    <row r="86" spans="1:35" s="463" customFormat="1" ht="14.25">
      <c r="A86" s="70" t="s">
        <v>325</v>
      </c>
      <c r="B86" s="64" t="s">
        <v>1368</v>
      </c>
      <c r="C86" s="3776">
        <f ca="1">IF(H88="仅含出让金",C87+C90+C91+C92+C93+C94,C87+C91+C92+C93+C94)</f>
        <v>18349</v>
      </c>
      <c r="D86" s="3660"/>
      <c r="E86" s="926"/>
      <c r="F86" s="924"/>
      <c r="G86" s="924"/>
      <c r="H86" s="87"/>
      <c r="I86" s="1333"/>
      <c r="J86" s="1330"/>
      <c r="K86" s="1330"/>
      <c r="L86" s="1330"/>
      <c r="M86" s="1330"/>
      <c r="N86" s="1330"/>
      <c r="O86" s="1330"/>
      <c r="P86" s="1330"/>
      <c r="Q86" s="1330"/>
      <c r="R86" s="1330"/>
      <c r="S86" s="1330"/>
      <c r="T86" s="1330"/>
      <c r="U86" s="1330"/>
      <c r="V86" s="1330"/>
      <c r="W86" s="1330"/>
      <c r="X86" s="1330"/>
      <c r="Y86" s="1330"/>
      <c r="Z86" s="1330"/>
      <c r="AA86" s="1331"/>
      <c r="AB86" s="1331"/>
      <c r="AC86" s="1331"/>
      <c r="AD86" s="1331"/>
      <c r="AE86" s="1331"/>
      <c r="AF86" s="1331"/>
      <c r="AG86" s="1331"/>
      <c r="AH86" s="1331"/>
      <c r="AI86" s="1331"/>
    </row>
    <row r="87" spans="1:35" s="463" customFormat="1" ht="14.25">
      <c r="A87" s="67" t="s">
        <v>323</v>
      </c>
      <c r="B87" s="68" t="s">
        <v>1383</v>
      </c>
      <c r="C87" s="3653">
        <f>C88+C89</f>
        <v>0</v>
      </c>
      <c r="D87" s="3658"/>
      <c r="E87" s="1728"/>
      <c r="F87" s="1729"/>
      <c r="G87" s="1729"/>
      <c r="H87" s="1730"/>
      <c r="I87" s="1333"/>
      <c r="J87" s="1330"/>
      <c r="K87" s="1330"/>
      <c r="L87" s="1330"/>
      <c r="M87" s="1330"/>
      <c r="N87" s="1330"/>
      <c r="O87" s="1330"/>
      <c r="P87" s="1330"/>
      <c r="Q87" s="1330"/>
      <c r="R87" s="1330"/>
      <c r="S87" s="1330"/>
      <c r="T87" s="1330"/>
      <c r="U87" s="1330"/>
      <c r="V87" s="1330"/>
      <c r="W87" s="1330"/>
      <c r="X87" s="1330"/>
      <c r="Y87" s="1330"/>
      <c r="Z87" s="1330"/>
      <c r="AA87" s="1331"/>
      <c r="AB87" s="1331"/>
      <c r="AC87" s="1331"/>
      <c r="AD87" s="1331"/>
      <c r="AE87" s="1331"/>
      <c r="AF87" s="1331"/>
      <c r="AG87" s="1331"/>
      <c r="AH87" s="1331"/>
      <c r="AI87" s="1331"/>
    </row>
    <row r="88" spans="1:35" s="463" customFormat="1" ht="14.25">
      <c r="A88" s="67" t="s">
        <v>329</v>
      </c>
      <c r="B88" s="68" t="s">
        <v>1384</v>
      </c>
      <c r="C88" s="3775"/>
      <c r="D88" s="3658"/>
      <c r="E88" s="88" t="s">
        <v>1385</v>
      </c>
      <c r="F88" s="1729"/>
      <c r="G88" s="89" t="s">
        <v>1386</v>
      </c>
      <c r="H88" s="1336" t="s">
        <v>3692</v>
      </c>
      <c r="I88" s="1333"/>
      <c r="J88" s="1879" t="s">
        <v>2188</v>
      </c>
      <c r="K88" s="1330"/>
      <c r="L88" s="1330"/>
      <c r="M88" s="1330"/>
      <c r="N88" s="1330"/>
      <c r="O88" s="1330"/>
      <c r="P88" s="1330"/>
      <c r="Q88" s="1330"/>
      <c r="R88" s="1330"/>
      <c r="S88" s="1330"/>
      <c r="T88" s="1330"/>
      <c r="U88" s="1330"/>
      <c r="V88" s="1330"/>
      <c r="W88" s="1330"/>
      <c r="X88" s="1330"/>
      <c r="Y88" s="1330"/>
      <c r="Z88" s="1330"/>
      <c r="AA88" s="1331"/>
      <c r="AB88" s="1331"/>
      <c r="AC88" s="1331"/>
      <c r="AD88" s="1331"/>
      <c r="AE88" s="1331"/>
      <c r="AF88" s="1331"/>
      <c r="AG88" s="1331"/>
      <c r="AH88" s="1331"/>
      <c r="AI88" s="1331"/>
    </row>
    <row r="89" spans="1:35" s="463" customFormat="1" ht="14.25">
      <c r="A89" s="67" t="s">
        <v>330</v>
      </c>
      <c r="B89" s="68" t="s">
        <v>1375</v>
      </c>
      <c r="C89" s="3653">
        <f>ROUND(C88*D89,0)</f>
        <v>0</v>
      </c>
      <c r="D89" s="3658">
        <f>'数据-取费表'!B49+'数据-取费表'!B50</f>
        <v>3.0499999999999999E-2</v>
      </c>
      <c r="E89" s="88" t="s">
        <v>1387</v>
      </c>
      <c r="F89" s="1729"/>
      <c r="G89" s="1729"/>
      <c r="H89" s="1730"/>
      <c r="I89" s="1333"/>
      <c r="J89" s="1330"/>
      <c r="K89" s="1330"/>
      <c r="L89" s="1330"/>
      <c r="M89" s="1330"/>
      <c r="N89" s="1330"/>
      <c r="O89" s="1330"/>
      <c r="P89" s="1330"/>
      <c r="Q89" s="1330"/>
      <c r="R89" s="1330"/>
      <c r="S89" s="1330"/>
      <c r="T89" s="1330"/>
      <c r="U89" s="1330"/>
      <c r="V89" s="1330"/>
      <c r="W89" s="1330"/>
      <c r="X89" s="1330"/>
      <c r="Y89" s="1330"/>
      <c r="Z89" s="1330"/>
      <c r="AA89" s="1331"/>
      <c r="AB89" s="1331"/>
      <c r="AC89" s="1331"/>
      <c r="AD89" s="1331"/>
      <c r="AE89" s="1331"/>
      <c r="AF89" s="1331"/>
      <c r="AG89" s="1331"/>
      <c r="AH89" s="1331"/>
      <c r="AI89" s="1331"/>
    </row>
    <row r="90" spans="1:35" s="463" customFormat="1" ht="14.25">
      <c r="A90" s="67" t="s">
        <v>324</v>
      </c>
      <c r="B90" s="68" t="s">
        <v>1388</v>
      </c>
      <c r="C90" s="3775"/>
      <c r="D90" s="3658"/>
      <c r="E90" s="88" t="str">
        <f>IF(H88="-","土地取得成本中已包含该笔费用"," ")</f>
        <v xml:space="preserve"> </v>
      </c>
      <c r="F90" s="1729"/>
      <c r="G90" s="4437" t="s">
        <v>2038</v>
      </c>
      <c r="H90" s="4438"/>
      <c r="I90" s="1333"/>
      <c r="J90" s="1879" t="s">
        <v>2189</v>
      </c>
      <c r="K90" s="1330"/>
      <c r="L90" s="1330"/>
      <c r="M90" s="1330"/>
      <c r="N90" s="1330"/>
      <c r="O90" s="1330"/>
      <c r="P90" s="1330"/>
      <c r="Q90" s="1330"/>
      <c r="R90" s="1330"/>
      <c r="S90" s="1330"/>
      <c r="T90" s="1330"/>
      <c r="U90" s="1330"/>
      <c r="V90" s="1330"/>
      <c r="W90" s="1330"/>
      <c r="X90" s="1330"/>
      <c r="Y90" s="1330"/>
      <c r="Z90" s="1330"/>
      <c r="AA90" s="1331"/>
      <c r="AB90" s="1331"/>
      <c r="AC90" s="1331"/>
      <c r="AD90" s="1331"/>
      <c r="AE90" s="1331"/>
      <c r="AF90" s="1331"/>
      <c r="AG90" s="1331"/>
      <c r="AH90" s="1331"/>
      <c r="AI90" s="1331"/>
    </row>
    <row r="91" spans="1:35" s="463" customFormat="1" ht="43.5" customHeight="1">
      <c r="A91" s="67" t="s">
        <v>1389</v>
      </c>
      <c r="B91" s="68" t="s">
        <v>1390</v>
      </c>
      <c r="C91" s="3653">
        <f>IF(H91="——",成本法!C9,I91)</f>
        <v>0</v>
      </c>
      <c r="D91" s="3658"/>
      <c r="E91" s="4474" t="s">
        <v>1391</v>
      </c>
      <c r="F91" s="4475"/>
      <c r="G91" s="4475"/>
      <c r="H91" s="3645" t="s">
        <v>3690</v>
      </c>
      <c r="I91" s="3779"/>
      <c r="J91" s="1330" t="s">
        <v>3691</v>
      </c>
      <c r="K91" s="1330"/>
      <c r="L91" s="1330"/>
      <c r="M91" s="1330"/>
      <c r="N91" s="1330"/>
      <c r="O91" s="1330"/>
      <c r="P91" s="1330"/>
      <c r="Q91" s="1330"/>
      <c r="R91" s="1330"/>
      <c r="S91" s="1330"/>
      <c r="T91" s="1330"/>
      <c r="U91" s="1330"/>
      <c r="V91" s="1330"/>
      <c r="W91" s="1330"/>
      <c r="X91" s="1330"/>
      <c r="Y91" s="1330"/>
      <c r="Z91" s="1330"/>
      <c r="AA91" s="1331"/>
      <c r="AB91" s="1331"/>
      <c r="AC91" s="1331"/>
      <c r="AD91" s="1331"/>
      <c r="AE91" s="1331"/>
      <c r="AF91" s="1331"/>
      <c r="AG91" s="1331"/>
      <c r="AH91" s="1331"/>
      <c r="AI91" s="1331"/>
    </row>
    <row r="92" spans="1:35" s="463" customFormat="1" ht="25.5" customHeight="1">
      <c r="A92" s="67" t="s">
        <v>1392</v>
      </c>
      <c r="B92" s="68" t="s">
        <v>1393</v>
      </c>
      <c r="C92" s="3653">
        <f>ROUND((C87+C90+C91)*D92,0)</f>
        <v>0</v>
      </c>
      <c r="D92" s="3661"/>
      <c r="E92" s="4474" t="s">
        <v>1394</v>
      </c>
      <c r="F92" s="4475"/>
      <c r="G92" s="4475"/>
      <c r="H92" s="4476"/>
      <c r="I92" s="1333"/>
      <c r="J92" s="1880" t="s">
        <v>2190</v>
      </c>
      <c r="K92" s="1330"/>
      <c r="L92" s="1330"/>
      <c r="M92" s="1330"/>
      <c r="N92" s="1330"/>
      <c r="O92" s="1330"/>
      <c r="P92" s="1330"/>
      <c r="Q92" s="1330"/>
      <c r="R92" s="1330"/>
      <c r="S92" s="1330"/>
      <c r="T92" s="1330"/>
      <c r="U92" s="1330"/>
      <c r="V92" s="1330"/>
      <c r="W92" s="1330"/>
      <c r="X92" s="1330"/>
      <c r="Y92" s="1330"/>
      <c r="Z92" s="1330"/>
      <c r="AA92" s="1331"/>
      <c r="AB92" s="1331"/>
      <c r="AC92" s="1331"/>
      <c r="AD92" s="1331"/>
      <c r="AE92" s="1331"/>
      <c r="AF92" s="1331"/>
      <c r="AG92" s="1331"/>
      <c r="AH92" s="1331"/>
      <c r="AI92" s="1331"/>
    </row>
    <row r="93" spans="1:35" s="463" customFormat="1" ht="25.5" customHeight="1">
      <c r="A93" s="67" t="s">
        <v>1395</v>
      </c>
      <c r="B93" s="68" t="s">
        <v>1377</v>
      </c>
      <c r="C93" s="3653">
        <f ca="1">ROUND(C85*D93,0)</f>
        <v>18349</v>
      </c>
      <c r="D93" s="3658">
        <f>'数据-取费表'!B44</f>
        <v>0.12000000000000001</v>
      </c>
      <c r="E93" s="4499" t="s">
        <v>3693</v>
      </c>
      <c r="F93" s="4475"/>
      <c r="G93" s="4475"/>
      <c r="H93" s="4476"/>
      <c r="I93" s="3646"/>
      <c r="J93" s="1330"/>
      <c r="K93" s="1330"/>
      <c r="L93" s="1330"/>
      <c r="M93" s="1330"/>
      <c r="N93" s="1330"/>
      <c r="O93" s="1330"/>
      <c r="P93" s="1330"/>
      <c r="Q93" s="1330"/>
      <c r="R93" s="1330"/>
      <c r="S93" s="1330"/>
      <c r="T93" s="1330"/>
      <c r="U93" s="1330"/>
      <c r="V93" s="1330"/>
      <c r="W93" s="1330"/>
      <c r="X93" s="1330"/>
      <c r="Y93" s="1330"/>
      <c r="Z93" s="1330"/>
      <c r="AA93" s="1331"/>
      <c r="AB93" s="1331"/>
      <c r="AC93" s="1331"/>
      <c r="AD93" s="1331"/>
      <c r="AE93" s="1331"/>
      <c r="AF93" s="1331"/>
      <c r="AG93" s="1331"/>
      <c r="AH93" s="1331"/>
      <c r="AI93" s="1331"/>
    </row>
    <row r="94" spans="1:35" s="463" customFormat="1" ht="36.75" customHeight="1">
      <c r="A94" s="67" t="s">
        <v>1396</v>
      </c>
      <c r="B94" s="68" t="s">
        <v>1397</v>
      </c>
      <c r="C94" s="3775">
        <f>ROUND((C87+C90+C91)*D94,0)</f>
        <v>0</v>
      </c>
      <c r="D94" s="3658">
        <v>0.2</v>
      </c>
      <c r="E94" s="4500" t="s">
        <v>1398</v>
      </c>
      <c r="F94" s="4501"/>
      <c r="G94" s="4501"/>
      <c r="H94" s="4502"/>
      <c r="I94" s="1333"/>
      <c r="J94" s="1330"/>
      <c r="K94" s="1330"/>
      <c r="L94" s="1330"/>
      <c r="M94" s="1330"/>
      <c r="N94" s="1330"/>
      <c r="O94" s="1330"/>
      <c r="P94" s="1330"/>
      <c r="Q94" s="1330"/>
      <c r="R94" s="1330"/>
      <c r="S94" s="1330"/>
      <c r="T94" s="1330"/>
      <c r="U94" s="1330"/>
      <c r="V94" s="1330"/>
      <c r="W94" s="1330"/>
      <c r="X94" s="1330"/>
      <c r="Y94" s="1330"/>
      <c r="Z94" s="1330"/>
      <c r="AA94" s="1331"/>
      <c r="AB94" s="1331"/>
      <c r="AC94" s="1331"/>
      <c r="AD94" s="1331"/>
      <c r="AE94" s="1331"/>
      <c r="AF94" s="1331"/>
      <c r="AG94" s="1331"/>
      <c r="AH94" s="1331"/>
      <c r="AI94" s="1331"/>
    </row>
    <row r="95" spans="1:35" s="463" customFormat="1" ht="14.25">
      <c r="A95" s="70" t="s">
        <v>332</v>
      </c>
      <c r="B95" s="71" t="s">
        <v>1379</v>
      </c>
      <c r="C95" s="3776">
        <f ca="1">ROUND(C85-C86,0)</f>
        <v>134563</v>
      </c>
      <c r="D95" s="3653" t="s">
        <v>24</v>
      </c>
      <c r="E95" s="926"/>
      <c r="F95" s="924"/>
      <c r="G95" s="924"/>
      <c r="H95" s="87"/>
      <c r="I95" s="1333"/>
      <c r="J95" s="1330"/>
      <c r="K95" s="1330"/>
      <c r="L95" s="1330"/>
      <c r="M95" s="1330"/>
      <c r="N95" s="1330"/>
      <c r="O95" s="1330"/>
      <c r="P95" s="1330"/>
      <c r="Q95" s="1330"/>
      <c r="R95" s="1330"/>
      <c r="S95" s="1330"/>
      <c r="T95" s="1330"/>
      <c r="U95" s="1330"/>
      <c r="V95" s="1330"/>
      <c r="W95" s="1330"/>
      <c r="X95" s="1330"/>
      <c r="Y95" s="1330"/>
      <c r="Z95" s="1330"/>
      <c r="AA95" s="1331"/>
      <c r="AB95" s="1331"/>
      <c r="AC95" s="1331"/>
      <c r="AD95" s="1331"/>
      <c r="AE95" s="1331"/>
      <c r="AF95" s="1331"/>
      <c r="AG95" s="1331"/>
      <c r="AH95" s="1331"/>
      <c r="AI95" s="1331"/>
    </row>
    <row r="96" spans="1:35" s="463" customFormat="1" ht="24">
      <c r="A96" s="70" t="s">
        <v>333</v>
      </c>
      <c r="B96" s="71" t="s">
        <v>1380</v>
      </c>
      <c r="C96" s="3776">
        <f ca="1">IF(C95&lt;=0,0,C95/C86)</f>
        <v>7.3335331625701672</v>
      </c>
      <c r="D96" s="365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24"/>
      <c r="G96" s="924"/>
      <c r="H96" s="87"/>
      <c r="I96" s="1333"/>
      <c r="J96" s="1330"/>
      <c r="K96" s="1330"/>
      <c r="L96" s="1330"/>
      <c r="M96" s="1330"/>
      <c r="N96" s="1330"/>
      <c r="O96" s="1330"/>
      <c r="P96" s="1330"/>
      <c r="Q96" s="1330"/>
      <c r="R96" s="1330"/>
      <c r="S96" s="1330"/>
      <c r="T96" s="1330"/>
      <c r="U96" s="1330"/>
      <c r="V96" s="1330"/>
      <c r="W96" s="1330"/>
      <c r="X96" s="1330"/>
      <c r="Y96" s="1330"/>
      <c r="Z96" s="1330"/>
      <c r="AA96" s="1331"/>
      <c r="AB96" s="1331"/>
      <c r="AC96" s="1331"/>
      <c r="AD96" s="1331"/>
      <c r="AE96" s="1331"/>
      <c r="AF96" s="1331"/>
      <c r="AG96" s="1331"/>
      <c r="AH96" s="1331"/>
      <c r="AI96" s="1331"/>
    </row>
    <row r="97" spans="1:35" s="463" customFormat="1" ht="24.75" thickBot="1">
      <c r="A97" s="72" t="s">
        <v>334</v>
      </c>
      <c r="B97" s="73" t="s">
        <v>1381</v>
      </c>
      <c r="C97" s="3777">
        <f ca="1">ROUND(IF(C95&lt;=0,0,IF(C96&gt;=200%,C95*60%-C86*35%,IF(C96&gt;=100%,C95*50%-C86*15%,IF(C96&gt;=50%,C95*40%-C86*5%,IF(C96&lt;50%,C95*30%,0))))),0)</f>
        <v>74316</v>
      </c>
      <c r="D97" s="3659"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33"/>
      <c r="J97" s="1330"/>
      <c r="K97" s="1330"/>
      <c r="L97" s="1330"/>
      <c r="M97" s="1330"/>
      <c r="N97" s="1330"/>
      <c r="O97" s="1330"/>
      <c r="P97" s="1330"/>
      <c r="Q97" s="1330"/>
      <c r="R97" s="1330"/>
      <c r="S97" s="1330"/>
      <c r="T97" s="1330"/>
      <c r="U97" s="1330"/>
      <c r="V97" s="1330"/>
      <c r="W97" s="1330"/>
      <c r="X97" s="1330"/>
      <c r="Y97" s="1330"/>
      <c r="Z97" s="1330"/>
      <c r="AA97" s="1331"/>
      <c r="AB97" s="1331"/>
      <c r="AC97" s="1331"/>
      <c r="AD97" s="1331"/>
      <c r="AE97" s="1331"/>
      <c r="AF97" s="1331"/>
      <c r="AG97" s="1331"/>
      <c r="AH97" s="1331"/>
      <c r="AI97" s="1331"/>
    </row>
    <row r="98" spans="1:35" ht="21.75" customHeight="1">
      <c r="A98" s="1323"/>
      <c r="B98" s="464"/>
      <c r="C98" s="464"/>
      <c r="D98" s="464"/>
      <c r="E98" s="1136"/>
      <c r="F98" s="1136"/>
      <c r="G98" s="1136"/>
      <c r="H98" s="1137"/>
      <c r="I98" s="47"/>
    </row>
    <row r="99" spans="1:35" ht="21.75" customHeight="1" thickBot="1">
      <c r="A99" s="1134" t="s">
        <v>1399</v>
      </c>
      <c r="B99" s="464"/>
      <c r="C99" s="464"/>
      <c r="D99" s="464"/>
      <c r="E99" s="1136"/>
      <c r="F99" s="1136"/>
      <c r="G99" s="1136"/>
      <c r="H99" s="1137"/>
      <c r="I99" s="47"/>
    </row>
    <row r="100" spans="1:35" ht="18.75" customHeight="1">
      <c r="A100" s="4424" t="s">
        <v>1400</v>
      </c>
      <c r="B100" s="4425"/>
      <c r="C100" s="4425"/>
      <c r="D100" s="4439"/>
      <c r="E100" s="4425" t="s">
        <v>1401</v>
      </c>
      <c r="F100" s="4425"/>
      <c r="G100" s="4425"/>
      <c r="H100" s="4439"/>
      <c r="I100" s="47"/>
    </row>
    <row r="101" spans="1:35" ht="18.75" customHeight="1">
      <c r="A101" s="4445" t="s">
        <v>1402</v>
      </c>
      <c r="B101" s="4446"/>
      <c r="C101" s="1910" t="str">
        <f>C4</f>
        <v>比较法-办公</v>
      </c>
      <c r="D101" s="1911" t="str">
        <f>D4</f>
        <v>收益法（汇总）</v>
      </c>
      <c r="E101" s="4430" t="s">
        <v>1403</v>
      </c>
      <c r="F101" s="4431"/>
      <c r="G101" s="1337" t="s">
        <v>1404</v>
      </c>
      <c r="H101" s="3784">
        <f ca="1">H118</f>
        <v>166674</v>
      </c>
      <c r="I101" s="47"/>
    </row>
    <row r="102" spans="1:35" ht="18.75" customHeight="1">
      <c r="A102" s="4447" t="s">
        <v>1405</v>
      </c>
      <c r="B102" s="1909" t="s">
        <v>1404</v>
      </c>
      <c r="C102" s="3780">
        <f ca="1">C19</f>
        <v>219432</v>
      </c>
      <c r="D102" s="3781">
        <f ca="1">D19</f>
        <v>87537.482799999998</v>
      </c>
      <c r="E102" s="4430"/>
      <c r="F102" s="4431"/>
      <c r="G102" s="1337" t="s">
        <v>1406</v>
      </c>
      <c r="H102" s="2842">
        <f ca="1">I118</f>
        <v>29033</v>
      </c>
      <c r="I102" s="47"/>
    </row>
    <row r="103" spans="1:35" ht="42.75" customHeight="1">
      <c r="A103" s="4447"/>
      <c r="B103" s="1909" t="s">
        <v>1406</v>
      </c>
      <c r="C103" s="3782">
        <f ca="1">C20</f>
        <v>38223</v>
      </c>
      <c r="D103" s="3783">
        <f ca="1">D20</f>
        <v>15248</v>
      </c>
      <c r="E103" s="4492" t="s">
        <v>1407</v>
      </c>
      <c r="F103" s="4493"/>
      <c r="G103" s="1338" t="s">
        <v>1408</v>
      </c>
      <c r="H103" s="3784">
        <f>IF(D36="正常操作",H104+H105+H106,H105+H106)</f>
        <v>0</v>
      </c>
      <c r="I103" s="47"/>
    </row>
    <row r="104" spans="1:35" ht="18.75" customHeight="1">
      <c r="A104" s="4447" t="s">
        <v>1409</v>
      </c>
      <c r="B104" s="1912" t="s">
        <v>1404</v>
      </c>
      <c r="C104" s="4456">
        <f ca="1">H118</f>
        <v>166674</v>
      </c>
      <c r="D104" s="4457"/>
      <c r="E104" s="1217" t="s">
        <v>1410</v>
      </c>
      <c r="F104" s="1214"/>
      <c r="G104" s="1338" t="s">
        <v>1408</v>
      </c>
      <c r="H104" s="3785">
        <f>IF(D36="同一抵押权人同一抵押物续贷",C36&amp;"（续贷，未扣减，详见特别提示）",C36)</f>
        <v>0</v>
      </c>
      <c r="I104" s="47"/>
    </row>
    <row r="105" spans="1:35" ht="18.75" customHeight="1" thickBot="1">
      <c r="A105" s="4477"/>
      <c r="B105" s="1913" t="s">
        <v>1406</v>
      </c>
      <c r="C105" s="4458">
        <f ca="1">I118</f>
        <v>29033</v>
      </c>
      <c r="D105" s="4459"/>
      <c r="E105" s="1217" t="s">
        <v>1411</v>
      </c>
      <c r="F105" s="1214"/>
      <c r="G105" s="1338" t="s">
        <v>1408</v>
      </c>
      <c r="H105" s="3786">
        <f>C37</f>
        <v>0</v>
      </c>
      <c r="I105" s="47"/>
    </row>
    <row r="106" spans="1:35" ht="18.75" customHeight="1">
      <c r="A106" s="464" t="s">
        <v>1412</v>
      </c>
      <c r="B106" s="464"/>
      <c r="C106" s="464"/>
      <c r="D106" s="464"/>
      <c r="E106" s="1339" t="s">
        <v>1413</v>
      </c>
      <c r="F106" s="1214"/>
      <c r="G106" s="1338" t="s">
        <v>1408</v>
      </c>
      <c r="H106" s="3786">
        <f>C38</f>
        <v>0</v>
      </c>
      <c r="I106" s="47"/>
    </row>
    <row r="107" spans="1:35" ht="18.75" customHeight="1">
      <c r="A107" s="47"/>
      <c r="B107" s="47"/>
      <c r="C107" s="47"/>
      <c r="D107" s="47"/>
      <c r="E107" s="4448" t="str">
        <f>IF(项目基本情况!E8="已注销","——","3.房地产抵押价值")</f>
        <v>3.房地产抵押价值</v>
      </c>
      <c r="F107" s="4431"/>
      <c r="G107" s="1337" t="s">
        <v>1404</v>
      </c>
      <c r="H107" s="3784">
        <f ca="1">IF(E107="——","——",H101-H103)</f>
        <v>166674</v>
      </c>
      <c r="I107" s="47"/>
    </row>
    <row r="108" spans="1:35" ht="18.75" customHeight="1">
      <c r="A108" s="47"/>
      <c r="B108" s="47"/>
      <c r="C108" s="47"/>
      <c r="D108" s="47"/>
      <c r="E108" s="4448"/>
      <c r="F108" s="4431"/>
      <c r="G108" s="1337" t="s">
        <v>1406</v>
      </c>
      <c r="H108" s="2842">
        <f ca="1">IF(H107=H101,H102,ROUND(H107*10000/'数据-汇总表'!E3,0))</f>
        <v>29033</v>
      </c>
      <c r="I108" s="47"/>
    </row>
    <row r="109" spans="1:35" ht="18.75" customHeight="1">
      <c r="A109" s="47"/>
      <c r="B109" s="47"/>
      <c r="C109" s="47"/>
      <c r="D109" s="47"/>
      <c r="E109" s="4448" t="str">
        <f>IF(项目基本情况!E8="已注销及未注销","4.抵押担保权已注销时的房地产抵押价值",IF(项目基本情况!E8="已注销","3.抵押担保权已注销时的房地产抵押价值","——"))</f>
        <v>——</v>
      </c>
      <c r="F109" s="4431"/>
      <c r="G109" s="1337" t="s">
        <v>1404</v>
      </c>
      <c r="H109" s="2837" t="str">
        <f>IF(E109="——","——",H101-H105-H106)</f>
        <v>——</v>
      </c>
      <c r="I109" s="47"/>
    </row>
    <row r="110" spans="1:35" ht="18.75" customHeight="1">
      <c r="A110" s="47"/>
      <c r="B110" s="47"/>
      <c r="C110" s="47"/>
      <c r="D110" s="47"/>
      <c r="E110" s="4448"/>
      <c r="F110" s="4431"/>
      <c r="G110" s="1337" t="s">
        <v>1406</v>
      </c>
      <c r="H110" s="2842" t="str">
        <f>IF(H109="——","——",ROUND(H109*10000/'数据-汇总表'!E3,0))</f>
        <v>——</v>
      </c>
      <c r="I110" s="47"/>
    </row>
    <row r="111" spans="1:35" ht="18.75" customHeight="1">
      <c r="A111" s="47"/>
      <c r="B111" s="47"/>
      <c r="C111" s="47"/>
      <c r="D111" s="47"/>
      <c r="E111" s="4449" t="str">
        <f>IF(项目基本情况!E9="抵押净值",IF(OR(项目基本情况!E8="已注销",项目基本情况!E8="房地产抵押价值"),"4.抵押净值","5.抵押净值"),"——")</f>
        <v>——</v>
      </c>
      <c r="F111" s="4450"/>
      <c r="G111" s="1337" t="s">
        <v>1404</v>
      </c>
      <c r="H111" s="3784" t="str">
        <f>IF(E111="——","——",N59)</f>
        <v>——</v>
      </c>
      <c r="I111" s="47"/>
    </row>
    <row r="112" spans="1:35" ht="18.75" customHeight="1" thickBot="1">
      <c r="A112" s="47"/>
      <c r="B112" s="47"/>
      <c r="C112" s="47"/>
      <c r="D112" s="47"/>
      <c r="E112" s="4451"/>
      <c r="F112" s="4452"/>
      <c r="G112" s="1340" t="s">
        <v>1406</v>
      </c>
      <c r="H112" s="3746" t="str">
        <f>IF(E111="——","——",N61)</f>
        <v>——</v>
      </c>
      <c r="I112" s="47"/>
    </row>
    <row r="113" spans="1:27" ht="18.75" customHeight="1">
      <c r="A113" s="47"/>
      <c r="B113" s="47"/>
      <c r="C113" s="47"/>
      <c r="D113" s="47"/>
      <c r="E113" s="4478" t="s">
        <v>1412</v>
      </c>
      <c r="F113" s="4478"/>
      <c r="G113" s="4478"/>
      <c r="H113" s="4478"/>
      <c r="I113" s="47"/>
    </row>
    <row r="114" spans="1:27" ht="3.75" customHeight="1">
      <c r="A114" s="464"/>
      <c r="B114" s="464"/>
      <c r="C114" s="464"/>
      <c r="D114" s="464"/>
      <c r="E114" s="1323"/>
      <c r="F114" s="1323"/>
      <c r="G114" s="1323"/>
      <c r="H114" s="1323"/>
      <c r="I114" s="464"/>
    </row>
    <row r="115" spans="1:27" ht="18.75" customHeight="1">
      <c r="A115" s="4488" t="s">
        <v>1414</v>
      </c>
      <c r="B115" s="4489"/>
      <c r="C115" s="4489"/>
      <c r="D115" s="4489"/>
      <c r="E115" s="4489"/>
      <c r="F115" s="4489"/>
      <c r="G115" s="4489"/>
      <c r="H115" s="4489"/>
      <c r="I115" s="4490"/>
    </row>
    <row r="116" spans="1:27" ht="27" customHeight="1">
      <c r="A116" s="4453" t="s">
        <v>1415</v>
      </c>
      <c r="B116" s="4454" t="s">
        <v>1416</v>
      </c>
      <c r="C116" s="4454" t="s">
        <v>1417</v>
      </c>
      <c r="D116" s="4441" t="s">
        <v>1418</v>
      </c>
      <c r="E116" s="4442"/>
      <c r="F116" s="4487"/>
      <c r="G116" s="4487"/>
      <c r="H116" s="4453" t="s">
        <v>1419</v>
      </c>
      <c r="I116" s="4453"/>
      <c r="K116" s="3137"/>
      <c r="L116" s="3138" t="s">
        <v>3483</v>
      </c>
      <c r="M116" s="3138" t="s">
        <v>3484</v>
      </c>
      <c r="N116" s="3138" t="s">
        <v>3485</v>
      </c>
    </row>
    <row r="117" spans="1:27" ht="18.75" customHeight="1">
      <c r="A117" s="4453"/>
      <c r="B117" s="4455"/>
      <c r="C117" s="4455"/>
      <c r="D117" s="1731" t="s">
        <v>1420</v>
      </c>
      <c r="E117" s="1731" t="s">
        <v>1421</v>
      </c>
      <c r="F117" s="1731" t="s">
        <v>1420</v>
      </c>
      <c r="G117" s="1731" t="s">
        <v>1422</v>
      </c>
      <c r="H117" s="1731" t="s">
        <v>1420</v>
      </c>
      <c r="I117" s="1731" t="s">
        <v>1422</v>
      </c>
      <c r="K117" s="3138" t="s">
        <v>3481</v>
      </c>
      <c r="L117" s="3787">
        <f ca="1">C34</f>
        <v>166674</v>
      </c>
      <c r="M117" s="3788">
        <f ca="1">C35</f>
        <v>0</v>
      </c>
      <c r="N117" s="3788">
        <f ca="1">C32</f>
        <v>166674</v>
      </c>
    </row>
    <row r="118" spans="1:27" ht="24.75" customHeight="1">
      <c r="A118" s="1914" t="str">
        <f>项目基本情况!S2</f>
        <v>北京市房地产</v>
      </c>
      <c r="B118" s="2663">
        <f>M18</f>
        <v>57408.26</v>
      </c>
      <c r="C118" s="2663">
        <f>M19</f>
        <v>16447.62</v>
      </c>
      <c r="D118" s="697">
        <f ca="1">ROUND(IF(D32="总价",L117,L119*B118/10000),0)</f>
        <v>166674</v>
      </c>
      <c r="E118" s="697">
        <f ca="1">ROUND(IF(C33="自定义",IF(D32="楼面单价",L119,D118*10000/B118),I118-G118),0)</f>
        <v>29033</v>
      </c>
      <c r="F118" s="697">
        <f ca="1">ROUND(IF(D32="总价",M117,M119*B118/10000),0)</f>
        <v>0</v>
      </c>
      <c r="G118" s="697">
        <f ca="1">ROUND(IF(D32="楼面单价",,F118*10000/B118),0)</f>
        <v>0</v>
      </c>
      <c r="H118" s="697">
        <f ca="1">ROUND(IF(D32="总价",C32,N119*B118/10000),4)</f>
        <v>166674</v>
      </c>
      <c r="I118" s="697">
        <f ca="1">ROUND(IF(D32="楼面单价",C32,N117*10000/B118),0)</f>
        <v>29033</v>
      </c>
      <c r="K118" s="3137"/>
      <c r="L118" s="3137"/>
      <c r="M118" s="3137"/>
      <c r="N118" s="3137"/>
    </row>
    <row r="119" spans="1:27" ht="18.75" customHeight="1">
      <c r="A119" s="4453" t="s">
        <v>1423</v>
      </c>
      <c r="B119" s="4453"/>
      <c r="C119" s="4453"/>
      <c r="D119" s="4443" t="str">
        <f ca="1">NUMBERSTRING(INT(D118*10000),2)&amp;"元整"</f>
        <v>壹拾陆亿陆仟陆佰柒拾肆万元整</v>
      </c>
      <c r="E119" s="4444"/>
      <c r="F119" s="4443" t="str">
        <f ca="1">NUMBERSTRING(INT(F118*10000),2)&amp;"元整"</f>
        <v>零元整</v>
      </c>
      <c r="G119" s="4444"/>
      <c r="H119" s="4443" t="str">
        <f ca="1">NUMBERSTRING(INT(H118*10000),2)&amp;"元整"</f>
        <v>壹拾陆亿陆仟陆佰柒拾肆万元整</v>
      </c>
      <c r="I119" s="4444"/>
      <c r="K119" s="3138" t="s">
        <v>3482</v>
      </c>
      <c r="L119" s="3788">
        <f ca="1">C34</f>
        <v>166674</v>
      </c>
      <c r="M119" s="3788">
        <f ca="1">C35</f>
        <v>0</v>
      </c>
      <c r="N119" s="3788">
        <f ca="1">C32</f>
        <v>166674</v>
      </c>
    </row>
    <row r="120" spans="1:27" ht="18.75" customHeight="1">
      <c r="A120" s="4462" t="str">
        <f>IF(项目基本情况!B9="房地产市场价值","",MID(E103,3,LEN(E103)-2))</f>
        <v>估价师知悉的法定优先受偿款</v>
      </c>
      <c r="B120" s="4463"/>
      <c r="C120" s="4463"/>
      <c r="D120" s="4463"/>
      <c r="E120" s="4463"/>
      <c r="F120" s="4463"/>
      <c r="G120" s="4464"/>
      <c r="H120" s="4543">
        <f>H103</f>
        <v>0</v>
      </c>
      <c r="I120" s="4544"/>
      <c r="J120" s="1280"/>
      <c r="K120" s="1280" t="str">
        <f>IF(H120=0,"故，本次评估不存在"&amp;A120,"故，本次评估"&amp;A120&amp;"为人民币"&amp;H120&amp;"万元整。")</f>
        <v>故，本次评估不存在估价师知悉的法定优先受偿款</v>
      </c>
      <c r="L120" s="1280"/>
      <c r="M120" s="1280"/>
      <c r="N120" s="1280"/>
      <c r="O120" s="1280"/>
      <c r="P120" s="1280"/>
      <c r="Q120" s="1280"/>
      <c r="R120" s="1280"/>
      <c r="S120" s="1280"/>
    </row>
    <row r="121" spans="1:27" ht="18.75" customHeight="1">
      <c r="A121" s="4443" t="s">
        <v>1423</v>
      </c>
      <c r="B121" s="4465"/>
      <c r="C121" s="4465"/>
      <c r="D121" s="4465"/>
      <c r="E121" s="4465"/>
      <c r="F121" s="4465"/>
      <c r="G121" s="4444"/>
      <c r="H121" s="4545" t="str">
        <f>IF(H120=0,"零元整",NUMBERSTRING(INT(H120*10000),2)&amp;"元整")</f>
        <v>零元整</v>
      </c>
      <c r="I121" s="4546"/>
      <c r="AA121" s="493"/>
    </row>
    <row r="122" spans="1:27" ht="18.75" customHeight="1">
      <c r="A122" s="4462" t="str">
        <f>IF(项目基本情况!B9="房地产市场价值","",MID(E107,3,LEN(E107)-2))</f>
        <v>房地产抵押价值</v>
      </c>
      <c r="B122" s="4463"/>
      <c r="C122" s="4463"/>
      <c r="D122" s="4463"/>
      <c r="E122" s="4463"/>
      <c r="F122" s="4463"/>
      <c r="G122" s="4464"/>
      <c r="H122" s="4460">
        <f ca="1">H107</f>
        <v>166674</v>
      </c>
      <c r="I122" s="4461"/>
      <c r="AA122" s="493"/>
    </row>
    <row r="123" spans="1:27" ht="18.75" customHeight="1">
      <c r="A123" s="4443" t="s">
        <v>1423</v>
      </c>
      <c r="B123" s="4465"/>
      <c r="C123" s="4465"/>
      <c r="D123" s="4465"/>
      <c r="E123" s="4465"/>
      <c r="F123" s="4465"/>
      <c r="G123" s="4444"/>
      <c r="H123" s="4443" t="str">
        <f ca="1">NUMBERSTRING(INT(H122*10000),2)&amp;"元整"</f>
        <v>壹拾陆亿陆仟陆佰柒拾肆万元整</v>
      </c>
      <c r="I123" s="4444"/>
      <c r="AA123" s="493"/>
    </row>
    <row r="124" spans="1:27" ht="18.75" customHeight="1">
      <c r="A124" s="4462" t="str">
        <f>IF(项目基本情况!B9="房地产市场价值","",MID(E109,3,LEN(E109)-2))</f>
        <v/>
      </c>
      <c r="B124" s="4463"/>
      <c r="C124" s="4463"/>
      <c r="D124" s="4463"/>
      <c r="E124" s="4463"/>
      <c r="F124" s="4463"/>
      <c r="G124" s="4464"/>
      <c r="H124" s="4460" t="str">
        <f>H109</f>
        <v>——</v>
      </c>
      <c r="I124" s="4461"/>
      <c r="AA124" s="493"/>
    </row>
    <row r="125" spans="1:27" ht="18.75" customHeight="1">
      <c r="A125" s="4443" t="s">
        <v>1423</v>
      </c>
      <c r="B125" s="4465"/>
      <c r="C125" s="4465"/>
      <c r="D125" s="4465"/>
      <c r="E125" s="4465"/>
      <c r="F125" s="4465"/>
      <c r="G125" s="4444"/>
      <c r="H125" s="4443" t="e">
        <f>NUMBERSTRING(INT(H124*10000),2)&amp;"元整"</f>
        <v>#VALUE!</v>
      </c>
      <c r="I125" s="4444"/>
      <c r="AA125" s="493"/>
    </row>
    <row r="126" spans="1:27" ht="18.75" customHeight="1">
      <c r="A126" s="4462" t="str">
        <f>IF(项目基本情况!B9="房地产市场价值","",MID(E111,3,LEN(E111)-2))</f>
        <v/>
      </c>
      <c r="B126" s="4463"/>
      <c r="C126" s="4463"/>
      <c r="D126" s="4463"/>
      <c r="E126" s="4463"/>
      <c r="F126" s="4463"/>
      <c r="G126" s="4464"/>
      <c r="H126" s="4460" t="str">
        <f>H111</f>
        <v>——</v>
      </c>
      <c r="I126" s="4461"/>
      <c r="AA126" s="493"/>
    </row>
    <row r="127" spans="1:27" ht="18.75" customHeight="1">
      <c r="A127" s="4443" t="s">
        <v>1423</v>
      </c>
      <c r="B127" s="4465"/>
      <c r="C127" s="4465"/>
      <c r="D127" s="4465"/>
      <c r="E127" s="4465"/>
      <c r="F127" s="4465"/>
      <c r="G127" s="4444"/>
      <c r="H127" s="4443" t="e">
        <f>NUMBERSTRING(INT(H126*10000),2)&amp;"元整"</f>
        <v>#VALUE!</v>
      </c>
      <c r="I127" s="4444"/>
      <c r="AA127" s="493"/>
    </row>
    <row r="128" spans="1:27" ht="21.75" customHeight="1">
      <c r="A128" s="4440" t="s">
        <v>1424</v>
      </c>
      <c r="B128" s="4440"/>
      <c r="C128" s="4440"/>
      <c r="D128" s="4440"/>
      <c r="E128" s="4440"/>
      <c r="F128" s="4440"/>
      <c r="G128" s="4440"/>
      <c r="H128" s="4440"/>
      <c r="I128" s="4440"/>
      <c r="AA128" s="493"/>
    </row>
    <row r="129" spans="1:35" ht="21.75" customHeight="1">
      <c r="A129" s="1341" t="s">
        <v>1425</v>
      </c>
      <c r="B129" s="1342"/>
      <c r="C129" s="1343" t="s">
        <v>1426</v>
      </c>
      <c r="D129" s="1344"/>
      <c r="E129" s="1344"/>
      <c r="F129" s="1344"/>
      <c r="G129" s="1344"/>
      <c r="H129" s="1345"/>
      <c r="I129" s="1346"/>
      <c r="AA129" s="493"/>
    </row>
    <row r="130" spans="1:35" ht="21.75" customHeight="1">
      <c r="A130" s="1347">
        <v>1</v>
      </c>
      <c r="B130" s="1348"/>
      <c r="C130" s="1348"/>
      <c r="D130" s="497"/>
      <c r="E130" s="497"/>
      <c r="F130" s="497"/>
      <c r="G130" s="497"/>
      <c r="H130" s="496"/>
      <c r="I130" s="1349"/>
      <c r="AA130" s="493"/>
    </row>
    <row r="131" spans="1:35" ht="21.75" customHeight="1">
      <c r="A131" s="1347">
        <v>2</v>
      </c>
      <c r="B131" s="1348"/>
      <c r="C131" s="1348"/>
      <c r="D131" s="497"/>
      <c r="E131" s="497"/>
      <c r="F131" s="497"/>
      <c r="G131" s="497"/>
      <c r="H131" s="496"/>
      <c r="I131" s="1349"/>
      <c r="AA131" s="493"/>
    </row>
    <row r="132" spans="1:35" ht="21.75" customHeight="1">
      <c r="A132" s="1347">
        <v>3</v>
      </c>
      <c r="B132" s="1348"/>
      <c r="C132" s="1348"/>
      <c r="D132" s="497"/>
      <c r="E132" s="497"/>
      <c r="F132" s="497"/>
      <c r="G132" s="497"/>
      <c r="H132" s="496"/>
      <c r="I132" s="1349"/>
      <c r="AA132" s="493"/>
    </row>
    <row r="133" spans="1:35" ht="21.75" customHeight="1">
      <c r="A133" s="1350"/>
      <c r="B133" s="1351"/>
      <c r="C133" s="1351"/>
      <c r="D133" s="1352"/>
      <c r="E133" s="1352"/>
      <c r="F133" s="1352"/>
      <c r="G133" s="1352"/>
      <c r="H133" s="1353"/>
      <c r="I133" s="1354"/>
    </row>
    <row r="134" spans="1:35" ht="21.75" customHeight="1">
      <c r="A134" s="1348"/>
      <c r="B134" s="1348"/>
      <c r="C134" s="1348"/>
      <c r="D134" s="497"/>
      <c r="E134" s="497"/>
      <c r="F134" s="497"/>
      <c r="G134" s="497"/>
      <c r="H134" s="496"/>
      <c r="I134" s="493"/>
    </row>
    <row r="135" spans="1:35" ht="21.75" customHeight="1">
      <c r="A135" s="493"/>
      <c r="B135" s="493"/>
      <c r="C135" s="493"/>
      <c r="D135" s="493"/>
      <c r="E135" s="493"/>
      <c r="F135" s="1355" t="s">
        <v>1427</v>
      </c>
      <c r="G135" s="1356"/>
      <c r="H135" s="1356"/>
      <c r="I135" s="1357" t="s">
        <v>1428</v>
      </c>
    </row>
    <row r="136" spans="1:35" ht="21.75" customHeight="1">
      <c r="A136" s="493"/>
      <c r="B136" s="1358" t="s">
        <v>1429</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56"/>
      <c r="C138" s="1356"/>
      <c r="D138" s="1356"/>
      <c r="E138" s="1356"/>
      <c r="F138" s="1356"/>
      <c r="G138" s="1356"/>
      <c r="H138" s="1356"/>
      <c r="I138" s="1357" t="s">
        <v>1430</v>
      </c>
    </row>
    <row r="139" spans="1:35" ht="21.75" customHeight="1">
      <c r="A139" s="493"/>
      <c r="B139" s="1358" t="s">
        <v>1431</v>
      </c>
      <c r="C139" s="493"/>
      <c r="D139" s="493"/>
      <c r="E139" s="493"/>
      <c r="F139" s="493"/>
      <c r="G139" s="493"/>
      <c r="H139" s="493"/>
      <c r="I139" s="493"/>
    </row>
    <row r="140" spans="1:35" ht="21.75" customHeight="1">
      <c r="A140" s="493"/>
      <c r="B140" s="1358"/>
      <c r="C140" s="493"/>
      <c r="D140" s="493"/>
      <c r="E140" s="493"/>
      <c r="F140" s="493"/>
      <c r="G140" s="493"/>
      <c r="H140" s="493"/>
      <c r="I140" s="493"/>
    </row>
    <row r="141" spans="1:35" ht="21.75" customHeight="1">
      <c r="A141" s="493"/>
      <c r="B141" s="1356"/>
      <c r="C141" s="1356"/>
      <c r="D141" s="1356"/>
      <c r="E141" s="1356"/>
      <c r="F141" s="1356"/>
      <c r="G141" s="1356"/>
      <c r="H141" s="1356"/>
      <c r="I141" s="1357" t="s">
        <v>1430</v>
      </c>
    </row>
    <row r="142" spans="1:35" ht="21.75" customHeight="1">
      <c r="A142" s="493"/>
      <c r="B142" s="1358"/>
      <c r="C142" s="1359"/>
      <c r="D142" s="1360"/>
      <c r="E142" s="1360"/>
      <c r="F142" s="1271"/>
      <c r="G142" s="493"/>
      <c r="H142" s="493"/>
      <c r="I142" s="493"/>
    </row>
    <row r="143" spans="1:35" s="48" customFormat="1" ht="21.75" customHeight="1">
      <c r="A143" s="493"/>
      <c r="B143" s="1358"/>
      <c r="C143" s="1359"/>
      <c r="D143" s="1360"/>
      <c r="E143" s="1360"/>
      <c r="F143" s="1271"/>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80"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80"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80"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80"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80"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80"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80"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80"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80"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80"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80"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80"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80"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80"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80"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80"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80"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80"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80"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80"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80"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80"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80"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80"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80"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80"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80"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80"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80"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80"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80"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80"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80"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80"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80"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80"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80"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80"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80"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80"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80"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80"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80"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80"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80"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80"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80"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80"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80"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80"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80"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80"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80"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80"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80"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80"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80"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80"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80"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80"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80"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80"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80"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80"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80"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80"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80"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80"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80"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80"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80"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80"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80"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80"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80"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80"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80"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80"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80"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80"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80"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80"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80"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80"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80"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80"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80"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80"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80"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80"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80"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80"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80"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80"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80"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80"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80"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80"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80"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80"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80"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80"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80"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80"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53" priority="4" stopIfTrue="1">
      <formula>$H$88&lt;&gt;"仅含出让金"</formula>
    </cfRule>
  </conditionalFormatting>
  <conditionalFormatting sqref="C91">
    <cfRule type="expression" dxfId="152" priority="3" stopIfTrue="1">
      <formula>$H$91="由企业提供"</formula>
    </cfRule>
  </conditionalFormatting>
  <conditionalFormatting sqref="C5:D7">
    <cfRule type="cellIs" dxfId="151" priority="11" stopIfTrue="1" operator="equal">
      <formula>25</formula>
    </cfRule>
  </conditionalFormatting>
  <conditionalFormatting sqref="C8:D13">
    <cfRule type="cellIs" dxfId="150" priority="9" stopIfTrue="1" operator="equal">
      <formula>15</formula>
    </cfRule>
  </conditionalFormatting>
  <conditionalFormatting sqref="C14:D16">
    <cfRule type="cellIs" dxfId="149" priority="7" stopIfTrue="1" operator="equal">
      <formula>30</formula>
    </cfRule>
  </conditionalFormatting>
  <conditionalFormatting sqref="E36">
    <cfRule type="expression" dxfId="148" priority="2" stopIfTrue="1">
      <formula>$D$36="同一抵押权人同一抵押物续贷"</formula>
    </cfRule>
  </conditionalFormatting>
  <conditionalFormatting sqref="H66">
    <cfRule type="expression" dxfId="14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54" customWidth="1"/>
    <col min="2" max="9" width="10" style="554" customWidth="1"/>
    <col min="10" max="16384" width="9" style="554"/>
  </cols>
  <sheetData>
    <row r="36" spans="1:9">
      <c r="A36" s="553" t="s">
        <v>365</v>
      </c>
      <c r="B36" s="553" t="s">
        <v>366</v>
      </c>
    </row>
    <row r="37" spans="1:9" ht="27.75" customHeight="1">
      <c r="A37" s="553"/>
      <c r="B37" s="4335" t="str">
        <f>项目基本情况!B1</f>
        <v>北京市房地产抵押价值预评估</v>
      </c>
      <c r="C37" s="4335"/>
      <c r="D37" s="4335"/>
      <c r="E37" s="4335"/>
      <c r="F37" s="4335"/>
      <c r="G37" s="4335"/>
      <c r="H37" s="4335"/>
      <c r="I37" s="4335"/>
    </row>
    <row r="38" spans="1:9">
      <c r="A38" s="555"/>
      <c r="B38" s="555"/>
    </row>
    <row r="39" spans="1:9">
      <c r="A39" s="553" t="s">
        <v>365</v>
      </c>
      <c r="B39" s="553" t="s">
        <v>367</v>
      </c>
    </row>
    <row r="40" spans="1:9">
      <c r="A40" s="553"/>
      <c r="B40" s="1047">
        <f>项目基本情况!B5</f>
        <v>0</v>
      </c>
    </row>
    <row r="41" spans="1:9">
      <c r="A41" s="553"/>
      <c r="B41" s="553"/>
    </row>
    <row r="42" spans="1:9">
      <c r="A42" s="553" t="s">
        <v>365</v>
      </c>
      <c r="B42" s="553" t="s">
        <v>368</v>
      </c>
    </row>
    <row r="43" spans="1:9">
      <c r="A43" s="553"/>
      <c r="B43" s="1047" t="s">
        <v>369</v>
      </c>
    </row>
    <row r="44" spans="1:9">
      <c r="A44" s="553"/>
      <c r="B44" s="553"/>
    </row>
    <row r="45" spans="1:9">
      <c r="A45" s="553" t="s">
        <v>365</v>
      </c>
      <c r="B45" s="553" t="s">
        <v>370</v>
      </c>
    </row>
    <row r="46" spans="1:9" s="553" customFormat="1" ht="12.75">
      <c r="B46" s="1047" t="str">
        <f>项目基本情况!K4</f>
        <v>（注册号：0)、（注册号：0)</v>
      </c>
    </row>
    <row r="47" spans="1:9">
      <c r="A47" s="553"/>
      <c r="B47" s="553" t="str">
        <f>项目基本情况!K5</f>
        <v>（注册号：0)、（注册号：0)</v>
      </c>
    </row>
    <row r="48" spans="1:9">
      <c r="A48" s="553" t="s">
        <v>365</v>
      </c>
      <c r="B48" s="553" t="s">
        <v>371</v>
      </c>
    </row>
    <row r="49" spans="2:2">
      <c r="B49" s="1047"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B10" sqref="B10"/>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1432</v>
      </c>
      <c r="B1" s="2905"/>
      <c r="C1" s="3430"/>
      <c r="D1" s="93"/>
      <c r="E1" s="93"/>
      <c r="F1" s="93"/>
      <c r="G1" s="778">
        <f>MATCH(B1,'数据-取费表'!A6:A16,0)+5</f>
        <v>10</v>
      </c>
    </row>
    <row r="2" spans="1:9" s="95" customFormat="1" ht="15.75">
      <c r="A2" s="96" t="s">
        <v>1433</v>
      </c>
      <c r="B2" s="2588">
        <f ca="1">IF(C1="含税",E2+C33,E2+C32)</f>
        <v>37419</v>
      </c>
      <c r="C2" s="94" t="s">
        <v>1434</v>
      </c>
      <c r="D2" s="1361" t="s">
        <v>41</v>
      </c>
      <c r="E2" s="3518">
        <f ca="1">IF(D2="——",0,SUMIF(INDIRECT("'"&amp;G2&amp;"'"&amp;"!A:A"),"承租人权益价值",INDIRECT("'"&amp;G2&amp;"'"&amp;"!c:c")))</f>
        <v>0</v>
      </c>
      <c r="F2" s="1362" t="s">
        <v>1434</v>
      </c>
      <c r="G2" s="1363"/>
    </row>
    <row r="3" spans="1:9" s="95" customFormat="1" ht="16.5" thickBot="1">
      <c r="A3" s="98" t="s">
        <v>1435</v>
      </c>
      <c r="B3" s="2589">
        <f ca="1">ROUND(B2*10000/(IF(B1="",'数据-汇总表'!E3,INDIRECT("'数据-取费表'!k"&amp;$G$1))),0)</f>
        <v>6518</v>
      </c>
      <c r="C3" s="94" t="s">
        <v>1436</v>
      </c>
      <c r="D3" s="94"/>
      <c r="E3" s="2575"/>
      <c r="F3" s="94"/>
      <c r="G3" s="94"/>
    </row>
    <row r="4" spans="1:9" s="95" customFormat="1" ht="16.5" thickBot="1">
      <c r="A4" s="2633" t="s">
        <v>3326</v>
      </c>
      <c r="B4" s="2634" t="s">
        <v>3327</v>
      </c>
      <c r="C4" s="2572" t="s">
        <v>3962</v>
      </c>
      <c r="D4" s="2609" t="s">
        <v>3332</v>
      </c>
      <c r="E4" s="2610" t="s">
        <v>3333</v>
      </c>
      <c r="F4" s="2610" t="s">
        <v>3334</v>
      </c>
      <c r="G4" s="2573" t="s">
        <v>3328</v>
      </c>
    </row>
    <row r="5" spans="1:9" s="103" customFormat="1" ht="15.75">
      <c r="A5" s="2611" t="s">
        <v>3325</v>
      </c>
      <c r="B5" s="2612" t="s">
        <v>3329</v>
      </c>
      <c r="C5" s="2585">
        <f ca="1">ROUND((C6+C9+C21+C24+C25+C28)/(1-F22-C26-C29),0)</f>
        <v>40593</v>
      </c>
      <c r="D5" s="2613"/>
      <c r="E5" s="2613"/>
      <c r="F5" s="2613"/>
      <c r="G5" s="2770" t="s">
        <v>3473</v>
      </c>
    </row>
    <row r="6" spans="1:9" s="2599" customFormat="1" ht="15">
      <c r="A6" s="2577" t="s">
        <v>3335</v>
      </c>
      <c r="B6" s="2637" t="s">
        <v>3336</v>
      </c>
      <c r="C6" s="2614">
        <f>C7+C8</f>
        <v>0</v>
      </c>
      <c r="D6" s="2576"/>
      <c r="E6" s="2576"/>
      <c r="F6" s="2576"/>
      <c r="G6" s="2615"/>
    </row>
    <row r="7" spans="1:9" s="109" customFormat="1">
      <c r="A7" s="2616" t="s">
        <v>1443</v>
      </c>
      <c r="B7" s="2638" t="s">
        <v>1444</v>
      </c>
      <c r="C7" s="3125"/>
      <c r="D7" s="2617"/>
      <c r="E7" s="2618"/>
      <c r="F7" s="2618"/>
      <c r="G7" s="156"/>
    </row>
    <row r="8" spans="1:9" s="109" customFormat="1">
      <c r="A8" s="2616" t="s">
        <v>1445</v>
      </c>
      <c r="B8" s="2638" t="s">
        <v>1446</v>
      </c>
      <c r="C8" s="2587">
        <f>ROUND(C7*F8,0)</f>
        <v>0</v>
      </c>
      <c r="D8" s="144"/>
      <c r="E8" s="2618"/>
      <c r="F8" s="2619">
        <f>IF(项目基本情况!B8="出让",0,'数据-取费表'!B49+'数据-取费表'!B50)</f>
        <v>3.0499999999999999E-2</v>
      </c>
      <c r="G8" s="156"/>
    </row>
    <row r="9" spans="1:9" s="2599" customFormat="1" ht="15">
      <c r="A9" s="2620" t="s">
        <v>336</v>
      </c>
      <c r="B9" s="2639" t="s">
        <v>3283</v>
      </c>
      <c r="C9" s="2600">
        <f ca="1">C10+C11+C12+C13+C19+C20</f>
        <v>32894</v>
      </c>
      <c r="D9" s="2621"/>
      <c r="E9" s="2622"/>
      <c r="F9" s="2623"/>
      <c r="G9" s="2624"/>
      <c r="I9" s="109"/>
    </row>
    <row r="10" spans="1:9" s="109" customFormat="1">
      <c r="A10" s="2640" t="s">
        <v>344</v>
      </c>
      <c r="B10" s="2641" t="s">
        <v>3319</v>
      </c>
      <c r="C10" s="2587">
        <f ca="1">IF(B1="",IF(F10=100%,'数据-取费表'!M16,'数据-取费表'!O16),IF(F10=100%,INDIRECT("'数据-取费表'!m"&amp;$G$1)+INDIRECT("'数据-取费表'!t"&amp;$G$1),INDIRECT("'数据-取费表'!o"&amp;$G$1)+INDIRECT("'数据-取费表'!aq"&amp;$G$1)))</f>
        <v>28704</v>
      </c>
      <c r="D10" s="2617"/>
      <c r="E10" s="144"/>
      <c r="F10" s="2625">
        <f ca="1">IF('数据-取费表'!B24=0,1,IF(B1="",'数据-取费表'!N16,INDIRECT("'数据-取费表'!n"&amp;$G$1)))</f>
        <v>1</v>
      </c>
      <c r="G10" s="156" t="s">
        <v>1471</v>
      </c>
    </row>
    <row r="11" spans="1:9" s="109" customFormat="1">
      <c r="A11" s="2640" t="s">
        <v>349</v>
      </c>
      <c r="B11" s="2641" t="s">
        <v>3320</v>
      </c>
      <c r="C11" s="2587">
        <f ca="1">ROUND(C10*F11,0)</f>
        <v>1435</v>
      </c>
      <c r="D11" s="144"/>
      <c r="E11" s="144"/>
      <c r="F11" s="2598">
        <f>'数据-取费表'!B33</f>
        <v>0.05</v>
      </c>
      <c r="G11" s="3515" t="s">
        <v>3679</v>
      </c>
    </row>
    <row r="12" spans="1:9" s="109" customFormat="1">
      <c r="A12" s="2640" t="s">
        <v>350</v>
      </c>
      <c r="B12" s="2641" t="s">
        <v>3321</v>
      </c>
      <c r="C12" s="2587">
        <f ca="1">ROUND(IF(B1="",SUMIF('数据-取费表'!C:C,"住宅",IF(F10=100%,'数据-取费表'!M:M,'数据-取费表'!O:O))*F12,IF(INDIRECT("'数据-取费表'!c"&amp;$G$1)="住宅",IF(F10=100%,INDIRECT("'数据-取费表'!m"&amp;$G$1)*F12,INDIRECT("'数据-取费表'!o"&amp;$G$1)*F12),0)),0)</f>
        <v>0</v>
      </c>
      <c r="D12" s="144"/>
      <c r="E12" s="144"/>
      <c r="F12" s="2598">
        <f>'数据-取费表'!B34</f>
        <v>0</v>
      </c>
      <c r="G12" s="135" t="s">
        <v>1475</v>
      </c>
    </row>
    <row r="13" spans="1:9" s="109" customFormat="1">
      <c r="A13" s="2640" t="s">
        <v>3284</v>
      </c>
      <c r="B13" s="2641" t="s">
        <v>3322</v>
      </c>
      <c r="C13" s="2587">
        <f ca="1">C14+C17+C18</f>
        <v>2468</v>
      </c>
      <c r="D13" s="144"/>
      <c r="E13" s="2618"/>
      <c r="F13" s="2619"/>
      <c r="G13" s="156"/>
    </row>
    <row r="14" spans="1:9" s="118" customFormat="1">
      <c r="A14" s="2570" t="s">
        <v>3285</v>
      </c>
      <c r="B14" s="2642" t="s">
        <v>3318</v>
      </c>
      <c r="C14" s="2587">
        <f>IF(G14="已包含在土地购买价格中","0",IF(B1="",'数据-取费表'!B29,IF(G15="全部缴纳",C15+C16,H15)))</f>
        <v>0</v>
      </c>
      <c r="D14" s="2626"/>
      <c r="E14" s="144"/>
      <c r="F14" s="2619"/>
      <c r="G14" s="1364"/>
    </row>
    <row r="15" spans="1:9" s="109" customFormat="1">
      <c r="A15" s="2643" t="s">
        <v>353</v>
      </c>
      <c r="B15" s="2644" t="s">
        <v>1449</v>
      </c>
      <c r="C15" s="2627">
        <f ca="1">ROUND(D15*E15/10000,0)</f>
        <v>0</v>
      </c>
      <c r="D15" s="2627">
        <f ca="1">IF(B1="",'数据-汇总表'!E5,IF(INDIRECT("'数据-取费表'!c"&amp;$G$1)="住宅",INDIRECT("'数据-取费表'!k"&amp;$G$1),0))</f>
        <v>0</v>
      </c>
      <c r="E15" s="2627">
        <f>'数据-取费表'!B27</f>
        <v>0</v>
      </c>
      <c r="F15" s="2619"/>
      <c r="G15" s="1365"/>
      <c r="H15" s="784"/>
      <c r="I15" s="1366" t="s">
        <v>1450</v>
      </c>
    </row>
    <row r="16" spans="1:9" s="109" customFormat="1">
      <c r="A16" s="2643" t="s">
        <v>354</v>
      </c>
      <c r="B16" s="2644" t="s">
        <v>1451</v>
      </c>
      <c r="C16" s="2627">
        <f ca="1">ROUND(D16*E16/10000,0)</f>
        <v>1148</v>
      </c>
      <c r="D16" s="2627">
        <f ca="1">IF(B1="",'数据-汇总表'!E6,IF(INDIRECT("'数据-取费表'!c"&amp;$G$1)="住宅",INDIRECT("'数据-取费表'!s"&amp;$G$1),INDIRECT("'数据-取费表'!k"&amp;$G$1)+INDIRECT("'数据-取费表'!s"&amp;$G$1)))</f>
        <v>57408.26</v>
      </c>
      <c r="E16" s="2627">
        <f>'数据-取费表'!B28</f>
        <v>200</v>
      </c>
      <c r="F16" s="2619"/>
      <c r="G16" s="121"/>
    </row>
    <row r="17" spans="1:7" s="109" customFormat="1">
      <c r="A17" s="2570" t="s">
        <v>3286</v>
      </c>
      <c r="B17" s="2645" t="s">
        <v>3291</v>
      </c>
      <c r="C17" s="2587">
        <f ca="1">IF(G17="已包含在土地取得成本中","0",ROUND(D17*E17/10000,0))</f>
        <v>746</v>
      </c>
      <c r="D17" s="2628">
        <f ca="1">D15+D16</f>
        <v>57408.26</v>
      </c>
      <c r="E17" s="2628">
        <f>'数据-取费表'!B31</f>
        <v>130</v>
      </c>
      <c r="F17" s="2595"/>
      <c r="G17" s="1364"/>
    </row>
    <row r="18" spans="1:7" s="109" customFormat="1">
      <c r="A18" s="2646" t="s">
        <v>3287</v>
      </c>
      <c r="B18" s="2645" t="s">
        <v>1476</v>
      </c>
      <c r="C18" s="2587">
        <f ca="1">ROUND(E18*D18*F10/10000,0)</f>
        <v>1722</v>
      </c>
      <c r="D18" s="2587">
        <f ca="1">D17</f>
        <v>57408.26</v>
      </c>
      <c r="E18" s="2587">
        <f>'数据-取费表'!B35</f>
        <v>300</v>
      </c>
      <c r="F18" s="2598"/>
      <c r="G18" s="156" t="s">
        <v>1477</v>
      </c>
    </row>
    <row r="19" spans="1:7" s="109" customFormat="1">
      <c r="A19" s="2640" t="s">
        <v>352</v>
      </c>
      <c r="B19" s="2641" t="s">
        <v>3323</v>
      </c>
      <c r="C19" s="2587">
        <f ca="1">ROUND(C10*F19,0)</f>
        <v>287</v>
      </c>
      <c r="D19" s="144"/>
      <c r="E19" s="144"/>
      <c r="F19" s="2598">
        <f>'数据-取费表'!B36</f>
        <v>0.01</v>
      </c>
      <c r="G19" s="156" t="s">
        <v>1473</v>
      </c>
    </row>
    <row r="20" spans="1:7" s="109" customFormat="1">
      <c r="A20" s="2640" t="s">
        <v>3288</v>
      </c>
      <c r="B20" s="2641" t="s">
        <v>3324</v>
      </c>
      <c r="C20" s="2587">
        <f ca="1">ROUND(C10*F20,0)</f>
        <v>0</v>
      </c>
      <c r="D20" s="2629"/>
      <c r="E20" s="140"/>
      <c r="F20" s="2598">
        <f>'数据-取费表'!B37</f>
        <v>0</v>
      </c>
      <c r="G20" s="156" t="s">
        <v>1473</v>
      </c>
    </row>
    <row r="21" spans="1:7" s="2599" customFormat="1" ht="15">
      <c r="A21" s="2577" t="s">
        <v>3337</v>
      </c>
      <c r="B21" s="2637" t="s">
        <v>3338</v>
      </c>
      <c r="C21" s="2600">
        <f ca="1">ROUND((C6+C9)*F21,0)</f>
        <v>658</v>
      </c>
      <c r="D21" s="2601"/>
      <c r="E21" s="2601"/>
      <c r="F21" s="2605">
        <f>'数据-取费表'!B38</f>
        <v>0.02</v>
      </c>
      <c r="G21" s="2602" t="s">
        <v>3339</v>
      </c>
    </row>
    <row r="22" spans="1:7" s="2599" customFormat="1" ht="15">
      <c r="A22" s="2577" t="s">
        <v>3340</v>
      </c>
      <c r="B22" s="2637" t="s">
        <v>3341</v>
      </c>
      <c r="C22" s="2603" t="str">
        <f>F22&amp;"V"</f>
        <v>0.02V</v>
      </c>
      <c r="D22" s="296"/>
      <c r="E22" s="2601"/>
      <c r="F22" s="2605">
        <f>'数据-取费表'!B39</f>
        <v>0.02</v>
      </c>
      <c r="G22" s="3643" t="s">
        <v>3681</v>
      </c>
    </row>
    <row r="23" spans="1:7" s="2599" customFormat="1" ht="15">
      <c r="A23" s="2577" t="s">
        <v>3342</v>
      </c>
      <c r="B23" s="2639" t="s">
        <v>3292</v>
      </c>
      <c r="C23" s="2578" t="str">
        <f ca="1">SUM(C24:C25)&amp;"+"&amp;C26&amp;"V"</f>
        <v>1050+0.0006V</v>
      </c>
      <c r="D23" s="2604"/>
      <c r="E23" s="296"/>
      <c r="F23" s="2605">
        <f ca="1">'数据-取费表'!B41</f>
        <v>3.1300000000000001E-2</v>
      </c>
      <c r="G23" s="2602" t="str">
        <f>IF('数据-取费表'!B22&lt;=1,"单利计息","复利计息")</f>
        <v>复利计息</v>
      </c>
    </row>
    <row r="24" spans="1:7" s="109" customFormat="1">
      <c r="A24" s="2647" t="s">
        <v>1453</v>
      </c>
      <c r="B24" s="2645" t="s">
        <v>1454</v>
      </c>
      <c r="C24" s="2593">
        <f ca="1">ROUND(IF('数据-取费表'!B22&lt;=1,C6*F23*'数据-取费表'!B23,C6*(POWER((1+F23),'数据-取费表'!B23)-1)),0)</f>
        <v>0</v>
      </c>
      <c r="D24" s="133"/>
      <c r="E24" s="133"/>
      <c r="F24" s="2594"/>
      <c r="G24" s="135" t="s">
        <v>1455</v>
      </c>
    </row>
    <row r="25" spans="1:7" s="109" customFormat="1">
      <c r="A25" s="2647" t="s">
        <v>1456</v>
      </c>
      <c r="B25" s="2645" t="s">
        <v>3293</v>
      </c>
      <c r="C25" s="2593">
        <f ca="1">ROUND(IF('数据-取费表'!B22&lt;=1,(C9+C21)*F23*'数据-取费表'!B23/2,(C9+C21)*(POWER((1+F23),'数据-取费表'!B23/2)-1)),0)</f>
        <v>1050</v>
      </c>
      <c r="D25" s="133"/>
      <c r="E25" s="133"/>
      <c r="F25" s="2594"/>
      <c r="G25" s="135" t="s">
        <v>1457</v>
      </c>
    </row>
    <row r="26" spans="1:7" s="109" customFormat="1">
      <c r="A26" s="2647" t="s">
        <v>348</v>
      </c>
      <c r="B26" s="2645" t="s">
        <v>1458</v>
      </c>
      <c r="C26" s="2590">
        <f ca="1">ROUND(IF('数据-取费表'!B22&lt;=1,F22*F23*'数据-取费表'!B23/2,F22*(POWER((1+F23),'数据-取费表'!B23/2)-1)),4)</f>
        <v>5.9999999999999995E-4</v>
      </c>
      <c r="D26" s="133"/>
      <c r="E26" s="136"/>
      <c r="F26" s="2594"/>
      <c r="G26" s="138"/>
    </row>
    <row r="27" spans="1:7" s="2599" customFormat="1" ht="15">
      <c r="A27" s="2577" t="s">
        <v>3343</v>
      </c>
      <c r="B27" s="2639" t="s">
        <v>3294</v>
      </c>
      <c r="C27" s="2606" t="str">
        <f ca="1">C28&amp;"+"&amp;C29&amp;"V"</f>
        <v>5033+0.003V</v>
      </c>
      <c r="D27" s="2604"/>
      <c r="E27" s="296"/>
      <c r="F27" s="2607">
        <f ca="1">IF(B1="",'数据-取费表'!Q16,INDIRECT("'数据-取费表'!q"&amp;$G$1))</f>
        <v>0.15</v>
      </c>
      <c r="G27" s="2602" t="s">
        <v>3344</v>
      </c>
    </row>
    <row r="28" spans="1:7" s="109" customFormat="1">
      <c r="A28" s="2640" t="s">
        <v>344</v>
      </c>
      <c r="B28" s="2645" t="s">
        <v>1463</v>
      </c>
      <c r="C28" s="2571">
        <f ca="1">ROUND(C6*F27*'数据-取费表'!B23/'数据-取费表'!B22+(C9+C21)*F27,0)</f>
        <v>5033</v>
      </c>
      <c r="D28" s="130"/>
      <c r="E28" s="131"/>
      <c r="F28" s="2595"/>
      <c r="G28" s="3136" t="s">
        <v>3480</v>
      </c>
    </row>
    <row r="29" spans="1:7" s="109" customFormat="1">
      <c r="A29" s="2640" t="s">
        <v>345</v>
      </c>
      <c r="B29" s="2645" t="s">
        <v>1464</v>
      </c>
      <c r="C29" s="2590">
        <f ca="1">ROUND(F22*F27,4)</f>
        <v>3.0000000000000001E-3</v>
      </c>
      <c r="D29" s="130"/>
      <c r="E29" s="131"/>
      <c r="F29" s="2595"/>
      <c r="G29" s="142"/>
    </row>
    <row r="30" spans="1:7" s="2599" customFormat="1" ht="15">
      <c r="A30" s="2577" t="s">
        <v>3345</v>
      </c>
      <c r="B30" s="2637" t="s">
        <v>3346</v>
      </c>
      <c r="C30" s="2600">
        <v>0</v>
      </c>
      <c r="D30" s="296"/>
      <c r="E30" s="2579"/>
      <c r="F30" s="2605"/>
      <c r="G30" s="2608" t="s">
        <v>3295</v>
      </c>
    </row>
    <row r="31" spans="1:7" s="109" customFormat="1" ht="15.75">
      <c r="A31" s="2648">
        <v>2</v>
      </c>
      <c r="B31" s="2649" t="s">
        <v>3296</v>
      </c>
      <c r="C31" s="2591">
        <f ca="1">C57</f>
        <v>3174</v>
      </c>
      <c r="D31" s="2581"/>
      <c r="E31" s="2581"/>
      <c r="F31" s="2596">
        <f>IF('数据-取费表'!B24=0,'数据-取费表'!N16,1)</f>
        <v>0.92</v>
      </c>
      <c r="G31" s="2582" t="s">
        <v>3817</v>
      </c>
    </row>
    <row r="32" spans="1:7" s="109" customFormat="1" ht="15.75">
      <c r="A32" s="2569" t="s">
        <v>3297</v>
      </c>
      <c r="B32" s="2568" t="s">
        <v>3298</v>
      </c>
      <c r="C32" s="2591">
        <f ca="1">C5-C31</f>
        <v>37419</v>
      </c>
      <c r="D32" s="2581"/>
      <c r="E32" s="2581"/>
      <c r="F32" s="2580"/>
      <c r="G32" s="2583" t="s">
        <v>3330</v>
      </c>
    </row>
    <row r="33" spans="1:7" s="109" customFormat="1" ht="16.5" thickBot="1">
      <c r="A33" s="2650">
        <v>4</v>
      </c>
      <c r="B33" s="2651" t="s">
        <v>3331</v>
      </c>
      <c r="C33" s="2592">
        <f ca="1">ROUND(C32*(1+F33),0)</f>
        <v>40787</v>
      </c>
      <c r="D33" s="2584"/>
      <c r="E33" s="2584"/>
      <c r="F33" s="2597">
        <f>IF(G33="其他类型公式—成本价值×（1+9%）",9%,3%)</f>
        <v>0.09</v>
      </c>
      <c r="G33" s="3644" t="s">
        <v>3689</v>
      </c>
    </row>
    <row r="34" spans="1:7" s="118" customFormat="1"/>
    <row r="35" spans="1:7" s="109" customFormat="1"/>
    <row r="36" spans="1:7" s="109" customFormat="1"/>
    <row r="37" spans="1:7" s="109" customFormat="1"/>
    <row r="38" spans="1:7" ht="15.75" thickBot="1">
      <c r="A38" s="2846" t="s">
        <v>3299</v>
      </c>
      <c r="B38" s="2847"/>
      <c r="C38" s="2847"/>
      <c r="D38" s="2847"/>
      <c r="E38" s="2847"/>
      <c r="F38" s="2847"/>
      <c r="G38" s="2848"/>
    </row>
    <row r="39" spans="1:7" ht="15.75" thickBot="1">
      <c r="A39" s="2849" t="s">
        <v>3326</v>
      </c>
      <c r="B39" s="2850" t="s">
        <v>3327</v>
      </c>
      <c r="C39" s="2851" t="s">
        <v>3962</v>
      </c>
      <c r="D39" s="2852" t="s">
        <v>3453</v>
      </c>
      <c r="E39" s="2853" t="s">
        <v>3454</v>
      </c>
      <c r="F39" s="2853" t="s">
        <v>3455</v>
      </c>
      <c r="G39" s="2854" t="s">
        <v>3328</v>
      </c>
    </row>
    <row r="40" spans="1:7" ht="15">
      <c r="A40" s="2697" t="s">
        <v>3456</v>
      </c>
      <c r="B40" s="2856" t="s">
        <v>3300</v>
      </c>
      <c r="C40" s="2857">
        <f ca="1">SUM(C41:C46)</f>
        <v>32148</v>
      </c>
      <c r="D40" s="2855"/>
      <c r="E40" s="2855"/>
      <c r="F40" s="2855"/>
      <c r="G40" s="4106"/>
    </row>
    <row r="41" spans="1:7" ht="15.75">
      <c r="A41" s="2632" t="s">
        <v>3301</v>
      </c>
      <c r="B41" s="2696" t="str">
        <f t="shared" ref="B41:C43" si="0">B10</f>
        <v xml:space="preserve">  建安费用</v>
      </c>
      <c r="C41" s="2566">
        <f t="shared" ca="1" si="0"/>
        <v>28704</v>
      </c>
      <c r="D41" s="2561"/>
      <c r="E41" s="2561"/>
      <c r="F41" s="2562"/>
      <c r="G41" s="4107"/>
    </row>
    <row r="42" spans="1:7" ht="15.75">
      <c r="A42" s="2632" t="s">
        <v>3302</v>
      </c>
      <c r="B42" s="2696" t="str">
        <f t="shared" si="0"/>
        <v xml:space="preserve">  前期费用</v>
      </c>
      <c r="C42" s="2566">
        <f t="shared" ca="1" si="0"/>
        <v>1435</v>
      </c>
      <c r="D42" s="2561"/>
      <c r="E42" s="2561"/>
      <c r="F42" s="2562"/>
      <c r="G42" s="4107"/>
    </row>
    <row r="43" spans="1:7" ht="15.75">
      <c r="A43" s="2632" t="s">
        <v>3369</v>
      </c>
      <c r="B43" s="2636" t="str">
        <f t="shared" si="0"/>
        <v xml:space="preserve">  公共配套设施费用</v>
      </c>
      <c r="C43" s="2566">
        <f t="shared" ca="1" si="0"/>
        <v>0</v>
      </c>
      <c r="D43" s="2561"/>
      <c r="E43" s="2561"/>
      <c r="F43" s="2562"/>
      <c r="G43" s="4107"/>
    </row>
    <row r="44" spans="1:7" ht="15.75">
      <c r="A44" s="2632" t="s">
        <v>3284</v>
      </c>
      <c r="B44" s="2636" t="str">
        <f>B18</f>
        <v>红线内市政费用</v>
      </c>
      <c r="C44" s="2566">
        <f ca="1">C18</f>
        <v>1722</v>
      </c>
      <c r="D44" s="2561"/>
      <c r="E44" s="2561"/>
      <c r="F44" s="2562"/>
      <c r="G44" s="4107"/>
    </row>
    <row r="45" spans="1:7" ht="15.75">
      <c r="A45" s="2647" t="s">
        <v>3303</v>
      </c>
      <c r="B45" s="2642" t="str">
        <f>B19</f>
        <v xml:space="preserve">  其他工程费</v>
      </c>
      <c r="C45" s="2571">
        <f ca="1">C19</f>
        <v>287</v>
      </c>
      <c r="D45" s="2695"/>
      <c r="E45" s="2695"/>
      <c r="F45" s="2574"/>
      <c r="G45" s="4108"/>
    </row>
    <row r="46" spans="1:7" ht="15.75">
      <c r="A46" s="2647" t="s">
        <v>3368</v>
      </c>
      <c r="B46" s="2642" t="s">
        <v>3304</v>
      </c>
      <c r="C46" s="2571">
        <f ca="1">C20</f>
        <v>0</v>
      </c>
      <c r="D46" s="2695"/>
      <c r="E46" s="2695"/>
      <c r="F46" s="2574"/>
      <c r="G46" s="4108"/>
    </row>
    <row r="47" spans="1:7" ht="15">
      <c r="A47" s="2697" t="s">
        <v>3457</v>
      </c>
      <c r="B47" s="2698" t="s">
        <v>3458</v>
      </c>
      <c r="C47" s="2699">
        <f ca="1">ROUND(C40*F47,0)</f>
        <v>643</v>
      </c>
      <c r="D47" s="2700"/>
      <c r="E47" s="2700"/>
      <c r="F47" s="2701">
        <f>F21</f>
        <v>0.02</v>
      </c>
      <c r="G47" s="2702" t="s">
        <v>3459</v>
      </c>
    </row>
    <row r="48" spans="1:7" ht="15">
      <c r="A48" s="2697" t="s">
        <v>3460</v>
      </c>
      <c r="B48" s="2698" t="s">
        <v>3461</v>
      </c>
      <c r="C48" s="2703" t="str">
        <f>F48&amp;"V建1"</f>
        <v>0.02V建1</v>
      </c>
      <c r="D48" s="2700"/>
      <c r="E48" s="2700"/>
      <c r="F48" s="2701">
        <f>F22</f>
        <v>0.02</v>
      </c>
      <c r="G48" s="2702" t="s">
        <v>3462</v>
      </c>
    </row>
    <row r="49" spans="1:7" ht="15">
      <c r="A49" s="2697" t="s">
        <v>3463</v>
      </c>
      <c r="B49" s="2704" t="s">
        <v>3367</v>
      </c>
      <c r="C49" s="2600" t="str">
        <f ca="1">C50&amp;"+"&amp;C51&amp;"V建1"</f>
        <v>1026+0.0006V建1</v>
      </c>
      <c r="D49" s="296"/>
      <c r="E49" s="296"/>
      <c r="F49" s="2714">
        <f ca="1">F23</f>
        <v>3.1300000000000001E-2</v>
      </c>
      <c r="G49" s="4109" t="str">
        <f>IF('数据-取费表'!B22&lt;=1,"单利计息","复利计息")</f>
        <v>复利计息</v>
      </c>
    </row>
    <row r="50" spans="1:7">
      <c r="A50" s="2632" t="s">
        <v>3301</v>
      </c>
      <c r="B50" s="2635" t="s">
        <v>3371</v>
      </c>
      <c r="C50" s="2721">
        <f ca="1">ROUND(IF('数据-取费表'!B22&lt;=1,(C40+C47)*F49*'数据-取费表'!B22/2,(C40+C47)*(POWER((1+F49),'数据-取费表'!B22/2)-1)),0)</f>
        <v>1026</v>
      </c>
      <c r="D50" s="1037"/>
      <c r="E50" s="1037"/>
      <c r="F50" s="1020"/>
      <c r="G50" s="4547" t="s">
        <v>3317</v>
      </c>
    </row>
    <row r="51" spans="1:7">
      <c r="A51" s="2632" t="s">
        <v>3302</v>
      </c>
      <c r="B51" s="2636" t="s">
        <v>3307</v>
      </c>
      <c r="C51" s="2722">
        <f ca="1">ROUND(IF('数据-取费表'!B22&lt;=1,F48*F23*'数据-取费表'!B22/2,F48*(POWER((1+F23),'数据-取费表'!B22/2)-1)),4)</f>
        <v>5.9999999999999995E-4</v>
      </c>
      <c r="D51" s="1037"/>
      <c r="E51" s="1037"/>
      <c r="F51" s="1020"/>
      <c r="G51" s="4548"/>
    </row>
    <row r="52" spans="1:7" ht="15">
      <c r="A52" s="2697" t="s">
        <v>3464</v>
      </c>
      <c r="B52" s="2706" t="s">
        <v>3308</v>
      </c>
      <c r="C52" s="2707" t="str">
        <f ca="1">C53&amp;"+"&amp;C54&amp;"V建1"</f>
        <v>4919+0.003V建1</v>
      </c>
      <c r="D52" s="2708"/>
      <c r="E52" s="2700"/>
      <c r="F52" s="2709">
        <f ca="1">F27</f>
        <v>0.15</v>
      </c>
      <c r="G52" s="2710" t="s">
        <v>3465</v>
      </c>
    </row>
    <row r="53" spans="1:7">
      <c r="A53" s="2632" t="s">
        <v>3305</v>
      </c>
      <c r="B53" s="2635" t="s">
        <v>3309</v>
      </c>
      <c r="C53" s="2566">
        <f ca="1">ROUND((C40+C47)*F27,0)</f>
        <v>4919</v>
      </c>
      <c r="D53" s="2567"/>
      <c r="E53" s="2563"/>
      <c r="F53" s="2564"/>
      <c r="G53" s="2565"/>
    </row>
    <row r="54" spans="1:7">
      <c r="A54" s="2632" t="s">
        <v>3306</v>
      </c>
      <c r="B54" s="2635" t="s">
        <v>3310</v>
      </c>
      <c r="C54" s="2631">
        <f ca="1">ROUND(F48*F27,4)</f>
        <v>3.0000000000000001E-3</v>
      </c>
      <c r="D54" s="2567"/>
      <c r="E54" s="2563"/>
      <c r="F54" s="2564"/>
      <c r="G54" s="2565"/>
    </row>
    <row r="55" spans="1:7" ht="15">
      <c r="A55" s="2577" t="s">
        <v>3466</v>
      </c>
      <c r="B55" s="2711" t="s">
        <v>3467</v>
      </c>
      <c r="C55" s="2712">
        <v>0</v>
      </c>
      <c r="D55" s="2604"/>
      <c r="E55" s="296"/>
      <c r="F55" s="2705"/>
      <c r="G55" s="2713" t="s">
        <v>3313</v>
      </c>
    </row>
    <row r="56" spans="1:7" ht="16.5">
      <c r="A56" s="2577" t="s">
        <v>3472</v>
      </c>
      <c r="B56" s="2711" t="s">
        <v>3468</v>
      </c>
      <c r="C56" s="2600">
        <f ca="1">ROUND((C40+C47+C50+C53)/(1-F48-C51-C54),0)</f>
        <v>39672</v>
      </c>
      <c r="D56" s="296"/>
      <c r="E56" s="296"/>
      <c r="F56" s="2714"/>
      <c r="G56" s="2713" t="s">
        <v>3314</v>
      </c>
    </row>
    <row r="57" spans="1:7" ht="15">
      <c r="A57" s="2577" t="s">
        <v>3433</v>
      </c>
      <c r="B57" s="2715" t="s">
        <v>3311</v>
      </c>
      <c r="C57" s="2600">
        <f ca="1">ROUND(C56*(1-F57),0)</f>
        <v>3174</v>
      </c>
      <c r="D57" s="296"/>
      <c r="E57" s="296"/>
      <c r="F57" s="2714">
        <f>F31</f>
        <v>0.92</v>
      </c>
      <c r="G57" s="2713" t="s">
        <v>3315</v>
      </c>
    </row>
    <row r="58" spans="1:7" ht="16.5">
      <c r="A58" s="2577" t="s">
        <v>3469</v>
      </c>
      <c r="B58" s="2711" t="s">
        <v>3470</v>
      </c>
      <c r="C58" s="2600">
        <f ca="1">C56-C57</f>
        <v>36498</v>
      </c>
      <c r="D58" s="296"/>
      <c r="E58" s="296"/>
      <c r="F58" s="2714"/>
      <c r="G58" s="2713" t="s">
        <v>3316</v>
      </c>
    </row>
    <row r="59" spans="1:7" ht="15.75" thickBot="1">
      <c r="A59" s="4110" t="s">
        <v>3370</v>
      </c>
      <c r="B59" s="4111" t="s">
        <v>3312</v>
      </c>
      <c r="C59" s="4112">
        <f ca="1">ROUND(C58*(1+F59),0)</f>
        <v>39783</v>
      </c>
      <c r="D59" s="4113"/>
      <c r="E59" s="4113"/>
      <c r="F59" s="4114">
        <f>F33</f>
        <v>0.09</v>
      </c>
      <c r="G59" s="4115" t="s">
        <v>3471</v>
      </c>
    </row>
    <row r="60" spans="1:7" ht="14.25">
      <c r="A60" s="2559"/>
      <c r="B60" s="2560"/>
    </row>
    <row r="62" spans="1:7" ht="21" customHeight="1">
      <c r="B62" s="2630" t="s">
        <v>1503</v>
      </c>
      <c r="C62" s="166"/>
    </row>
    <row r="63" spans="1:7" ht="21" customHeight="1">
      <c r="B63" s="55" t="s">
        <v>788</v>
      </c>
      <c r="C63" s="4186">
        <f ca="1">1-C64</f>
        <v>2.5000000000000022E-2</v>
      </c>
    </row>
    <row r="64" spans="1:7" ht="21" customHeight="1">
      <c r="B64" s="55" t="s">
        <v>789</v>
      </c>
      <c r="C64" s="4187">
        <f ca="1">ROUND(C58/C32,3)</f>
        <v>0.97499999999999998</v>
      </c>
      <c r="D64" s="164" t="s">
        <v>3372</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B10" sqref="B10"/>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1432</v>
      </c>
      <c r="B1" s="2905"/>
      <c r="C1" s="3430"/>
      <c r="D1" s="1367" t="s">
        <v>1504</v>
      </c>
      <c r="E1" s="93"/>
      <c r="F1" s="93"/>
      <c r="G1" s="778">
        <f>MATCH(B1,'数据-取费表'!A6:A16,0)+5</f>
        <v>10</v>
      </c>
      <c r="H1" s="3124" t="str">
        <f>IF(ISERROR(FIND("住宅",B1)),"非住宅","住宅")</f>
        <v>非住宅</v>
      </c>
    </row>
    <row r="2" spans="1:10" s="95" customFormat="1" ht="15.75">
      <c r="A2" s="96" t="s">
        <v>1433</v>
      </c>
      <c r="B2" s="3790">
        <f ca="1">ROUND(D3/10000,4)</f>
        <v>37420.138200000001</v>
      </c>
      <c r="C2" s="94" t="s">
        <v>1434</v>
      </c>
      <c r="D2" s="1361" t="s">
        <v>41</v>
      </c>
      <c r="E2" s="2574">
        <f ca="1">IF(D2="——",0,SUMIF(INDIRECT("'"&amp;G2&amp;"'"&amp;"!A:A"),"承租人权益价值",INDIRECT("'"&amp;G2&amp;"'"&amp;"!c:c")))</f>
        <v>0</v>
      </c>
      <c r="F2" s="1362" t="s">
        <v>1434</v>
      </c>
      <c r="G2" s="1363"/>
    </row>
    <row r="3" spans="1:10" s="95" customFormat="1" ht="16.5" thickBot="1">
      <c r="A3" s="98" t="s">
        <v>673</v>
      </c>
      <c r="B3" s="2589">
        <f ca="1">ROUND(D3/(IF(B1="",'数据-汇总表'!E3,INDIRECT("'数据-取费表'!k"&amp;$G$1))),0)</f>
        <v>6518</v>
      </c>
      <c r="C3" s="94" t="s">
        <v>1436</v>
      </c>
      <c r="D3" s="94">
        <f ca="1">IF(C1="含税",E2+C33,E2+C32)</f>
        <v>374201382</v>
      </c>
      <c r="E3" s="2575"/>
      <c r="F3" s="94"/>
      <c r="G3" s="94"/>
    </row>
    <row r="4" spans="1:10" s="95" customFormat="1" ht="16.5" thickBot="1">
      <c r="A4" s="2633" t="s">
        <v>3326</v>
      </c>
      <c r="B4" s="2634" t="s">
        <v>3327</v>
      </c>
      <c r="C4" s="2572" t="s">
        <v>3962</v>
      </c>
      <c r="D4" s="2609" t="s">
        <v>3332</v>
      </c>
      <c r="E4" s="2610" t="s">
        <v>3333</v>
      </c>
      <c r="F4" s="2610" t="s">
        <v>3334</v>
      </c>
      <c r="G4" s="2573" t="s">
        <v>3328</v>
      </c>
    </row>
    <row r="5" spans="1:10" s="103" customFormat="1" ht="15.75">
      <c r="A5" s="2611" t="s">
        <v>3325</v>
      </c>
      <c r="B5" s="2612" t="s">
        <v>3329</v>
      </c>
      <c r="C5" s="2585">
        <f ca="1">ROUND((C6+C9+C21+C24+C25+C28)/(1-F22-C26-C29),0)</f>
        <v>405939780</v>
      </c>
      <c r="D5" s="2613"/>
      <c r="E5" s="2613"/>
      <c r="F5" s="2613"/>
      <c r="G5" s="2770" t="s">
        <v>3473</v>
      </c>
      <c r="J5" s="95"/>
    </row>
    <row r="6" spans="1:10" s="2599" customFormat="1" ht="15">
      <c r="A6" s="2577" t="s">
        <v>3335</v>
      </c>
      <c r="B6" s="2637" t="s">
        <v>3336</v>
      </c>
      <c r="C6" s="2614">
        <f>C7+C8</f>
        <v>0</v>
      </c>
      <c r="D6" s="2576"/>
      <c r="E6" s="2576"/>
      <c r="F6" s="2576"/>
      <c r="G6" s="2615"/>
      <c r="J6" s="95"/>
    </row>
    <row r="7" spans="1:10" s="109" customFormat="1" ht="15">
      <c r="A7" s="2616" t="s">
        <v>344</v>
      </c>
      <c r="B7" s="2638" t="s">
        <v>1444</v>
      </c>
      <c r="C7" s="3125"/>
      <c r="D7" s="2617"/>
      <c r="E7" s="2618"/>
      <c r="F7" s="2618"/>
      <c r="G7" s="156"/>
      <c r="J7" s="95"/>
    </row>
    <row r="8" spans="1:10" s="109" customFormat="1" ht="15">
      <c r="A8" s="2616" t="s">
        <v>345</v>
      </c>
      <c r="B8" s="2638" t="s">
        <v>1446</v>
      </c>
      <c r="C8" s="2587">
        <f>ROUND(C7*F8,0)</f>
        <v>0</v>
      </c>
      <c r="D8" s="144"/>
      <c r="E8" s="2618"/>
      <c r="F8" s="2619">
        <f>IF(项目基本情况!B8="出让",0,'数据-取费表'!B49+'数据-取费表'!B50)</f>
        <v>3.0499999999999999E-2</v>
      </c>
      <c r="G8" s="156"/>
      <c r="J8" s="95"/>
    </row>
    <row r="9" spans="1:10" s="2599" customFormat="1" ht="15">
      <c r="A9" s="2620" t="s">
        <v>336</v>
      </c>
      <c r="B9" s="2639" t="s">
        <v>3283</v>
      </c>
      <c r="C9" s="2600">
        <f ca="1">C10+C11+C12+C13+C19+C20</f>
        <v>328949330</v>
      </c>
      <c r="D9" s="2621"/>
      <c r="E9" s="2622"/>
      <c r="F9" s="2623"/>
      <c r="G9" s="2624"/>
      <c r="J9" s="95"/>
    </row>
    <row r="10" spans="1:10" s="109" customFormat="1" ht="15">
      <c r="A10" s="2640" t="s">
        <v>344</v>
      </c>
      <c r="B10" s="2641" t="s">
        <v>3319</v>
      </c>
      <c r="C10" s="2587">
        <f ca="1">ROUND(IF(B1="",SUMPRODUCT('数据-取费表'!K6:K14,'数据-取费表'!L6:L14),INDIRECT("'数据-取费表'!l"&amp;$G$1)*INDIRECT("'数据-取费表'!k"&amp;$G$1)+'数据-取费表'!L14*INDIRECT("'数据-取费表'!S"&amp;$G$1)),0)</f>
        <v>287041300</v>
      </c>
      <c r="D10" s="2617"/>
      <c r="E10" s="144"/>
      <c r="F10" s="2625">
        <f ca="1">IF('数据-取费表'!B24=0,1,IF(B1="",'数据-取费表'!N16,INDIRECT("'数据-取费表'!n"&amp;$G$1)))</f>
        <v>1</v>
      </c>
      <c r="G10" s="156" t="s">
        <v>1471</v>
      </c>
      <c r="J10" s="95"/>
    </row>
    <row r="11" spans="1:10" s="109" customFormat="1" ht="15">
      <c r="A11" s="2640" t="s">
        <v>349</v>
      </c>
      <c r="B11" s="2641" t="s">
        <v>3320</v>
      </c>
      <c r="C11" s="2587">
        <f ca="1">ROUND(C10*F11,0)</f>
        <v>14352065</v>
      </c>
      <c r="D11" s="144"/>
      <c r="E11" s="144"/>
      <c r="F11" s="2598">
        <f>'数据-取费表'!B33</f>
        <v>0.05</v>
      </c>
      <c r="G11" s="156" t="s">
        <v>1473</v>
      </c>
      <c r="J11" s="95"/>
    </row>
    <row r="12" spans="1:10" s="109" customFormat="1" ht="15">
      <c r="A12" s="2640" t="s">
        <v>350</v>
      </c>
      <c r="B12" s="2641" t="s">
        <v>3321</v>
      </c>
      <c r="C12" s="2587">
        <f ca="1">ROUND(IF(B1="",SUMIF('数据-取费表'!C:C,"住宅",IF(F10=100%,'数据-取费表'!M:M,'数据-取费表'!O:O))*F12,IF(INDIRECT("'数据-取费表'!c"&amp;$G$1)="住宅",IF(F10=100%,INDIRECT("'数据-取费表'!ap"&amp;$G$1)*F12,INDIRECT("'数据-取费表'!ap"&amp;$G$1)*INDIRECT("'数据-取费表'!n"&amp;$G$1)*F12),0)),0)</f>
        <v>0</v>
      </c>
      <c r="D12" s="144"/>
      <c r="E12" s="144"/>
      <c r="F12" s="2598">
        <f>'数据-取费表'!B34</f>
        <v>0</v>
      </c>
      <c r="G12" s="135" t="s">
        <v>1475</v>
      </c>
      <c r="J12" s="95"/>
    </row>
    <row r="13" spans="1:10" s="109" customFormat="1" ht="15">
      <c r="A13" s="2640" t="s">
        <v>3284</v>
      </c>
      <c r="B13" s="2641" t="s">
        <v>3322</v>
      </c>
      <c r="C13" s="2587">
        <f ca="1">C14+C17+C18</f>
        <v>24685552</v>
      </c>
      <c r="D13" s="144"/>
      <c r="E13" s="2618"/>
      <c r="F13" s="2619"/>
      <c r="G13" s="156"/>
      <c r="J13" s="95"/>
    </row>
    <row r="14" spans="1:10" s="118" customFormat="1" ht="15">
      <c r="A14" s="2570" t="s">
        <v>3285</v>
      </c>
      <c r="B14" s="2642" t="s">
        <v>3318</v>
      </c>
      <c r="C14" s="2587">
        <f>IF(G14="已包含在土地购买价格中","0",IF(B1="",'数据-取费表'!B29,IF(G15="全部缴纳",C15+C16,H15)))</f>
        <v>0</v>
      </c>
      <c r="D14" s="2626"/>
      <c r="E14" s="144"/>
      <c r="F14" s="2619"/>
      <c r="G14" s="1364"/>
      <c r="J14" s="95"/>
    </row>
    <row r="15" spans="1:10" s="109" customFormat="1" ht="15">
      <c r="A15" s="2643" t="s">
        <v>353</v>
      </c>
      <c r="B15" s="2644" t="s">
        <v>1449</v>
      </c>
      <c r="C15" s="2627">
        <f ca="1">ROUND(D15*E15,0)</f>
        <v>0</v>
      </c>
      <c r="D15" s="2627">
        <f ca="1">IF(B1="",'数据-汇总表'!E5,IF(INDIRECT("'数据-取费表'!c"&amp;$G$1)="住宅",INDIRECT("'数据-取费表'!k"&amp;$G$1),0))</f>
        <v>0</v>
      </c>
      <c r="E15" s="2627">
        <f>'数据-取费表'!B27</f>
        <v>0</v>
      </c>
      <c r="F15" s="2619"/>
      <c r="G15" s="1365"/>
      <c r="H15" s="784"/>
      <c r="I15" s="1366" t="s">
        <v>1450</v>
      </c>
      <c r="J15" s="95"/>
    </row>
    <row r="16" spans="1:10" s="109" customFormat="1" ht="15">
      <c r="A16" s="2643" t="s">
        <v>354</v>
      </c>
      <c r="B16" s="2644" t="s">
        <v>1451</v>
      </c>
      <c r="C16" s="2627">
        <f ca="1">ROUND(D16*E16,0)</f>
        <v>11481652</v>
      </c>
      <c r="D16" s="2627">
        <f ca="1">IF(B1="",'数据-汇总表'!E6,IF(INDIRECT("'数据-取费表'!c"&amp;$G$1)="住宅",INDIRECT("'数据-取费表'!s"&amp;$G$1),INDIRECT("'数据-取费表'!k"&amp;$G$1)+INDIRECT("'数据-取费表'!s"&amp;$G$1)))</f>
        <v>57408.26</v>
      </c>
      <c r="E16" s="2627">
        <f>'数据-取费表'!B28</f>
        <v>200</v>
      </c>
      <c r="F16" s="2619"/>
      <c r="G16" s="121"/>
      <c r="J16" s="95"/>
    </row>
    <row r="17" spans="1:10" s="109" customFormat="1" ht="15">
      <c r="A17" s="2570" t="s">
        <v>3286</v>
      </c>
      <c r="B17" s="2645" t="s">
        <v>3291</v>
      </c>
      <c r="C17" s="2587">
        <f ca="1">IF(G17="已包含在土地取得成本中","0",ROUND(D17*E17,0))</f>
        <v>7463074</v>
      </c>
      <c r="D17" s="2628">
        <f ca="1">D15+D16</f>
        <v>57408.26</v>
      </c>
      <c r="E17" s="2628">
        <f>'数据-取费表'!B31</f>
        <v>130</v>
      </c>
      <c r="F17" s="2595"/>
      <c r="G17" s="1364"/>
      <c r="J17" s="95"/>
    </row>
    <row r="18" spans="1:10" s="109" customFormat="1" ht="15">
      <c r="A18" s="2646" t="s">
        <v>3287</v>
      </c>
      <c r="B18" s="2645" t="s">
        <v>1476</v>
      </c>
      <c r="C18" s="2587">
        <f ca="1">ROUND(E18*D18*F10,0)</f>
        <v>17222478</v>
      </c>
      <c r="D18" s="2587">
        <f ca="1">D17</f>
        <v>57408.26</v>
      </c>
      <c r="E18" s="2587">
        <f>'数据-取费表'!B35</f>
        <v>300</v>
      </c>
      <c r="F18" s="2598"/>
      <c r="G18" s="156" t="s">
        <v>1477</v>
      </c>
      <c r="J18" s="95"/>
    </row>
    <row r="19" spans="1:10" s="109" customFormat="1" ht="15">
      <c r="A19" s="2640" t="s">
        <v>352</v>
      </c>
      <c r="B19" s="2641" t="s">
        <v>3323</v>
      </c>
      <c r="C19" s="2587">
        <f ca="1">ROUND(C10*F19,0)</f>
        <v>2870413</v>
      </c>
      <c r="D19" s="144"/>
      <c r="E19" s="144"/>
      <c r="F19" s="2598">
        <f>'数据-取费表'!B36</f>
        <v>0.01</v>
      </c>
      <c r="G19" s="156" t="s">
        <v>1473</v>
      </c>
      <c r="J19" s="95"/>
    </row>
    <row r="20" spans="1:10" s="109" customFormat="1" ht="15">
      <c r="A20" s="2640" t="s">
        <v>3288</v>
      </c>
      <c r="B20" s="2641" t="s">
        <v>3324</v>
      </c>
      <c r="C20" s="2587">
        <f ca="1">ROUND(C10*F20,0)</f>
        <v>0</v>
      </c>
      <c r="D20" s="2629"/>
      <c r="E20" s="140"/>
      <c r="F20" s="2598">
        <f>'数据-取费表'!B37</f>
        <v>0</v>
      </c>
      <c r="G20" s="156" t="s">
        <v>1473</v>
      </c>
      <c r="J20" s="95"/>
    </row>
    <row r="21" spans="1:10" s="2599" customFormat="1" ht="15">
      <c r="A21" s="2577" t="s">
        <v>3337</v>
      </c>
      <c r="B21" s="2637" t="s">
        <v>3338</v>
      </c>
      <c r="C21" s="2600">
        <f ca="1">ROUND((C6+C9)*F21,0)</f>
        <v>6578987</v>
      </c>
      <c r="D21" s="2601"/>
      <c r="E21" s="2601"/>
      <c r="F21" s="2605">
        <f>'数据-取费表'!B38</f>
        <v>0.02</v>
      </c>
      <c r="G21" s="2602" t="s">
        <v>3339</v>
      </c>
      <c r="J21" s="95"/>
    </row>
    <row r="22" spans="1:10" s="2599" customFormat="1" ht="15">
      <c r="A22" s="2577" t="s">
        <v>3340</v>
      </c>
      <c r="B22" s="2637" t="s">
        <v>3341</v>
      </c>
      <c r="C22" s="2603" t="str">
        <f>F22&amp;"V"</f>
        <v>0.02V</v>
      </c>
      <c r="D22" s="296"/>
      <c r="E22" s="2601"/>
      <c r="F22" s="2605">
        <f>'数据-取费表'!B39</f>
        <v>0.02</v>
      </c>
      <c r="G22" s="3643" t="s">
        <v>3681</v>
      </c>
      <c r="J22" s="95"/>
    </row>
    <row r="23" spans="1:10" s="2599" customFormat="1" ht="15">
      <c r="A23" s="2577" t="s">
        <v>3342</v>
      </c>
      <c r="B23" s="2639" t="s">
        <v>3292</v>
      </c>
      <c r="C23" s="2578" t="str">
        <f ca="1">SUM(C24:C25)&amp;"+"&amp;C26&amp;"V"</f>
        <v>10502036+0.0006V</v>
      </c>
      <c r="D23" s="2604"/>
      <c r="E23" s="296"/>
      <c r="F23" s="2605">
        <f ca="1">'数据-取费表'!B41</f>
        <v>3.1300000000000001E-2</v>
      </c>
      <c r="G23" s="2602" t="str">
        <f>IF('数据-取费表'!B22&lt;=1,"单利计息","复利计息")</f>
        <v>复利计息</v>
      </c>
      <c r="J23" s="95"/>
    </row>
    <row r="24" spans="1:10" s="109" customFormat="1" ht="15">
      <c r="A24" s="2647" t="s">
        <v>344</v>
      </c>
      <c r="B24" s="2645" t="s">
        <v>1454</v>
      </c>
      <c r="C24" s="2593">
        <f ca="1">ROUND(IF('数据-取费表'!B22&lt;=1,C6*F23*'数据-取费表'!B23,C6*(POWER((1+F23),'数据-取费表'!B23)-1)),0)</f>
        <v>0</v>
      </c>
      <c r="D24" s="133"/>
      <c r="E24" s="133"/>
      <c r="F24" s="2594"/>
      <c r="G24" s="135" t="s">
        <v>1455</v>
      </c>
      <c r="J24" s="95"/>
    </row>
    <row r="25" spans="1:10" s="109" customFormat="1" ht="15">
      <c r="A25" s="2647" t="s">
        <v>345</v>
      </c>
      <c r="B25" s="2645" t="s">
        <v>3293</v>
      </c>
      <c r="C25" s="2593">
        <f ca="1">ROUND(IF('数据-取费表'!B22&lt;=1,(C9+C21)*F23*'数据-取费表'!B23/2,(C9+C21)*(POWER((1+F23),'数据-取费表'!B23/2)-1)),0)</f>
        <v>10502036</v>
      </c>
      <c r="D25" s="133"/>
      <c r="E25" s="133"/>
      <c r="F25" s="2594"/>
      <c r="G25" s="4032" t="s">
        <v>3816</v>
      </c>
      <c r="J25" s="95"/>
    </row>
    <row r="26" spans="1:10" s="109" customFormat="1" ht="15">
      <c r="A26" s="2647" t="s">
        <v>348</v>
      </c>
      <c r="B26" s="2645" t="s">
        <v>1458</v>
      </c>
      <c r="C26" s="2590">
        <f ca="1">ROUND(IF('数据-取费表'!B22&lt;=1,F22*F23*'数据-取费表'!B23/2,F22*(POWER((1+F23),'数据-取费表'!B23/2)-1)),4)</f>
        <v>5.9999999999999995E-4</v>
      </c>
      <c r="D26" s="133"/>
      <c r="E26" s="136"/>
      <c r="F26" s="2594"/>
      <c r="G26" s="138"/>
      <c r="J26" s="95"/>
    </row>
    <row r="27" spans="1:10" s="2599" customFormat="1" ht="15">
      <c r="A27" s="2577" t="s">
        <v>3343</v>
      </c>
      <c r="B27" s="2639" t="s">
        <v>3294</v>
      </c>
      <c r="C27" s="2606" t="str">
        <f ca="1">C28&amp;"+"&amp;C29&amp;"V"</f>
        <v>50329248+0.003V</v>
      </c>
      <c r="D27" s="2604"/>
      <c r="E27" s="296"/>
      <c r="F27" s="2607">
        <f ca="1">IF(B1="",'数据-取费表'!Q16,INDIRECT("'数据-取费表'!q"&amp;$G$1))</f>
        <v>0.15</v>
      </c>
      <c r="G27" s="2602" t="s">
        <v>3344</v>
      </c>
      <c r="J27" s="95"/>
    </row>
    <row r="28" spans="1:10" s="109" customFormat="1" ht="15">
      <c r="A28" s="2640" t="s">
        <v>344</v>
      </c>
      <c r="B28" s="2645" t="s">
        <v>1463</v>
      </c>
      <c r="C28" s="2571">
        <f ca="1">ROUND(C6*F27*'数据-取费表'!B23/'数据-取费表'!B22+(C9+C21)*F27,0)</f>
        <v>50329248</v>
      </c>
      <c r="D28" s="130"/>
      <c r="E28" s="131"/>
      <c r="F28" s="2595"/>
      <c r="G28" s="142"/>
      <c r="J28" s="95"/>
    </row>
    <row r="29" spans="1:10" s="109" customFormat="1" ht="15">
      <c r="A29" s="2640" t="s">
        <v>345</v>
      </c>
      <c r="B29" s="2645" t="s">
        <v>1464</v>
      </c>
      <c r="C29" s="2590">
        <f ca="1">ROUND(F22*F27,4)</f>
        <v>3.0000000000000001E-3</v>
      </c>
      <c r="D29" s="130"/>
      <c r="E29" s="131"/>
      <c r="F29" s="2595"/>
      <c r="G29" s="142"/>
      <c r="J29" s="95"/>
    </row>
    <row r="30" spans="1:10" s="2599" customFormat="1" ht="15">
      <c r="A30" s="2577" t="s">
        <v>3345</v>
      </c>
      <c r="B30" s="2637" t="s">
        <v>3346</v>
      </c>
      <c r="C30" s="2600">
        <v>0</v>
      </c>
      <c r="D30" s="296"/>
      <c r="E30" s="2579"/>
      <c r="F30" s="2605"/>
      <c r="G30" s="2608" t="s">
        <v>3295</v>
      </c>
      <c r="J30" s="95"/>
    </row>
    <row r="31" spans="1:10" s="109" customFormat="1" ht="15.75">
      <c r="A31" s="2648">
        <v>2</v>
      </c>
      <c r="B31" s="2649" t="s">
        <v>3296</v>
      </c>
      <c r="C31" s="2591">
        <f ca="1">C57</f>
        <v>31738398</v>
      </c>
      <c r="D31" s="2581"/>
      <c r="E31" s="2581"/>
      <c r="F31" s="2596">
        <f>IF('数据-取费表'!B24=0,'数据-取费表'!N16,1)</f>
        <v>0.92</v>
      </c>
      <c r="G31" s="2582" t="s">
        <v>3815</v>
      </c>
      <c r="J31" s="95"/>
    </row>
    <row r="32" spans="1:10" s="109" customFormat="1" ht="15.75">
      <c r="A32" s="2569" t="s">
        <v>3297</v>
      </c>
      <c r="B32" s="2568" t="s">
        <v>3298</v>
      </c>
      <c r="C32" s="2591">
        <f ca="1">C5-C31</f>
        <v>374201382</v>
      </c>
      <c r="D32" s="2581"/>
      <c r="E32" s="2581"/>
      <c r="F32" s="2580"/>
      <c r="G32" s="2583" t="s">
        <v>3330</v>
      </c>
      <c r="J32" s="95"/>
    </row>
    <row r="33" spans="1:10" s="109" customFormat="1" ht="16.5" thickBot="1">
      <c r="A33" s="2650">
        <v>4</v>
      </c>
      <c r="B33" s="2651" t="s">
        <v>3331</v>
      </c>
      <c r="C33" s="2592">
        <f ca="1">ROUND(C32*(1+F33),0)</f>
        <v>407879506</v>
      </c>
      <c r="D33" s="2584"/>
      <c r="E33" s="2584"/>
      <c r="F33" s="2597">
        <f>IF(G33="其他类型公式—成本价值×（1+9%）",9%,3%)</f>
        <v>0.09</v>
      </c>
      <c r="G33" s="3644" t="s">
        <v>3689</v>
      </c>
      <c r="J33" s="95"/>
    </row>
    <row r="34" spans="1:10" s="118" customFormat="1" ht="15">
      <c r="J34" s="95"/>
    </row>
    <row r="35" spans="1:10" s="109" customFormat="1"/>
    <row r="36" spans="1:10" s="109" customFormat="1"/>
    <row r="37" spans="1:10" s="109" customFormat="1"/>
    <row r="38" spans="1:10" ht="15.75" thickBot="1">
      <c r="A38" s="2846" t="s">
        <v>3299</v>
      </c>
      <c r="B38" s="2847"/>
      <c r="C38" s="2847"/>
      <c r="D38" s="2847"/>
      <c r="E38" s="2847"/>
      <c r="F38" s="2847"/>
      <c r="G38" s="2848"/>
    </row>
    <row r="39" spans="1:10" ht="15.75" thickBot="1">
      <c r="A39" s="2849" t="s">
        <v>3326</v>
      </c>
      <c r="B39" s="2850" t="s">
        <v>3327</v>
      </c>
      <c r="C39" s="2851" t="s">
        <v>3962</v>
      </c>
      <c r="D39" s="2852" t="s">
        <v>3453</v>
      </c>
      <c r="E39" s="2853" t="s">
        <v>3454</v>
      </c>
      <c r="F39" s="2853" t="s">
        <v>3455</v>
      </c>
      <c r="G39" s="2854" t="s">
        <v>3328</v>
      </c>
    </row>
    <row r="40" spans="1:10" ht="15">
      <c r="A40" s="2855" t="s">
        <v>3456</v>
      </c>
      <c r="B40" s="2856" t="s">
        <v>3300</v>
      </c>
      <c r="C40" s="2857">
        <f ca="1">SUM(C41:C46)</f>
        <v>321486256</v>
      </c>
      <c r="D40" s="2855"/>
      <c r="E40" s="2855"/>
      <c r="F40" s="2855"/>
      <c r="G40" s="2855"/>
    </row>
    <row r="41" spans="1:10" ht="15.75">
      <c r="A41" s="2632" t="s">
        <v>3301</v>
      </c>
      <c r="B41" s="2696" t="str">
        <f t="shared" ref="B41:C43" si="0">B10</f>
        <v xml:space="preserve">  建安费用</v>
      </c>
      <c r="C41" s="2566">
        <f t="shared" ca="1" si="0"/>
        <v>287041300</v>
      </c>
      <c r="D41" s="2561"/>
      <c r="E41" s="2561"/>
      <c r="F41" s="2562"/>
      <c r="G41" s="2562"/>
    </row>
    <row r="42" spans="1:10" ht="15.75">
      <c r="A42" s="2632" t="s">
        <v>3302</v>
      </c>
      <c r="B42" s="2696" t="str">
        <f t="shared" si="0"/>
        <v xml:space="preserve">  前期费用</v>
      </c>
      <c r="C42" s="2566">
        <f t="shared" ca="1" si="0"/>
        <v>14352065</v>
      </c>
      <c r="D42" s="2561"/>
      <c r="E42" s="2561"/>
      <c r="F42" s="2562"/>
      <c r="G42" s="2562"/>
    </row>
    <row r="43" spans="1:10" ht="15.75">
      <c r="A43" s="2632" t="s">
        <v>3369</v>
      </c>
      <c r="B43" s="2636" t="str">
        <f t="shared" si="0"/>
        <v xml:space="preserve">  公共配套设施费用</v>
      </c>
      <c r="C43" s="2566">
        <f t="shared" ca="1" si="0"/>
        <v>0</v>
      </c>
      <c r="D43" s="2561"/>
      <c r="E43" s="2561"/>
      <c r="F43" s="2562"/>
      <c r="G43" s="2562"/>
    </row>
    <row r="44" spans="1:10" ht="15.75">
      <c r="A44" s="2632" t="s">
        <v>3284</v>
      </c>
      <c r="B44" s="2636" t="str">
        <f>B18</f>
        <v>红线内市政费用</v>
      </c>
      <c r="C44" s="2566">
        <f ca="1">C18</f>
        <v>17222478</v>
      </c>
      <c r="D44" s="2561"/>
      <c r="E44" s="2561"/>
      <c r="F44" s="2562"/>
      <c r="G44" s="2562"/>
    </row>
    <row r="45" spans="1:10" ht="15.75">
      <c r="A45" s="2647" t="s">
        <v>3303</v>
      </c>
      <c r="B45" s="2642" t="str">
        <f>B19</f>
        <v xml:space="preserve">  其他工程费</v>
      </c>
      <c r="C45" s="2571">
        <f ca="1">C19</f>
        <v>2870413</v>
      </c>
      <c r="D45" s="2695"/>
      <c r="E45" s="2695"/>
      <c r="F45" s="2574"/>
      <c r="G45" s="2574"/>
    </row>
    <row r="46" spans="1:10" ht="15.75">
      <c r="A46" s="2647" t="s">
        <v>3368</v>
      </c>
      <c r="B46" s="2642" t="s">
        <v>3304</v>
      </c>
      <c r="C46" s="2571">
        <f ca="1">C20</f>
        <v>0</v>
      </c>
      <c r="D46" s="2695"/>
      <c r="E46" s="2695"/>
      <c r="F46" s="2574"/>
      <c r="G46" s="2574"/>
    </row>
    <row r="47" spans="1:10" ht="15">
      <c r="A47" s="2697" t="s">
        <v>3457</v>
      </c>
      <c r="B47" s="2698" t="s">
        <v>3458</v>
      </c>
      <c r="C47" s="2699">
        <f ca="1">ROUND(C40*F47,0)</f>
        <v>6429725</v>
      </c>
      <c r="D47" s="2700"/>
      <c r="E47" s="2700"/>
      <c r="F47" s="2701">
        <f>F21</f>
        <v>0.02</v>
      </c>
      <c r="G47" s="2702" t="s">
        <v>3459</v>
      </c>
    </row>
    <row r="48" spans="1:10" ht="15">
      <c r="A48" s="2697" t="s">
        <v>3460</v>
      </c>
      <c r="B48" s="2698" t="s">
        <v>3461</v>
      </c>
      <c r="C48" s="2703" t="str">
        <f>F48&amp;"V建1"</f>
        <v>0.02V建1</v>
      </c>
      <c r="D48" s="2700"/>
      <c r="E48" s="2700"/>
      <c r="F48" s="2701">
        <f>F22</f>
        <v>0.02</v>
      </c>
      <c r="G48" s="2702" t="s">
        <v>3462</v>
      </c>
    </row>
    <row r="49" spans="1:7" ht="15">
      <c r="A49" s="2697" t="s">
        <v>3463</v>
      </c>
      <c r="B49" s="2704" t="s">
        <v>3367</v>
      </c>
      <c r="C49" s="2600" t="str">
        <f ca="1">C50&amp;"+"&amp;C51&amp;"V建1"</f>
        <v>10263770+0.0006V建1</v>
      </c>
      <c r="D49" s="296"/>
      <c r="E49" s="296"/>
      <c r="F49" s="2705">
        <f ca="1">F23</f>
        <v>3.1300000000000001E-2</v>
      </c>
      <c r="G49" s="2858" t="str">
        <f>IF('数据-取费表'!B22&lt;=1,"单利计息","复利计息")</f>
        <v>复利计息</v>
      </c>
    </row>
    <row r="50" spans="1:7">
      <c r="A50" s="2632" t="s">
        <v>3301</v>
      </c>
      <c r="B50" s="2635" t="s">
        <v>3371</v>
      </c>
      <c r="C50" s="2721">
        <f ca="1">ROUND(IF('数据-取费表'!B22&lt;=1,(C40+C47)*F49*'数据-取费表'!B22/2,(C40+C47)*(POWER((1+F49),'数据-取费表'!B22/2)-1)),0)</f>
        <v>10263770</v>
      </c>
      <c r="D50" s="1037"/>
      <c r="E50" s="1037"/>
      <c r="F50" s="1020"/>
      <c r="G50" s="4547" t="s">
        <v>3317</v>
      </c>
    </row>
    <row r="51" spans="1:7">
      <c r="A51" s="2632" t="s">
        <v>3302</v>
      </c>
      <c r="B51" s="2636" t="s">
        <v>3307</v>
      </c>
      <c r="C51" s="2722">
        <f ca="1">ROUND(IF('数据-取费表'!B22&lt;=1,F48*F23*'数据-取费表'!B22/2,F48*(POWER((1+F23),'数据-取费表'!B22/2)-1)),4)</f>
        <v>5.9999999999999995E-4</v>
      </c>
      <c r="D51" s="1037"/>
      <c r="E51" s="1037"/>
      <c r="F51" s="1020"/>
      <c r="G51" s="4548"/>
    </row>
    <row r="52" spans="1:7" ht="15">
      <c r="A52" s="2697" t="s">
        <v>3464</v>
      </c>
      <c r="B52" s="2706" t="s">
        <v>3308</v>
      </c>
      <c r="C52" s="2707" t="str">
        <f ca="1">C53&amp;"+"&amp;C54&amp;"V建1"</f>
        <v>49187397+0.003V建1</v>
      </c>
      <c r="D52" s="2708"/>
      <c r="E52" s="2700"/>
      <c r="F52" s="2709">
        <f ca="1">F27</f>
        <v>0.15</v>
      </c>
      <c r="G52" s="2710" t="s">
        <v>3465</v>
      </c>
    </row>
    <row r="53" spans="1:7">
      <c r="A53" s="2632" t="s">
        <v>3301</v>
      </c>
      <c r="B53" s="2635" t="s">
        <v>3309</v>
      </c>
      <c r="C53" s="2566">
        <f ca="1">ROUND((C40+C47)*F27,0)</f>
        <v>49187397</v>
      </c>
      <c r="D53" s="2567"/>
      <c r="E53" s="2563"/>
      <c r="F53" s="2564"/>
      <c r="G53" s="2565"/>
    </row>
    <row r="54" spans="1:7">
      <c r="A54" s="2632" t="s">
        <v>3302</v>
      </c>
      <c r="B54" s="2635" t="s">
        <v>3310</v>
      </c>
      <c r="C54" s="2631">
        <f ca="1">ROUND(F48*F27,4)</f>
        <v>3.0000000000000001E-3</v>
      </c>
      <c r="D54" s="2567"/>
      <c r="E54" s="2563"/>
      <c r="F54" s="2564"/>
      <c r="G54" s="2565"/>
    </row>
    <row r="55" spans="1:7" ht="15">
      <c r="A55" s="2577" t="s">
        <v>3466</v>
      </c>
      <c r="B55" s="2711" t="s">
        <v>3467</v>
      </c>
      <c r="C55" s="2712">
        <v>0</v>
      </c>
      <c r="D55" s="2604"/>
      <c r="E55" s="296"/>
      <c r="F55" s="2705"/>
      <c r="G55" s="2713" t="s">
        <v>3313</v>
      </c>
    </row>
    <row r="56" spans="1:7" ht="16.5">
      <c r="A56" s="2577" t="s">
        <v>3472</v>
      </c>
      <c r="B56" s="2711" t="s">
        <v>3468</v>
      </c>
      <c r="C56" s="2600">
        <f ca="1">ROUND((C40+C47+C50+C53)/(1-F48-C51-C54),0)</f>
        <v>396729975</v>
      </c>
      <c r="D56" s="296"/>
      <c r="E56" s="296"/>
      <c r="F56" s="2714"/>
      <c r="G56" s="2713" t="s">
        <v>3314</v>
      </c>
    </row>
    <row r="57" spans="1:7" ht="15">
      <c r="A57" s="2577" t="s">
        <v>3433</v>
      </c>
      <c r="B57" s="2715" t="s">
        <v>3296</v>
      </c>
      <c r="C57" s="2600">
        <f ca="1">ROUND(C56*(1-F57),0)</f>
        <v>31738398</v>
      </c>
      <c r="D57" s="296"/>
      <c r="E57" s="296"/>
      <c r="F57" s="2714">
        <f>F31</f>
        <v>0.92</v>
      </c>
      <c r="G57" s="2713" t="s">
        <v>3315</v>
      </c>
    </row>
    <row r="58" spans="1:7" ht="16.5">
      <c r="A58" s="2577" t="s">
        <v>3469</v>
      </c>
      <c r="B58" s="2711" t="s">
        <v>3470</v>
      </c>
      <c r="C58" s="2600">
        <f ca="1">C56-C57</f>
        <v>364991577</v>
      </c>
      <c r="D58" s="296"/>
      <c r="E58" s="296"/>
      <c r="F58" s="2714"/>
      <c r="G58" s="2713" t="s">
        <v>3316</v>
      </c>
    </row>
    <row r="59" spans="1:7" ht="15">
      <c r="A59" s="2716" t="s">
        <v>3370</v>
      </c>
      <c r="B59" s="2717" t="s">
        <v>3312</v>
      </c>
      <c r="C59" s="2718">
        <f ca="1">ROUND(C58*(1+F59),0)</f>
        <v>397840819</v>
      </c>
      <c r="D59" s="2719"/>
      <c r="E59" s="2719"/>
      <c r="F59" s="2720">
        <f>F33</f>
        <v>0.09</v>
      </c>
      <c r="G59" s="2719" t="s">
        <v>3471</v>
      </c>
    </row>
    <row r="60" spans="1:7" ht="14.25">
      <c r="A60" s="2559"/>
      <c r="B60" s="2560"/>
    </row>
    <row r="62" spans="1:7" ht="21" customHeight="1">
      <c r="B62" s="2630" t="s">
        <v>1503</v>
      </c>
      <c r="C62" s="166"/>
    </row>
    <row r="63" spans="1:7" ht="21" customHeight="1">
      <c r="B63" s="55" t="s">
        <v>788</v>
      </c>
      <c r="C63" s="4186">
        <f ca="1">1-C64</f>
        <v>2.5000000000000022E-2</v>
      </c>
    </row>
    <row r="64" spans="1:7" ht="21" customHeight="1">
      <c r="B64" s="55" t="s">
        <v>789</v>
      </c>
      <c r="C64" s="4187">
        <f ca="1">ROUND(C58/C32,3)</f>
        <v>0.97499999999999998</v>
      </c>
      <c r="D64" s="164" t="s">
        <v>3372</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1432</v>
      </c>
      <c r="B1" s="1043"/>
      <c r="C1" s="1367" t="s">
        <v>1504</v>
      </c>
      <c r="D1" s="93"/>
      <c r="E1" s="93"/>
      <c r="F1" s="93"/>
      <c r="G1" s="778">
        <f>MATCH(B1,'数据-取费表'!A6:A16,0)+5</f>
        <v>10</v>
      </c>
      <c r="H1" s="721" t="str">
        <f>IF(ISERROR(FIND("住宅",B1)),"非住宅","住宅")</f>
        <v>非住宅</v>
      </c>
    </row>
    <row r="2" spans="1:8" s="95" customFormat="1" ht="18" customHeight="1">
      <c r="A2" s="96" t="s">
        <v>1433</v>
      </c>
      <c r="B2" s="2535">
        <f ca="1">ROUND(IF(D2="——",C52/10000,C52/10000-E2),4)</f>
        <v>41539.312100000003</v>
      </c>
      <c r="C2" s="94" t="s">
        <v>1434</v>
      </c>
      <c r="D2" s="1361" t="s">
        <v>41</v>
      </c>
      <c r="E2" s="793" t="e">
        <f ca="1">SUMIF(INDIRECT("'"&amp;G2&amp;"'"&amp;"!A:A"),"承租人权益价值",INDIRECT("'"&amp;G2&amp;"'"&amp;"!c:c"))</f>
        <v>#REF!</v>
      </c>
      <c r="F2" s="1362" t="s">
        <v>1434</v>
      </c>
      <c r="G2" s="1363"/>
    </row>
    <row r="3" spans="1:8" s="95" customFormat="1" ht="18" customHeight="1" thickBot="1">
      <c r="A3" s="98" t="s">
        <v>1435</v>
      </c>
      <c r="B3" s="99">
        <f ca="1">ROUND(B2*10000/(IF(B1="",'数据-汇总表'!E3,INDIRECT("'数据-取费表'!k"&amp;$G$1))),0)</f>
        <v>7236</v>
      </c>
      <c r="C3" s="94" t="s">
        <v>1436</v>
      </c>
      <c r="D3" s="94"/>
      <c r="E3" s="94"/>
      <c r="F3" s="94"/>
      <c r="G3" s="94"/>
    </row>
    <row r="4" spans="1:8" s="103" customFormat="1" ht="15.75">
      <c r="A4" s="100" t="s">
        <v>1437</v>
      </c>
      <c r="B4" s="101"/>
      <c r="C4" s="101"/>
      <c r="D4" s="101"/>
      <c r="E4" s="101"/>
      <c r="F4" s="101"/>
      <c r="G4" s="102"/>
    </row>
    <row r="5" spans="1:8" s="109" customFormat="1" ht="13.5" customHeight="1">
      <c r="A5" s="150" t="s">
        <v>1438</v>
      </c>
      <c r="B5" s="105" t="s">
        <v>1439</v>
      </c>
      <c r="C5" s="106">
        <f ca="1">C6+C7+C8</f>
        <v>32112262</v>
      </c>
      <c r="D5" s="106" t="s">
        <v>1440</v>
      </c>
      <c r="E5" s="107" t="s">
        <v>1441</v>
      </c>
      <c r="F5" s="107" t="s">
        <v>1442</v>
      </c>
      <c r="G5" s="108"/>
    </row>
    <row r="6" spans="1:8" s="109" customFormat="1" ht="13.5" customHeight="1">
      <c r="A6" s="529" t="s">
        <v>1443</v>
      </c>
      <c r="B6" s="110" t="s">
        <v>1444</v>
      </c>
      <c r="C6" s="111">
        <v>20020000</v>
      </c>
      <c r="D6" s="112"/>
      <c r="E6" s="113"/>
      <c r="F6" s="113"/>
      <c r="G6" s="114"/>
    </row>
    <row r="7" spans="1:8" s="109" customFormat="1" ht="13.5" customHeight="1">
      <c r="A7" s="529" t="s">
        <v>1445</v>
      </c>
      <c r="B7" s="110" t="s">
        <v>1446</v>
      </c>
      <c r="C7" s="115">
        <f>ROUND(C6*F7,0)</f>
        <v>610610</v>
      </c>
      <c r="D7" s="115"/>
      <c r="E7" s="113"/>
      <c r="F7" s="116">
        <f>IF(项目基本情况!B8="出让",0,'数据-取费表'!B49+'数据-取费表'!B50)</f>
        <v>3.0499999999999999E-2</v>
      </c>
      <c r="G7" s="114"/>
    </row>
    <row r="8" spans="1:8" s="118" customFormat="1">
      <c r="A8" s="529" t="s">
        <v>1447</v>
      </c>
      <c r="B8" s="110" t="s">
        <v>1448</v>
      </c>
      <c r="C8" s="115">
        <f ca="1">IF(G8="已包含在土地购买价格中",0,C9+C10)</f>
        <v>11481652</v>
      </c>
      <c r="D8" s="117"/>
      <c r="E8" s="115"/>
      <c r="F8" s="116"/>
      <c r="G8" s="1364"/>
    </row>
    <row r="9" spans="1:8" s="109" customFormat="1" ht="13.5" customHeight="1">
      <c r="A9" s="530" t="s">
        <v>353</v>
      </c>
      <c r="B9" s="119" t="s">
        <v>1449</v>
      </c>
      <c r="C9" s="120">
        <f ca="1">ROUND(D9*E9,0)</f>
        <v>0</v>
      </c>
      <c r="D9" s="556">
        <f ca="1">IF(B1="",'数据-汇总表'!E5,IF(INDIRECT("'数据-取费表'!c"&amp;$G$1)="住宅",INDIRECT("'数据-取费表'!k"&amp;$G$1),0))</f>
        <v>0</v>
      </c>
      <c r="E9" s="120">
        <f>'数据-取费表'!B27</f>
        <v>0</v>
      </c>
      <c r="F9" s="116"/>
      <c r="G9" s="121"/>
    </row>
    <row r="10" spans="1:8" s="109" customFormat="1" ht="13.5" customHeight="1">
      <c r="A10" s="530" t="s">
        <v>354</v>
      </c>
      <c r="B10" s="119" t="s">
        <v>1451</v>
      </c>
      <c r="C10" s="120">
        <f ca="1">ROUND(D10*E10,0)</f>
        <v>11481652</v>
      </c>
      <c r="D10" s="556">
        <f ca="1">IF(B1="",'数据-汇总表'!E6,IF(INDIRECT("'数据-取费表'!c"&amp;$G$1)="住宅",INDIRECT("'数据-取费表'!s"&amp;$G$1),INDIRECT("'数据-取费表'!k"&amp;$G$1)+INDIRECT("'数据-取费表'!s"&amp;$G$1)))</f>
        <v>57408.26</v>
      </c>
      <c r="E10" s="120">
        <f>'数据-取费表'!B28</f>
        <v>200</v>
      </c>
      <c r="F10" s="116"/>
      <c r="G10" s="121"/>
    </row>
    <row r="11" spans="1:8" s="109" customFormat="1" ht="13.5" customHeight="1">
      <c r="A11" s="122" t="s">
        <v>4</v>
      </c>
      <c r="B11" s="110" t="s">
        <v>1452</v>
      </c>
      <c r="C11" s="106"/>
      <c r="D11" s="113"/>
      <c r="E11" s="113"/>
      <c r="F11" s="113"/>
      <c r="G11" s="114"/>
    </row>
    <row r="12" spans="1:8" s="109" customFormat="1" ht="13.5" customHeight="1">
      <c r="A12" s="122" t="s">
        <v>5</v>
      </c>
      <c r="B12" s="110" t="s">
        <v>1505</v>
      </c>
      <c r="C12" s="106">
        <v>0</v>
      </c>
      <c r="D12" s="113"/>
      <c r="E12" s="123"/>
      <c r="F12" s="116">
        <v>3.0499999999999999E-2</v>
      </c>
      <c r="G12" s="114"/>
    </row>
    <row r="13" spans="1:8" s="109" customFormat="1" ht="13.5" customHeight="1">
      <c r="A13" s="122" t="s">
        <v>6</v>
      </c>
      <c r="B13" s="110" t="s">
        <v>1506</v>
      </c>
      <c r="C13" s="106"/>
      <c r="D13" s="113"/>
      <c r="E13" s="113"/>
      <c r="F13" s="113"/>
      <c r="G13" s="114"/>
    </row>
    <row r="14" spans="1:8" s="109" customFormat="1" ht="13.5" customHeight="1">
      <c r="A14" s="122" t="s">
        <v>7</v>
      </c>
      <c r="B14" s="110" t="s">
        <v>1448</v>
      </c>
      <c r="C14" s="106"/>
      <c r="D14" s="113"/>
      <c r="E14" s="113"/>
      <c r="F14" s="113"/>
      <c r="G14" s="114" t="s">
        <v>1507</v>
      </c>
    </row>
    <row r="15" spans="1:8" s="109" customFormat="1" ht="13.5" customHeight="1">
      <c r="A15" s="122" t="s">
        <v>8</v>
      </c>
      <c r="B15" s="110" t="s">
        <v>1508</v>
      </c>
      <c r="C15" s="115"/>
      <c r="D15" s="113"/>
      <c r="E15" s="113"/>
      <c r="F15" s="113"/>
      <c r="G15" s="114" t="s">
        <v>1509</v>
      </c>
    </row>
    <row r="16" spans="1:8" s="109" customFormat="1" ht="13.5" customHeight="1">
      <c r="A16" s="122" t="s">
        <v>9</v>
      </c>
      <c r="B16" s="110" t="s">
        <v>1448</v>
      </c>
      <c r="C16" s="115"/>
      <c r="D16" s="113"/>
      <c r="E16" s="113"/>
      <c r="F16" s="113"/>
      <c r="G16" s="114"/>
    </row>
    <row r="17" spans="1:7" s="109" customFormat="1" ht="13.5" customHeight="1">
      <c r="A17" s="122" t="s">
        <v>10</v>
      </c>
      <c r="B17" s="110" t="s">
        <v>1510</v>
      </c>
      <c r="C17" s="124"/>
      <c r="D17" s="124"/>
      <c r="E17" s="124"/>
      <c r="F17" s="124"/>
      <c r="G17" s="114" t="s">
        <v>1509</v>
      </c>
    </row>
    <row r="18" spans="1:7" s="109" customFormat="1" ht="13.5" customHeight="1">
      <c r="A18" s="122" t="s">
        <v>11</v>
      </c>
      <c r="B18" s="110" t="s">
        <v>1511</v>
      </c>
      <c r="C18" s="115">
        <v>0</v>
      </c>
      <c r="D18" s="113"/>
      <c r="E18" s="113"/>
      <c r="F18" s="116">
        <v>3.0499999999999999E-2</v>
      </c>
      <c r="G18" s="114" t="s">
        <v>1512</v>
      </c>
    </row>
    <row r="19" spans="1:7" s="118" customFormat="1" ht="13.5" customHeight="1">
      <c r="A19" s="150" t="s">
        <v>1513</v>
      </c>
      <c r="B19" s="105" t="s">
        <v>1514</v>
      </c>
      <c r="C19" s="106">
        <f ca="1">IF(G19="已包含在土地取得成本中","0",ROUND(D19*E19,0))</f>
        <v>7463074</v>
      </c>
      <c r="D19" s="107">
        <f ca="1">D9+D10</f>
        <v>57408.26</v>
      </c>
      <c r="E19" s="106">
        <f>'数据-取费表'!B31</f>
        <v>130</v>
      </c>
      <c r="F19" s="126"/>
      <c r="G19" s="1364"/>
    </row>
    <row r="20" spans="1:7" s="109" customFormat="1" ht="13.5" customHeight="1">
      <c r="A20" s="150" t="s">
        <v>1515</v>
      </c>
      <c r="B20" s="105" t="s">
        <v>1516</v>
      </c>
      <c r="C20" s="127">
        <f ca="1">ROUND((C5+C19)*F20,0)</f>
        <v>791507</v>
      </c>
      <c r="D20" s="127"/>
      <c r="E20" s="127"/>
      <c r="F20" s="128">
        <f>'数据-取费表'!B38</f>
        <v>0.02</v>
      </c>
      <c r="G20" s="129" t="s">
        <v>1517</v>
      </c>
    </row>
    <row r="21" spans="1:7" s="109" customFormat="1" ht="13.5" customHeight="1">
      <c r="A21" s="150" t="s">
        <v>1518</v>
      </c>
      <c r="B21" s="105" t="s">
        <v>1519</v>
      </c>
      <c r="C21" s="130">
        <f>F21</f>
        <v>0.02</v>
      </c>
      <c r="D21" s="131" t="s">
        <v>1520</v>
      </c>
      <c r="E21" s="127"/>
      <c r="F21" s="128">
        <f>'数据-取费表'!B39</f>
        <v>0.02</v>
      </c>
      <c r="G21" s="129" t="s">
        <v>1521</v>
      </c>
    </row>
    <row r="22" spans="1:7" s="109" customFormat="1" ht="13.5" customHeight="1">
      <c r="A22" s="150" t="s">
        <v>1522</v>
      </c>
      <c r="B22" s="105" t="s">
        <v>1523</v>
      </c>
      <c r="C22" s="127">
        <f ca="1">ROUND(SUM(C23:C25),0)</f>
        <v>2540962</v>
      </c>
      <c r="D22" s="130">
        <f ca="1">C26</f>
        <v>5.9999999999999995E-4</v>
      </c>
      <c r="E22" s="131" t="s">
        <v>1520</v>
      </c>
      <c r="F22" s="132">
        <f ca="1">'数据-取费表'!B41</f>
        <v>3.1300000000000001E-2</v>
      </c>
      <c r="G22" s="129" t="str">
        <f>IF('数据-取费表'!B22&lt;=1,"单利计息","复利计息")</f>
        <v>复利计息</v>
      </c>
    </row>
    <row r="23" spans="1:7" s="109" customFormat="1" ht="13.5" customHeight="1">
      <c r="A23" s="531" t="s">
        <v>1443</v>
      </c>
      <c r="B23" s="110" t="s">
        <v>1524</v>
      </c>
      <c r="C23" s="133">
        <f ca="1">ROUND(IF('数据-取费表'!B22&lt;=1,C5*F22*'数据-取费表'!B22,C5*(POWER((1+F22),'数据-取费表'!B22)-1)),0)</f>
        <v>2041688</v>
      </c>
      <c r="D23" s="133"/>
      <c r="E23" s="133"/>
      <c r="F23" s="134"/>
      <c r="G23" s="135" t="s">
        <v>1525</v>
      </c>
    </row>
    <row r="24" spans="1:7" s="109" customFormat="1" ht="13.5" customHeight="1">
      <c r="A24" s="531" t="s">
        <v>1445</v>
      </c>
      <c r="B24" s="110" t="s">
        <v>1526</v>
      </c>
      <c r="C24" s="133">
        <f ca="1">ROUND(IF('数据-取费表'!B22&lt;=1,C19*F22*('数据-取费表'!B19/2+'数据-取费表'!B20),C19*(POWER((1+F22),('数据-取费表'!B19/2+'数据-取费表'!B20))-1)),0)</f>
        <v>474500</v>
      </c>
      <c r="D24" s="133"/>
      <c r="E24" s="133"/>
      <c r="F24" s="134"/>
      <c r="G24" s="135" t="s">
        <v>1527</v>
      </c>
    </row>
    <row r="25" spans="1:7" s="109" customFormat="1" ht="24">
      <c r="A25" s="531" t="s">
        <v>1447</v>
      </c>
      <c r="B25" s="110" t="s">
        <v>1528</v>
      </c>
      <c r="C25" s="133">
        <f ca="1">ROUND(IF('数据-取费表'!B22&lt;=1,C20*F22*'数据-取费表'!B22/2,C20*(POWER((1+F22),'数据-取费表'!B22/2)-1)),0)</f>
        <v>24774</v>
      </c>
      <c r="D25" s="133"/>
      <c r="E25" s="136"/>
      <c r="F25" s="134"/>
      <c r="G25" s="137" t="s">
        <v>1529</v>
      </c>
    </row>
    <row r="26" spans="1:7" s="109" customFormat="1">
      <c r="A26" s="531" t="s">
        <v>348</v>
      </c>
      <c r="B26" s="110" t="s">
        <v>1458</v>
      </c>
      <c r="C26" s="133">
        <f ca="1">ROUND(IF('数据-取费表'!B22&lt;=1,F21*F22*'数据-取费表'!B22/2,F21*(POWER((1+F22),'数据-取费表'!B22/2)-1)),4)</f>
        <v>5.9999999999999995E-4</v>
      </c>
      <c r="D26" s="133"/>
      <c r="E26" s="136"/>
      <c r="F26" s="134"/>
      <c r="G26" s="138"/>
    </row>
    <row r="27" spans="1:7" s="109" customFormat="1" ht="24.75">
      <c r="A27" s="150" t="s">
        <v>1459</v>
      </c>
      <c r="B27" s="139" t="s">
        <v>1460</v>
      </c>
      <c r="C27" s="140">
        <f ca="1">C28</f>
        <v>6055026</v>
      </c>
      <c r="D27" s="130">
        <f ca="1">C29</f>
        <v>3.0000000000000001E-3</v>
      </c>
      <c r="E27" s="131" t="s">
        <v>1461</v>
      </c>
      <c r="F27" s="141">
        <f ca="1">IF(B1="",'数据-取费表'!Q16,INDIRECT("'数据-取费表'!q"&amp;$G$1))</f>
        <v>0.15</v>
      </c>
      <c r="G27" s="142" t="s">
        <v>1462</v>
      </c>
    </row>
    <row r="28" spans="1:7" s="109" customFormat="1" ht="13.5" customHeight="1">
      <c r="A28" s="531" t="s">
        <v>344</v>
      </c>
      <c r="B28" s="143" t="s">
        <v>1463</v>
      </c>
      <c r="C28" s="144">
        <f ca="1">ROUND((C5+C19+C20)*F27,0)</f>
        <v>6055026</v>
      </c>
      <c r="D28" s="130"/>
      <c r="E28" s="131"/>
      <c r="F28" s="141"/>
      <c r="G28" s="142"/>
    </row>
    <row r="29" spans="1:7" s="109" customFormat="1" ht="13.5" customHeight="1">
      <c r="A29" s="531" t="s">
        <v>345</v>
      </c>
      <c r="B29" s="143" t="s">
        <v>1464</v>
      </c>
      <c r="C29" s="133">
        <f ca="1">ROUND(C21*F27,4)</f>
        <v>3.0000000000000001E-3</v>
      </c>
      <c r="D29" s="130"/>
      <c r="E29" s="131"/>
      <c r="F29" s="141"/>
      <c r="G29" s="142"/>
    </row>
    <row r="30" spans="1:7" s="109" customFormat="1" ht="13.5" customHeight="1">
      <c r="A30" s="150" t="s">
        <v>1465</v>
      </c>
      <c r="B30" s="105" t="s">
        <v>1466</v>
      </c>
      <c r="C30" s="130">
        <f>ROUND(F30/(1+'数据-取费表'!C43),4)</f>
        <v>5.9999999999999995E-4</v>
      </c>
      <c r="D30" s="131" t="s">
        <v>1461</v>
      </c>
      <c r="E30" s="136"/>
      <c r="F30" s="3126">
        <v>5.5999999999999995E-4</v>
      </c>
      <c r="G30" s="129" t="s">
        <v>1467</v>
      </c>
    </row>
    <row r="31" spans="1:7" ht="16.5" customHeight="1">
      <c r="A31" s="104">
        <v>1</v>
      </c>
      <c r="B31" s="105" t="s">
        <v>1468</v>
      </c>
      <c r="C31" s="106">
        <f ca="1">ROUND((C5+C19+C20+C22+C27)/(1-C21-D22-D27-C30),0)</f>
        <v>50177117</v>
      </c>
      <c r="D31" s="125"/>
      <c r="E31" s="106"/>
      <c r="F31" s="145"/>
      <c r="G31" s="129" t="s">
        <v>1469</v>
      </c>
    </row>
    <row r="32" spans="1:7" s="103" customFormat="1" ht="15.75">
      <c r="A32" s="147" t="s">
        <v>1530</v>
      </c>
      <c r="B32" s="148"/>
      <c r="C32" s="148"/>
      <c r="D32" s="148"/>
      <c r="E32" s="148"/>
      <c r="F32" s="148"/>
      <c r="G32" s="149"/>
    </row>
    <row r="33" spans="1:7" s="109" customFormat="1" ht="13.5" customHeight="1">
      <c r="A33" s="150" t="s">
        <v>335</v>
      </c>
      <c r="B33" s="105" t="s">
        <v>1531</v>
      </c>
      <c r="C33" s="151">
        <f ca="1">SUM(C34:C38)</f>
        <v>321486256</v>
      </c>
      <c r="D33" s="127"/>
      <c r="E33" s="107"/>
      <c r="F33" s="136"/>
      <c r="G33" s="129"/>
    </row>
    <row r="34" spans="1:7" s="153" customFormat="1" ht="13.5" customHeight="1">
      <c r="A34" s="531" t="s">
        <v>344</v>
      </c>
      <c r="B34" s="110" t="s">
        <v>1470</v>
      </c>
      <c r="C34" s="115">
        <f ca="1">ROUND(IF(B1="",SUMPRODUCT('数据-取费表'!K6:K14,'数据-取费表'!L6:L14),INDIRECT("'数据-取费表'!l"&amp;$G$1)*INDIRECT("'数据-取费表'!k"&amp;$G$1)+'数据-取费表'!L14*INDIRECT("'数据-取费表'!S"&amp;$G$1)),0)</f>
        <v>287041300</v>
      </c>
      <c r="D34" s="112"/>
      <c r="E34" s="115"/>
      <c r="F34" s="152"/>
      <c r="G34" s="114"/>
    </row>
    <row r="35" spans="1:7" ht="13.5" customHeight="1">
      <c r="A35" s="531" t="s">
        <v>349</v>
      </c>
      <c r="B35" s="110" t="s">
        <v>1472</v>
      </c>
      <c r="C35" s="115">
        <f ca="1">ROUND(C34*F35,0)</f>
        <v>14352065</v>
      </c>
      <c r="D35" s="115"/>
      <c r="E35" s="115"/>
      <c r="F35" s="154">
        <f>'数据-取费表'!B33</f>
        <v>0.05</v>
      </c>
      <c r="G35" s="114" t="s">
        <v>1473</v>
      </c>
    </row>
    <row r="36" spans="1:7" ht="24">
      <c r="A36" s="531" t="s">
        <v>350</v>
      </c>
      <c r="B36" s="110" t="s">
        <v>1474</v>
      </c>
      <c r="C36" s="115">
        <f ca="1">ROUND(IF(B1="",SUM('数据-取费表'!AP6:AP13)*F36,IF(INDIRECT("'数据-取费表'!c"&amp;$G$1)="住宅",INDIRECT("'数据-取费表'!k"&amp;$G$1)*INDIRECT("'数据-取费表'!l"&amp;$G$1)*F36,0)),0)</f>
        <v>0</v>
      </c>
      <c r="D36" s="115"/>
      <c r="E36" s="115"/>
      <c r="F36" s="154">
        <f>'数据-取费表'!B34</f>
        <v>0</v>
      </c>
      <c r="G36" s="155" t="s">
        <v>1475</v>
      </c>
    </row>
    <row r="37" spans="1:7" s="153" customFormat="1" ht="13.5" customHeight="1">
      <c r="A37" s="531" t="s">
        <v>351</v>
      </c>
      <c r="B37" s="110" t="s">
        <v>1476</v>
      </c>
      <c r="C37" s="144">
        <f ca="1">ROUND(E37*D37,0)</f>
        <v>17222478</v>
      </c>
      <c r="D37" s="112">
        <f ca="1">D19</f>
        <v>57408.26</v>
      </c>
      <c r="E37" s="144">
        <f>'数据-取费表'!B35</f>
        <v>300</v>
      </c>
      <c r="F37" s="154"/>
      <c r="G37" s="156"/>
    </row>
    <row r="38" spans="1:7" ht="13.5" customHeight="1">
      <c r="A38" s="531" t="s">
        <v>352</v>
      </c>
      <c r="B38" s="110" t="s">
        <v>1478</v>
      </c>
      <c r="C38" s="115">
        <f ca="1">ROUND(C34*F38,0)</f>
        <v>2870413</v>
      </c>
      <c r="D38" s="115"/>
      <c r="E38" s="115"/>
      <c r="F38" s="154">
        <f>'数据-取费表'!B36</f>
        <v>0.01</v>
      </c>
      <c r="G38" s="114" t="s">
        <v>1473</v>
      </c>
    </row>
    <row r="39" spans="1:7" s="109" customFormat="1" ht="13.5" customHeight="1">
      <c r="A39" s="150" t="s">
        <v>1479</v>
      </c>
      <c r="B39" s="105" t="s">
        <v>1480</v>
      </c>
      <c r="C39" s="127">
        <f ca="1">ROUND(C33*F20,0)</f>
        <v>6429725</v>
      </c>
      <c r="D39" s="127"/>
      <c r="E39" s="127"/>
      <c r="F39" s="128">
        <f>F20</f>
        <v>0.02</v>
      </c>
      <c r="G39" s="129" t="s">
        <v>1481</v>
      </c>
    </row>
    <row r="40" spans="1:7" s="109" customFormat="1" ht="13.5" customHeight="1">
      <c r="A40" s="150" t="s">
        <v>1482</v>
      </c>
      <c r="B40" s="105" t="s">
        <v>1483</v>
      </c>
      <c r="C40" s="130">
        <f>F21</f>
        <v>0.02</v>
      </c>
      <c r="D40" s="131" t="s">
        <v>1484</v>
      </c>
      <c r="E40" s="127"/>
      <c r="F40" s="128">
        <f>F21</f>
        <v>0.02</v>
      </c>
      <c r="G40" s="129" t="s">
        <v>1485</v>
      </c>
    </row>
    <row r="41" spans="1:7" s="109" customFormat="1" ht="13.5" customHeight="1">
      <c r="A41" s="150" t="s">
        <v>1486</v>
      </c>
      <c r="B41" s="105" t="s">
        <v>1487</v>
      </c>
      <c r="C41" s="127">
        <f ca="1">ROUND(SUM(C42:C43),0)</f>
        <v>10263770</v>
      </c>
      <c r="D41" s="130">
        <f ca="1">C44</f>
        <v>5.9999999999999995E-4</v>
      </c>
      <c r="E41" s="131" t="s">
        <v>1484</v>
      </c>
      <c r="F41" s="132">
        <f ca="1">F22</f>
        <v>3.1300000000000001E-2</v>
      </c>
      <c r="G41" s="129" t="str">
        <f>IF('数据-取费表'!B22&lt;=1,"单利计息","复利计息")</f>
        <v>复利计息</v>
      </c>
    </row>
    <row r="42" spans="1:7" ht="13.5" customHeight="1">
      <c r="A42" s="531" t="s">
        <v>344</v>
      </c>
      <c r="B42" s="110" t="s">
        <v>1488</v>
      </c>
      <c r="C42" s="133">
        <f ca="1">ROUND(IF('数据-取费表'!B22&lt;=1,C33*F22*'数据-取费表'!B20/2,C33*(POWER((1+F22),'数据-取费表'!B20/2)-1)),0)</f>
        <v>10062520</v>
      </c>
      <c r="D42" s="133"/>
      <c r="E42" s="133"/>
      <c r="F42" s="134"/>
      <c r="G42" s="4547" t="s">
        <v>1532</v>
      </c>
    </row>
    <row r="43" spans="1:7" ht="13.5" customHeight="1">
      <c r="A43" s="531" t="s">
        <v>345</v>
      </c>
      <c r="B43" s="110" t="s">
        <v>1489</v>
      </c>
      <c r="C43" s="133">
        <f ca="1">ROUND(IF('数据-取费表'!B22&lt;=1,C39*F22*'数据-取费表'!B20/2,C39*(POWER((1+F22),'数据-取费表'!B20/2)-1)),0)</f>
        <v>201250</v>
      </c>
      <c r="D43" s="133"/>
      <c r="E43" s="133"/>
      <c r="F43" s="134"/>
      <c r="G43" s="4549"/>
    </row>
    <row r="44" spans="1:7" ht="13.5" customHeight="1">
      <c r="A44" s="531" t="s">
        <v>346</v>
      </c>
      <c r="B44" s="110" t="s">
        <v>1490</v>
      </c>
      <c r="C44" s="133">
        <f ca="1">ROUND(IF('数据-取费表'!B22&lt;=1,C40*F22*'数据-取费表'!B20/2,C40*(POWER((1+F22),'数据-取费表'!B20/2)-1)),4)</f>
        <v>5.9999999999999995E-4</v>
      </c>
      <c r="D44" s="133"/>
      <c r="E44" s="133"/>
      <c r="F44" s="134"/>
      <c r="G44" s="4548"/>
    </row>
    <row r="45" spans="1:7" s="109" customFormat="1" ht="13.5" customHeight="1">
      <c r="A45" s="150" t="s">
        <v>1491</v>
      </c>
      <c r="B45" s="139" t="s">
        <v>1460</v>
      </c>
      <c r="C45" s="140">
        <f ca="1">C46</f>
        <v>49187397</v>
      </c>
      <c r="D45" s="130">
        <f ca="1">C47</f>
        <v>3.0000000000000001E-3</v>
      </c>
      <c r="E45" s="131" t="s">
        <v>1484</v>
      </c>
      <c r="F45" s="141">
        <f ca="1">F27</f>
        <v>0.15</v>
      </c>
      <c r="G45" s="142" t="s">
        <v>1492</v>
      </c>
    </row>
    <row r="46" spans="1:7" s="109" customFormat="1" ht="13.5" customHeight="1">
      <c r="A46" s="531" t="s">
        <v>344</v>
      </c>
      <c r="B46" s="143" t="s">
        <v>1493</v>
      </c>
      <c r="C46" s="144">
        <f ca="1">ROUND((C33+C39)*F27,0)</f>
        <v>49187397</v>
      </c>
      <c r="D46" s="158"/>
      <c r="E46" s="131"/>
      <c r="F46" s="141"/>
      <c r="G46" s="142"/>
    </row>
    <row r="47" spans="1:7" s="109" customFormat="1" ht="13.5" customHeight="1">
      <c r="A47" s="531" t="s">
        <v>345</v>
      </c>
      <c r="B47" s="143" t="s">
        <v>1494</v>
      </c>
      <c r="C47" s="133">
        <f ca="1">ROUND(C40*F27,4)</f>
        <v>3.0000000000000001E-3</v>
      </c>
      <c r="D47" s="158"/>
      <c r="E47" s="131"/>
      <c r="F47" s="141"/>
      <c r="G47" s="142"/>
    </row>
    <row r="48" spans="1:7" s="109" customFormat="1" ht="13.5" customHeight="1">
      <c r="A48" s="150" t="s">
        <v>1459</v>
      </c>
      <c r="B48" s="105" t="s">
        <v>1495</v>
      </c>
      <c r="C48" s="157">
        <f>ROUND(F30/(1+'数据-取费表'!C43),4)</f>
        <v>5.9999999999999995E-4</v>
      </c>
      <c r="D48" s="131" t="s">
        <v>1484</v>
      </c>
      <c r="E48" s="127"/>
      <c r="F48" s="3127">
        <f>F30</f>
        <v>5.5999999999999995E-4</v>
      </c>
      <c r="G48" s="129" t="s">
        <v>1496</v>
      </c>
    </row>
    <row r="49" spans="1:7" ht="16.5" customHeight="1">
      <c r="A49" s="150" t="s">
        <v>1465</v>
      </c>
      <c r="B49" s="105" t="s">
        <v>1533</v>
      </c>
      <c r="C49" s="127">
        <f ca="1">ROUND((C33+C39+C41+C45)/(1-C40-D41-D45-C48),0)</f>
        <v>396973917</v>
      </c>
      <c r="D49" s="127"/>
      <c r="E49" s="127"/>
      <c r="F49" s="159"/>
      <c r="G49" s="129" t="s">
        <v>1497</v>
      </c>
    </row>
    <row r="50" spans="1:7" s="153" customFormat="1">
      <c r="A50" s="150" t="s">
        <v>1498</v>
      </c>
      <c r="B50" s="105" t="s">
        <v>1499</v>
      </c>
      <c r="C50" s="127"/>
      <c r="D50" s="127"/>
      <c r="E50" s="127"/>
      <c r="F50" s="159">
        <f>IF('数据-取费表'!B24=0,'数据-取费表'!N16,1)</f>
        <v>0.92</v>
      </c>
      <c r="G50" s="142"/>
    </row>
    <row r="51" spans="1:7" ht="16.5" customHeight="1">
      <c r="A51" s="150" t="s">
        <v>1500</v>
      </c>
      <c r="B51" s="105" t="s">
        <v>1534</v>
      </c>
      <c r="C51" s="127">
        <f ca="1">ROUND(C49*F50,0)</f>
        <v>365216004</v>
      </c>
      <c r="D51" s="127"/>
      <c r="E51" s="127"/>
      <c r="F51" s="159"/>
      <c r="G51" s="129" t="s">
        <v>1501</v>
      </c>
    </row>
    <row r="52" spans="1:7" s="103" customFormat="1" ht="16.5" thickBot="1">
      <c r="A52" s="160" t="s">
        <v>1502</v>
      </c>
      <c r="B52" s="161"/>
      <c r="C52" s="162">
        <f ca="1">C31+C51</f>
        <v>415393121</v>
      </c>
      <c r="D52" s="161"/>
      <c r="E52" s="161"/>
      <c r="F52" s="161"/>
      <c r="G52" s="163"/>
    </row>
    <row r="55" spans="1:7" ht="15">
      <c r="B55" s="165" t="s">
        <v>1503</v>
      </c>
      <c r="C55" s="166"/>
    </row>
    <row r="56" spans="1:7">
      <c r="B56" s="168" t="s">
        <v>788</v>
      </c>
      <c r="C56" s="170">
        <f ca="1">1-C57</f>
        <v>0.121</v>
      </c>
    </row>
    <row r="57" spans="1:7">
      <c r="B57" s="168" t="s">
        <v>789</v>
      </c>
      <c r="C57" s="169">
        <f ca="1">ROUND(C51/C52,3)</f>
        <v>0.879</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J132"/>
  <sheetViews>
    <sheetView view="pageBreakPreview" zoomScaleNormal="70" zoomScaleSheetLayoutView="100" workbookViewId="0">
      <selection activeCell="E5" sqref="E5:F5"/>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60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1438" t="s">
        <v>1722</v>
      </c>
      <c r="C1" s="837" t="s">
        <v>1574</v>
      </c>
      <c r="D1" s="838"/>
      <c r="E1" s="2540" t="s">
        <v>3996</v>
      </c>
      <c r="F1" s="1379" t="s">
        <v>3997</v>
      </c>
      <c r="G1" s="848" t="s">
        <v>1679</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IF(C2="含税",D2,ROUND(D2/(1+F3),0))</f>
        <v>219432</v>
      </c>
      <c r="C2" s="2861" t="s">
        <v>3994</v>
      </c>
      <c r="D2" s="229">
        <f>IF(E1="项目模式",IF(E2="——",ROUND(C50*D3/10000,0),ROUND(C50*D3/10000,0)-F2),IF(E1="单套模式",IF(E2="——",ROUND(C50*D3/10000,4),ROUND(C50*D3/10000,4)-F2)))</f>
        <v>219432</v>
      </c>
      <c r="E2" s="1381" t="s">
        <v>41</v>
      </c>
      <c r="F2" s="3860" t="e">
        <f ca="1">IF(E1="项目模式",SUMIF(INDIRECT("'"&amp;H2&amp;"'"&amp;"!A:A"),"承租人权益价值",INDIRECT("'"&amp;H2&amp;"'"&amp;"!c:c")),SUMIF(INDIRECT("'"&amp;H2&amp;"'"&amp;"!A:A"),"承租人权益价值（单套）",INDIRECT("'"&amp;H2&amp;"'"&amp;"!c:c")))</f>
        <v>#REF!</v>
      </c>
      <c r="G2" s="1382" t="s">
        <v>1434</v>
      </c>
      <c r="H2" s="1383"/>
      <c r="I2" s="605"/>
      <c r="J2" s="605"/>
      <c r="K2" s="605"/>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2957">
        <f>IF(E2="——",C50,ROUND(B2*10000/D3,0))</f>
        <v>38223</v>
      </c>
      <c r="C3" s="234" t="s">
        <v>1680</v>
      </c>
      <c r="D3" s="2957">
        <f>IF(D1="",'数据-汇总表'!E3,SUMIF('数据-汇总表'!$C19:$C33,D1,'数据-汇总表'!$E19:$E33))</f>
        <v>57408.26</v>
      </c>
      <c r="E3" s="3961" t="s">
        <v>3478</v>
      </c>
      <c r="F3" s="3962">
        <v>0.09</v>
      </c>
      <c r="G3" s="605"/>
      <c r="H3" s="605"/>
      <c r="I3" s="605"/>
      <c r="J3" s="605"/>
      <c r="K3" s="607"/>
      <c r="L3" s="2024"/>
      <c r="M3" s="2025"/>
      <c r="N3" s="2025"/>
      <c r="O3" s="2025"/>
      <c r="P3" s="232"/>
      <c r="Q3" s="232"/>
      <c r="R3" s="232"/>
      <c r="S3" s="232"/>
      <c r="T3" s="232"/>
      <c r="U3" s="232"/>
      <c r="V3" s="232"/>
      <c r="W3" s="232"/>
      <c r="X3" s="232"/>
      <c r="Y3" s="232"/>
      <c r="Z3" s="232"/>
      <c r="AA3" s="232"/>
      <c r="AB3" s="232"/>
      <c r="AC3" s="481"/>
    </row>
    <row r="4" spans="1:29" ht="15">
      <c r="A4" s="235" t="s">
        <v>1681</v>
      </c>
      <c r="B4" s="236"/>
      <c r="C4" s="4573" t="s">
        <v>1682</v>
      </c>
      <c r="D4" s="4574"/>
      <c r="E4" s="4575" t="s">
        <v>1683</v>
      </c>
      <c r="F4" s="4576"/>
      <c r="G4" s="4573" t="s">
        <v>1684</v>
      </c>
      <c r="H4" s="4574"/>
      <c r="I4" s="4573" t="s">
        <v>1685</v>
      </c>
      <c r="J4" s="4574"/>
      <c r="K4" s="393" t="s">
        <v>1686</v>
      </c>
      <c r="L4" s="2007"/>
      <c r="M4" s="2008"/>
      <c r="N4" s="2008"/>
      <c r="O4" s="2008"/>
      <c r="P4" s="4577" t="s">
        <v>1687</v>
      </c>
      <c r="Q4" s="4578"/>
      <c r="R4" s="4555" t="s">
        <v>1683</v>
      </c>
      <c r="S4" s="4556"/>
      <c r="T4" s="4555" t="s">
        <v>1684</v>
      </c>
      <c r="U4" s="4556"/>
      <c r="V4" s="4585" t="s">
        <v>1685</v>
      </c>
      <c r="W4" s="4585"/>
      <c r="X4" s="1439"/>
      <c r="Y4" s="4589" t="s">
        <v>1687</v>
      </c>
      <c r="Z4" s="4590"/>
      <c r="AA4" s="4550" t="s">
        <v>1683</v>
      </c>
      <c r="AB4" s="4550" t="s">
        <v>1684</v>
      </c>
      <c r="AC4" s="4570" t="s">
        <v>1685</v>
      </c>
    </row>
    <row r="5" spans="1:29" ht="15">
      <c r="A5" s="238"/>
      <c r="B5" s="239"/>
      <c r="C5" s="4561" t="s">
        <v>1585</v>
      </c>
      <c r="D5" s="4562"/>
      <c r="E5" s="4559" t="s">
        <v>4186</v>
      </c>
      <c r="F5" s="4560"/>
      <c r="G5" s="4565" t="s">
        <v>4266</v>
      </c>
      <c r="H5" s="4562"/>
      <c r="I5" s="4565" t="s">
        <v>4266</v>
      </c>
      <c r="J5" s="4562"/>
      <c r="K5" s="393"/>
      <c r="L5" s="2007"/>
      <c r="M5" s="2008"/>
      <c r="N5" s="2008"/>
      <c r="O5" s="2008"/>
      <c r="P5" s="4579"/>
      <c r="Q5" s="4580"/>
      <c r="R5" s="4557"/>
      <c r="S5" s="4558"/>
      <c r="T5" s="4557"/>
      <c r="U5" s="4558"/>
      <c r="V5" s="4586"/>
      <c r="W5" s="4586"/>
      <c r="X5" s="935"/>
      <c r="Y5" s="4591"/>
      <c r="Z5" s="4592"/>
      <c r="AA5" s="4551"/>
      <c r="AB5" s="4551"/>
      <c r="AC5" s="4571"/>
    </row>
    <row r="6" spans="1:29" ht="15.75" thickBot="1">
      <c r="A6" s="240"/>
      <c r="B6" s="241"/>
      <c r="C6" s="4563" t="s">
        <v>1589</v>
      </c>
      <c r="D6" s="4564"/>
      <c r="E6" s="4566" t="s">
        <v>1589</v>
      </c>
      <c r="F6" s="4567"/>
      <c r="G6" s="4563" t="s">
        <v>1589</v>
      </c>
      <c r="H6" s="4564"/>
      <c r="I6" s="4563" t="s">
        <v>1589</v>
      </c>
      <c r="J6" s="4564"/>
      <c r="K6" s="393" t="s">
        <v>1590</v>
      </c>
      <c r="L6" s="2007"/>
      <c r="M6" s="2008"/>
      <c r="N6" s="2008"/>
      <c r="O6" s="2008"/>
      <c r="P6" s="4581"/>
      <c r="Q6" s="4582"/>
      <c r="R6" s="4557"/>
      <c r="S6" s="4558"/>
      <c r="T6" s="4583"/>
      <c r="U6" s="4584"/>
      <c r="V6" s="4586"/>
      <c r="W6" s="4586"/>
      <c r="X6" s="935"/>
      <c r="Y6" s="4593"/>
      <c r="Z6" s="4594"/>
      <c r="AA6" s="4552"/>
      <c r="AB6" s="4552"/>
      <c r="AC6" s="4572"/>
    </row>
    <row r="7" spans="1:29" s="46" customFormat="1" ht="15.75" thickBot="1">
      <c r="A7" s="242" t="s">
        <v>1591</v>
      </c>
      <c r="B7" s="243"/>
      <c r="C7" s="244">
        <f>'数据-取费表'!B2</f>
        <v>46049</v>
      </c>
      <c r="D7" s="2976">
        <v>100</v>
      </c>
      <c r="E7" s="245">
        <v>45308</v>
      </c>
      <c r="F7" s="3861">
        <f>SUMIF(59:59,YEAR(E7)&amp;"-"&amp;MONTH(E7),60:60)</f>
        <v>104.80000000000007</v>
      </c>
      <c r="G7" s="245">
        <v>45602</v>
      </c>
      <c r="H7" s="3867">
        <f>SUMIF(59:59,YEAR(G7)&amp;"-"&amp;MONTH(G7),60:60)</f>
        <v>102.80000000000004</v>
      </c>
      <c r="I7" s="245">
        <v>45195</v>
      </c>
      <c r="J7" s="3867">
        <f>SUMIF(59:59,YEAR(I7)&amp;"-"&amp;MONTH(I7),60:60)</f>
        <v>105.60000000000008</v>
      </c>
      <c r="K7" s="22"/>
      <c r="L7" s="2009"/>
      <c r="M7" s="1962"/>
      <c r="N7" s="1962"/>
      <c r="O7" s="1962"/>
      <c r="P7" s="4587" t="s">
        <v>1592</v>
      </c>
      <c r="Q7" s="4595"/>
      <c r="R7" s="3748" t="s">
        <v>13</v>
      </c>
      <c r="S7" s="3262">
        <f t="shared" ref="S7:S15" si="0">F7</f>
        <v>104.80000000000007</v>
      </c>
      <c r="T7" s="3748" t="s">
        <v>13</v>
      </c>
      <c r="U7" s="3262">
        <f t="shared" ref="U7:U15" si="1">H7</f>
        <v>102.80000000000004</v>
      </c>
      <c r="V7" s="3748" t="s">
        <v>13</v>
      </c>
      <c r="W7" s="3262">
        <f t="shared" ref="W7:W15" si="2">J7</f>
        <v>105.60000000000008</v>
      </c>
      <c r="X7" s="482"/>
      <c r="Y7" s="4553" t="s">
        <v>1592</v>
      </c>
      <c r="Z7" s="4554"/>
      <c r="AA7" s="28">
        <f>D7/F7</f>
        <v>0.95419847328244212</v>
      </c>
      <c r="AB7" s="28">
        <f>D7/H7</f>
        <v>0.97276264591439654</v>
      </c>
      <c r="AC7" s="563">
        <f>D7/J7</f>
        <v>0.94696969696969624</v>
      </c>
    </row>
    <row r="8" spans="1:29" s="46" customFormat="1" ht="15.75" thickBot="1">
      <c r="A8" s="242" t="s">
        <v>1593</v>
      </c>
      <c r="B8" s="243"/>
      <c r="C8" s="246" t="s">
        <v>4182</v>
      </c>
      <c r="D8" s="2976">
        <v>100</v>
      </c>
      <c r="E8" s="246" t="s">
        <v>4182</v>
      </c>
      <c r="F8" s="3861">
        <f>SUMIF(62:62,E8,63:63)-SUMIF(62:62,C8,63:63)+100</f>
        <v>100</v>
      </c>
      <c r="G8" s="246" t="s">
        <v>4182</v>
      </c>
      <c r="H8" s="3867">
        <f>SUMIF(62:62,G8,63:63)-SUMIF(62:62,C8,63:63)+100</f>
        <v>100</v>
      </c>
      <c r="I8" s="246" t="s">
        <v>4182</v>
      </c>
      <c r="J8" s="3867">
        <f>SUMIF(62:62,I8,63:63)-SUMIF(62:62,C8,63:63)+100</f>
        <v>100</v>
      </c>
      <c r="K8" s="22"/>
      <c r="L8" s="2009"/>
      <c r="M8" s="1962"/>
      <c r="N8" s="1962"/>
      <c r="O8" s="1962"/>
      <c r="P8" s="4587" t="s">
        <v>1595</v>
      </c>
      <c r="Q8" s="4588"/>
      <c r="R8" s="3748" t="s">
        <v>13</v>
      </c>
      <c r="S8" s="3262">
        <f t="shared" si="0"/>
        <v>100</v>
      </c>
      <c r="T8" s="3748" t="s">
        <v>13</v>
      </c>
      <c r="U8" s="3262">
        <f t="shared" si="1"/>
        <v>100</v>
      </c>
      <c r="V8" s="3748" t="s">
        <v>13</v>
      </c>
      <c r="W8" s="3262">
        <f t="shared" si="2"/>
        <v>100</v>
      </c>
      <c r="X8" s="482"/>
      <c r="Y8" s="4553" t="s">
        <v>1595</v>
      </c>
      <c r="Z8" s="4554"/>
      <c r="AA8" s="28">
        <f t="shared" ref="AA8:AA47" si="3">D8/F8</f>
        <v>1</v>
      </c>
      <c r="AB8" s="28">
        <f t="shared" ref="AB8:AB47" si="4">D8/H8</f>
        <v>1</v>
      </c>
      <c r="AC8" s="563">
        <f t="shared" ref="AC8:AC47" si="5">D8/J8</f>
        <v>1</v>
      </c>
    </row>
    <row r="9" spans="1:29" s="46" customFormat="1">
      <c r="A9" s="247" t="s">
        <v>1596</v>
      </c>
      <c r="B9" s="34" t="s">
        <v>1597</v>
      </c>
      <c r="C9" s="4326" t="s">
        <v>4184</v>
      </c>
      <c r="D9" s="2977">
        <v>100</v>
      </c>
      <c r="E9" s="250" t="s">
        <v>4183</v>
      </c>
      <c r="F9" s="33">
        <f>SUMIF(64:64,E9,65:65)-SUMIF(64:64,C9,65:65)+100</f>
        <v>100</v>
      </c>
      <c r="G9" s="249" t="s">
        <v>4183</v>
      </c>
      <c r="H9" s="33">
        <f>SUMIF(64:64,G9,65:65)-SUMIF(64:64,C9,65:65)+100</f>
        <v>100</v>
      </c>
      <c r="I9" s="249" t="s">
        <v>4183</v>
      </c>
      <c r="J9" s="33">
        <f>SUMIF(64:64,I9,65:65)-SUMIF(64:64,C9,65:65)+100</f>
        <v>100</v>
      </c>
      <c r="K9" s="22"/>
      <c r="L9" s="2009"/>
      <c r="M9" s="1962"/>
      <c r="N9" s="1962"/>
      <c r="O9" s="1962"/>
      <c r="P9" s="4568" t="s">
        <v>1598</v>
      </c>
      <c r="Q9" s="1731" t="str">
        <f t="shared" ref="Q9:Q15" si="6">B9</f>
        <v>用途</v>
      </c>
      <c r="R9" s="3748" t="s">
        <v>13</v>
      </c>
      <c r="S9" s="3262">
        <f t="shared" si="0"/>
        <v>100</v>
      </c>
      <c r="T9" s="3748" t="s">
        <v>13</v>
      </c>
      <c r="U9" s="3262">
        <f t="shared" si="1"/>
        <v>100</v>
      </c>
      <c r="V9" s="3748" t="s">
        <v>13</v>
      </c>
      <c r="W9" s="3262">
        <f t="shared" si="2"/>
        <v>100</v>
      </c>
      <c r="X9" s="482"/>
      <c r="Y9" s="4569" t="s">
        <v>1599</v>
      </c>
      <c r="Z9" s="28" t="str">
        <f t="shared" ref="Z9:Z15" si="7">Q9</f>
        <v>用途</v>
      </c>
      <c r="AA9" s="28">
        <f t="shared" si="3"/>
        <v>1</v>
      </c>
      <c r="AB9" s="28">
        <f t="shared" si="4"/>
        <v>1</v>
      </c>
      <c r="AC9" s="563">
        <f t="shared" si="5"/>
        <v>1</v>
      </c>
    </row>
    <row r="10" spans="1:29" s="253" customFormat="1" ht="27">
      <c r="A10" s="251"/>
      <c r="B10" s="252" t="s">
        <v>1600</v>
      </c>
      <c r="C10" s="2541" t="s">
        <v>4272</v>
      </c>
      <c r="D10" s="2978">
        <v>100</v>
      </c>
      <c r="E10" s="2541" t="s">
        <v>4271</v>
      </c>
      <c r="F10" s="422">
        <f>SUMIF(66:66,E10,67:67)-SUMIF(66:66,C10,67:67)+100</f>
        <v>108</v>
      </c>
      <c r="G10" s="2542" t="s">
        <v>4271</v>
      </c>
      <c r="H10" s="422">
        <f>SUMIF(66:66,G10,67:67)-SUMIF(66:66,C10,67:67)+100</f>
        <v>108</v>
      </c>
      <c r="I10" s="2541" t="s">
        <v>4271</v>
      </c>
      <c r="J10" s="422">
        <f>SUMIF(66:66,I10,67:67)-SUMIF(66:66,C10,67:67)+100</f>
        <v>108</v>
      </c>
      <c r="K10" s="22"/>
      <c r="L10" s="2010"/>
      <c r="M10" s="2011"/>
      <c r="N10" s="2011"/>
      <c r="O10" s="2011"/>
      <c r="P10" s="4568"/>
      <c r="Q10" s="1731" t="str">
        <f t="shared" si="6"/>
        <v>土地使用年限（年）</v>
      </c>
      <c r="R10" s="3748" t="s">
        <v>13</v>
      </c>
      <c r="S10" s="3262">
        <f t="shared" si="0"/>
        <v>108</v>
      </c>
      <c r="T10" s="3748" t="s">
        <v>13</v>
      </c>
      <c r="U10" s="3262">
        <f t="shared" si="1"/>
        <v>108</v>
      </c>
      <c r="V10" s="3748" t="s">
        <v>13</v>
      </c>
      <c r="W10" s="3262">
        <f t="shared" si="2"/>
        <v>108</v>
      </c>
      <c r="X10" s="482"/>
      <c r="Y10" s="4569"/>
      <c r="Z10" s="28" t="str">
        <f t="shared" si="7"/>
        <v>土地使用年限（年）</v>
      </c>
      <c r="AA10" s="28">
        <f t="shared" si="3"/>
        <v>0.92592592592592593</v>
      </c>
      <c r="AB10" s="28">
        <f t="shared" si="4"/>
        <v>0.92592592592592593</v>
      </c>
      <c r="AC10" s="563">
        <f t="shared" si="5"/>
        <v>0.92592592592592593</v>
      </c>
    </row>
    <row r="11" spans="1:29" ht="15">
      <c r="A11" s="254"/>
      <c r="B11" s="252" t="s">
        <v>1601</v>
      </c>
      <c r="C11" s="255"/>
      <c r="D11" s="2978">
        <v>100</v>
      </c>
      <c r="E11" s="255"/>
      <c r="F11" s="422">
        <f>LOOKUP(E11,69:69,70:70)-LOOKUP(C11,69:69,70:70)+100</f>
        <v>100</v>
      </c>
      <c r="G11" s="256"/>
      <c r="H11" s="422">
        <f>LOOKUP(G11,69:69,70:70)-LOOKUP(C11,69:69,70:70)+100</f>
        <v>100</v>
      </c>
      <c r="I11" s="255"/>
      <c r="J11" s="422">
        <f>LOOKUP(I11,69:69,70:70)-LOOKUP(C11,69:69,70:70)+100</f>
        <v>100</v>
      </c>
      <c r="K11" s="394"/>
      <c r="L11" s="2012"/>
      <c r="M11" s="2008"/>
      <c r="N11" s="2008"/>
      <c r="O11" s="2008"/>
      <c r="P11" s="4568"/>
      <c r="Q11" s="1731" t="str">
        <f t="shared" si="6"/>
        <v>容积率</v>
      </c>
      <c r="R11" s="3748" t="s">
        <v>13</v>
      </c>
      <c r="S11" s="3262">
        <f t="shared" si="0"/>
        <v>100</v>
      </c>
      <c r="T11" s="3748" t="s">
        <v>13</v>
      </c>
      <c r="U11" s="3262">
        <f t="shared" si="1"/>
        <v>100</v>
      </c>
      <c r="V11" s="3748" t="s">
        <v>13</v>
      </c>
      <c r="W11" s="3262">
        <f t="shared" si="2"/>
        <v>100</v>
      </c>
      <c r="X11" s="482"/>
      <c r="Y11" s="4569"/>
      <c r="Z11" s="28" t="str">
        <f t="shared" si="7"/>
        <v>容积率</v>
      </c>
      <c r="AA11" s="28">
        <f t="shared" si="3"/>
        <v>1</v>
      </c>
      <c r="AB11" s="28">
        <f t="shared" si="4"/>
        <v>1</v>
      </c>
      <c r="AC11" s="563">
        <f t="shared" si="5"/>
        <v>1</v>
      </c>
    </row>
    <row r="12" spans="1:29" s="46" customFormat="1" ht="15">
      <c r="A12" s="257"/>
      <c r="B12" s="310">
        <v>111</v>
      </c>
      <c r="C12" s="258"/>
      <c r="D12" s="2979">
        <v>100</v>
      </c>
      <c r="E12" s="258"/>
      <c r="F12" s="422">
        <f>SUMIF(71:71,E12,72:72)-SUMIF(71:71,C12,72:72)+100</f>
        <v>100</v>
      </c>
      <c r="G12" s="1440"/>
      <c r="H12" s="422">
        <f>SUMIF(71:71,G12,72:72)-SUMIF(71:71,C12,72:72)+100</f>
        <v>100</v>
      </c>
      <c r="I12" s="258"/>
      <c r="J12" s="422">
        <f>SUMIF(71:71,I12,72:72)-SUMIF(71:71,C12,72:72)+100</f>
        <v>100</v>
      </c>
      <c r="K12" s="395"/>
      <c r="L12" s="2009"/>
      <c r="M12" s="1962"/>
      <c r="N12" s="1962"/>
      <c r="O12" s="1962"/>
      <c r="P12" s="4568"/>
      <c r="Q12" s="1731">
        <f t="shared" si="6"/>
        <v>111</v>
      </c>
      <c r="R12" s="3748" t="s">
        <v>13</v>
      </c>
      <c r="S12" s="3262">
        <f t="shared" si="0"/>
        <v>100</v>
      </c>
      <c r="T12" s="3748" t="s">
        <v>13</v>
      </c>
      <c r="U12" s="3262">
        <f t="shared" si="1"/>
        <v>100</v>
      </c>
      <c r="V12" s="3748" t="s">
        <v>13</v>
      </c>
      <c r="W12" s="3262">
        <f t="shared" si="2"/>
        <v>100</v>
      </c>
      <c r="X12" s="482"/>
      <c r="Y12" s="4569"/>
      <c r="Z12" s="28">
        <f t="shared" si="7"/>
        <v>111</v>
      </c>
      <c r="AA12" s="28">
        <f>D12/F12</f>
        <v>1</v>
      </c>
      <c r="AB12" s="28">
        <f>D12/H12</f>
        <v>1</v>
      </c>
      <c r="AC12" s="563">
        <f>D12/J12</f>
        <v>1</v>
      </c>
    </row>
    <row r="13" spans="1:29" ht="15">
      <c r="A13" s="254"/>
      <c r="B13" s="310">
        <v>111</v>
      </c>
      <c r="C13" s="259"/>
      <c r="D13" s="2980">
        <v>100</v>
      </c>
      <c r="E13" s="258"/>
      <c r="F13" s="422">
        <f>SUMIF(73:73,E13,74:74)-SUMIF(73:73,C13,74:74)+100</f>
        <v>100</v>
      </c>
      <c r="G13" s="1440"/>
      <c r="H13" s="3865">
        <f>SUMIF(73:73,G13,74:74)-SUMIF(73:73,C13,74:74)+100</f>
        <v>100</v>
      </c>
      <c r="I13" s="258"/>
      <c r="J13" s="3865">
        <f>SUMIF(73:73,I13,74:74)-SUMIF(73:73,C13,74:74)+100</f>
        <v>100</v>
      </c>
      <c r="K13" s="395"/>
      <c r="L13" s="2013"/>
      <c r="M13" s="2008"/>
      <c r="N13" s="2008"/>
      <c r="O13" s="2008"/>
      <c r="P13" s="4568"/>
      <c r="Q13" s="1731">
        <f t="shared" si="6"/>
        <v>111</v>
      </c>
      <c r="R13" s="3748" t="s">
        <v>13</v>
      </c>
      <c r="S13" s="3262">
        <f t="shared" si="0"/>
        <v>100</v>
      </c>
      <c r="T13" s="3748" t="s">
        <v>13</v>
      </c>
      <c r="U13" s="3262">
        <f t="shared" si="1"/>
        <v>100</v>
      </c>
      <c r="V13" s="3748" t="s">
        <v>13</v>
      </c>
      <c r="W13" s="3262">
        <f t="shared" si="2"/>
        <v>100</v>
      </c>
      <c r="X13" s="482"/>
      <c r="Y13" s="4569"/>
      <c r="Z13" s="28">
        <f t="shared" si="7"/>
        <v>111</v>
      </c>
      <c r="AA13" s="28">
        <f t="shared" si="3"/>
        <v>1</v>
      </c>
      <c r="AB13" s="28">
        <f t="shared" si="4"/>
        <v>1</v>
      </c>
      <c r="AC13" s="563">
        <f t="shared" si="5"/>
        <v>1</v>
      </c>
    </row>
    <row r="14" spans="1:29" ht="15.75" thickBot="1">
      <c r="A14" s="260"/>
      <c r="B14" s="1387">
        <v>111</v>
      </c>
      <c r="C14" s="261"/>
      <c r="D14" s="2981">
        <v>100</v>
      </c>
      <c r="E14" s="402"/>
      <c r="F14" s="3862">
        <f>SUMIF(75:75,E14,76:76)-SUMIF(75:75,C14,76:76)+100</f>
        <v>100</v>
      </c>
      <c r="G14" s="1440"/>
      <c r="H14" s="3862">
        <f>SUMIF(75:75,G14,76:76)-SUMIF(75:75,C14,76:76)+100</f>
        <v>100</v>
      </c>
      <c r="I14" s="258"/>
      <c r="J14" s="3862">
        <f>SUMIF(75:75,I14,76:76)-SUMIF(75:75,C14,76:76)+100</f>
        <v>100</v>
      </c>
      <c r="K14" s="395"/>
      <c r="L14" s="2013"/>
      <c r="M14" s="2008"/>
      <c r="N14" s="2008"/>
      <c r="O14" s="2008"/>
      <c r="P14" s="4568"/>
      <c r="Q14" s="1731">
        <f t="shared" si="6"/>
        <v>111</v>
      </c>
      <c r="R14" s="3748" t="s">
        <v>13</v>
      </c>
      <c r="S14" s="3262">
        <f t="shared" si="0"/>
        <v>100</v>
      </c>
      <c r="T14" s="3748" t="s">
        <v>13</v>
      </c>
      <c r="U14" s="3262">
        <f t="shared" si="1"/>
        <v>100</v>
      </c>
      <c r="V14" s="3748" t="s">
        <v>13</v>
      </c>
      <c r="W14" s="3262">
        <f t="shared" si="2"/>
        <v>100</v>
      </c>
      <c r="X14" s="482"/>
      <c r="Y14" s="4569"/>
      <c r="Z14" s="28">
        <f t="shared" si="7"/>
        <v>111</v>
      </c>
      <c r="AA14" s="28">
        <f t="shared" si="3"/>
        <v>1</v>
      </c>
      <c r="AB14" s="28">
        <f t="shared" si="4"/>
        <v>1</v>
      </c>
      <c r="AC14" s="563">
        <f t="shared" si="5"/>
        <v>1</v>
      </c>
    </row>
    <row r="15" spans="1:29" ht="15">
      <c r="A15" s="262" t="s">
        <v>1602</v>
      </c>
      <c r="B15" s="403" t="s">
        <v>1723</v>
      </c>
      <c r="C15" s="1441">
        <f>估价对象房地状况!C5</f>
        <v>0</v>
      </c>
      <c r="D15" s="2982">
        <v>100</v>
      </c>
      <c r="E15" s="264"/>
      <c r="F15" s="3863">
        <f>SUMIF(77:77,E16,78:78)-SUMIF(77:77,C16,78:78)+100</f>
        <v>97</v>
      </c>
      <c r="G15" s="263"/>
      <c r="H15" s="3863">
        <f>SUMIF(77:77,G16,78:78)-SUMIF(77:77,C16,78:78)+100</f>
        <v>97</v>
      </c>
      <c r="I15" s="263"/>
      <c r="J15" s="3863">
        <f>SUMIF(77:77,I16,78:78)-SUMIF(77:77,C16,78:78)+100</f>
        <v>97</v>
      </c>
      <c r="K15" s="396">
        <v>3</v>
      </c>
      <c r="L15" s="2013"/>
      <c r="M15" s="2008"/>
      <c r="N15" s="2008"/>
      <c r="O15" s="2008"/>
      <c r="P15" s="4596" t="s">
        <v>1603</v>
      </c>
      <c r="Q15" s="1533" t="str">
        <f t="shared" si="6"/>
        <v>办公集聚程度</v>
      </c>
      <c r="R15" s="3849" t="s">
        <v>13</v>
      </c>
      <c r="S15" s="3263">
        <f t="shared" si="0"/>
        <v>97</v>
      </c>
      <c r="T15" s="3849" t="s">
        <v>13</v>
      </c>
      <c r="U15" s="3263">
        <f t="shared" si="1"/>
        <v>97</v>
      </c>
      <c r="V15" s="3849" t="s">
        <v>13</v>
      </c>
      <c r="W15" s="3263">
        <f t="shared" si="2"/>
        <v>97</v>
      </c>
      <c r="X15" s="935"/>
      <c r="Y15" s="4598" t="s">
        <v>1603</v>
      </c>
      <c r="Z15" s="933" t="str">
        <f t="shared" si="7"/>
        <v>办公集聚程度</v>
      </c>
      <c r="AA15" s="933">
        <f t="shared" si="3"/>
        <v>1.0309278350515463</v>
      </c>
      <c r="AB15" s="933">
        <f t="shared" si="4"/>
        <v>1.0309278350515463</v>
      </c>
      <c r="AC15" s="1442">
        <f t="shared" si="5"/>
        <v>1.0309278350515463</v>
      </c>
    </row>
    <row r="16" spans="1:29" ht="15">
      <c r="A16" s="254"/>
      <c r="B16" s="404"/>
      <c r="C16" s="1394" t="s">
        <v>3616</v>
      </c>
      <c r="D16" s="2983"/>
      <c r="E16" s="266" t="s">
        <v>3615</v>
      </c>
      <c r="F16" s="267"/>
      <c r="G16" s="1394" t="s">
        <v>3615</v>
      </c>
      <c r="H16" s="268"/>
      <c r="I16" s="266" t="s">
        <v>3615</v>
      </c>
      <c r="J16" s="267"/>
      <c r="K16" s="397"/>
      <c r="L16" s="2013"/>
      <c r="M16" s="2008"/>
      <c r="N16" s="2008"/>
      <c r="O16" s="2008"/>
      <c r="P16" s="4597"/>
      <c r="Q16" s="1533"/>
      <c r="R16" s="3849"/>
      <c r="S16" s="3263"/>
      <c r="T16" s="3849"/>
      <c r="U16" s="3263"/>
      <c r="V16" s="3849"/>
      <c r="W16" s="3263"/>
      <c r="X16" s="935"/>
      <c r="Y16" s="4599"/>
      <c r="Z16" s="933"/>
      <c r="AA16" s="933">
        <v>1</v>
      </c>
      <c r="AB16" s="933">
        <v>1</v>
      </c>
      <c r="AC16" s="1442">
        <v>1</v>
      </c>
    </row>
    <row r="17" spans="1:29" ht="15">
      <c r="A17" s="254"/>
      <c r="B17" s="405" t="s">
        <v>1239</v>
      </c>
      <c r="C17" s="1443">
        <f>估价对象房地状况!C6</f>
        <v>0</v>
      </c>
      <c r="D17" s="2984">
        <v>100</v>
      </c>
      <c r="E17" s="271"/>
      <c r="F17" s="268">
        <f>SUMIF(79:79,E18,80:80)-SUMIF(79:79,C18,80:80)+100</f>
        <v>100</v>
      </c>
      <c r="G17" s="270"/>
      <c r="H17" s="3864">
        <f>SUMIF(79:79,G18,80:80)-SUMIF(79:79,C18,80:80)+100</f>
        <v>100</v>
      </c>
      <c r="I17" s="270"/>
      <c r="J17" s="3864">
        <f>SUMIF(79:79,I18,80:80)-SUMIF(79:79,C18,80:80)+100</f>
        <v>100</v>
      </c>
      <c r="K17" s="396">
        <v>3</v>
      </c>
      <c r="L17" s="2013"/>
      <c r="M17" s="2008"/>
      <c r="N17" s="2008"/>
      <c r="O17" s="2008"/>
      <c r="P17" s="4597"/>
      <c r="Q17" s="1533" t="str">
        <f>B17</f>
        <v>交通便捷度</v>
      </c>
      <c r="R17" s="3849" t="s">
        <v>13</v>
      </c>
      <c r="S17" s="3263">
        <f>F17</f>
        <v>100</v>
      </c>
      <c r="T17" s="3849" t="s">
        <v>13</v>
      </c>
      <c r="U17" s="3263">
        <f>H17</f>
        <v>100</v>
      </c>
      <c r="V17" s="3849" t="s">
        <v>13</v>
      </c>
      <c r="W17" s="3263">
        <f>J17</f>
        <v>100</v>
      </c>
      <c r="X17" s="935"/>
      <c r="Y17" s="4599"/>
      <c r="Z17" s="933" t="str">
        <f>Q17</f>
        <v>交通便捷度</v>
      </c>
      <c r="AA17" s="933">
        <f t="shared" si="3"/>
        <v>1</v>
      </c>
      <c r="AB17" s="933">
        <f t="shared" si="4"/>
        <v>1</v>
      </c>
      <c r="AC17" s="1442">
        <f t="shared" si="5"/>
        <v>1</v>
      </c>
    </row>
    <row r="18" spans="1:29" ht="15">
      <c r="A18" s="254"/>
      <c r="B18" s="406"/>
      <c r="C18" s="1444" t="s">
        <v>3616</v>
      </c>
      <c r="D18" s="2984"/>
      <c r="E18" s="1392" t="s">
        <v>3616</v>
      </c>
      <c r="F18" s="268"/>
      <c r="G18" s="1393" t="s">
        <v>3616</v>
      </c>
      <c r="H18" s="267"/>
      <c r="I18" s="1393" t="s">
        <v>3616</v>
      </c>
      <c r="J18" s="267"/>
      <c r="K18" s="397"/>
      <c r="L18" s="2013"/>
      <c r="M18" s="2008"/>
      <c r="N18" s="2008"/>
      <c r="O18" s="2008"/>
      <c r="P18" s="4597"/>
      <c r="Q18" s="1533"/>
      <c r="R18" s="3849"/>
      <c r="S18" s="3263"/>
      <c r="T18" s="3849"/>
      <c r="U18" s="3263"/>
      <c r="V18" s="3849"/>
      <c r="W18" s="3263"/>
      <c r="X18" s="935"/>
      <c r="Y18" s="4599"/>
      <c r="Z18" s="933"/>
      <c r="AA18" s="933">
        <v>1</v>
      </c>
      <c r="AB18" s="933">
        <v>1</v>
      </c>
      <c r="AC18" s="1442">
        <v>1</v>
      </c>
    </row>
    <row r="19" spans="1:29" ht="15">
      <c r="A19" s="254"/>
      <c r="B19" s="405" t="s">
        <v>1724</v>
      </c>
      <c r="C19" s="1443">
        <f>估价对象房地状况!C7</f>
        <v>0</v>
      </c>
      <c r="D19" s="2985">
        <v>100</v>
      </c>
      <c r="E19" s="274"/>
      <c r="F19" s="3864">
        <f>SUMIF(81:81,E20,82:82)-SUMIF(81:81,C20,82:82)+100</f>
        <v>103</v>
      </c>
      <c r="G19" s="273"/>
      <c r="H19" s="268">
        <f>SUMIF(81:81,G20,82:82)-SUMIF(81:81,C20,82:82)+100</f>
        <v>100</v>
      </c>
      <c r="I19" s="273"/>
      <c r="J19" s="268">
        <f>SUMIF(81:81,I20,82:82)-SUMIF(81:81,C20,82:82)+100</f>
        <v>100</v>
      </c>
      <c r="K19" s="396">
        <v>3</v>
      </c>
      <c r="L19" s="2013"/>
      <c r="M19" s="2008"/>
      <c r="N19" s="2008"/>
      <c r="O19" s="2008"/>
      <c r="P19" s="4597"/>
      <c r="Q19" s="1533" t="str">
        <f>B19</f>
        <v>公共配套设施</v>
      </c>
      <c r="R19" s="3849" t="s">
        <v>13</v>
      </c>
      <c r="S19" s="3263">
        <f>F19</f>
        <v>103</v>
      </c>
      <c r="T19" s="3849" t="s">
        <v>13</v>
      </c>
      <c r="U19" s="3263">
        <f>H19</f>
        <v>100</v>
      </c>
      <c r="V19" s="3849" t="s">
        <v>13</v>
      </c>
      <c r="W19" s="3263">
        <f>J19</f>
        <v>100</v>
      </c>
      <c r="X19" s="935"/>
      <c r="Y19" s="4599"/>
      <c r="Z19" s="933" t="str">
        <f>Q19</f>
        <v>公共配套设施</v>
      </c>
      <c r="AA19" s="933">
        <f t="shared" si="3"/>
        <v>0.970873786407767</v>
      </c>
      <c r="AB19" s="933">
        <f t="shared" si="4"/>
        <v>1</v>
      </c>
      <c r="AC19" s="1442">
        <f t="shared" si="5"/>
        <v>1</v>
      </c>
    </row>
    <row r="20" spans="1:29" ht="15">
      <c r="A20" s="254"/>
      <c r="B20" s="406"/>
      <c r="C20" s="1394" t="s">
        <v>3615</v>
      </c>
      <c r="D20" s="2983"/>
      <c r="E20" s="1388" t="s">
        <v>3616</v>
      </c>
      <c r="F20" s="267"/>
      <c r="G20" s="1389" t="s">
        <v>3615</v>
      </c>
      <c r="H20" s="267"/>
      <c r="I20" s="1389" t="s">
        <v>3615</v>
      </c>
      <c r="J20" s="267"/>
      <c r="K20" s="397"/>
      <c r="L20" s="2013"/>
      <c r="M20" s="2008"/>
      <c r="N20" s="2008"/>
      <c r="O20" s="2008"/>
      <c r="P20" s="4597"/>
      <c r="Q20" s="1533"/>
      <c r="R20" s="3849"/>
      <c r="S20" s="3263"/>
      <c r="T20" s="3849"/>
      <c r="U20" s="3263"/>
      <c r="V20" s="3849"/>
      <c r="W20" s="3263"/>
      <c r="X20" s="935"/>
      <c r="Y20" s="4599"/>
      <c r="Z20" s="933"/>
      <c r="AA20" s="933">
        <v>1</v>
      </c>
      <c r="AB20" s="933">
        <v>1</v>
      </c>
      <c r="AC20" s="1442">
        <v>1</v>
      </c>
    </row>
    <row r="21" spans="1:29" ht="15">
      <c r="A21" s="254"/>
      <c r="B21" s="407" t="s">
        <v>1725</v>
      </c>
      <c r="C21" s="1443">
        <f>估价对象房地状况!C8</f>
        <v>0</v>
      </c>
      <c r="D21" s="2984">
        <v>100</v>
      </c>
      <c r="E21" s="274"/>
      <c r="F21" s="3864">
        <f>SUMIF(83:83,E22,84:84)-SUMIF(83:83,C22,84:84)+100</f>
        <v>100</v>
      </c>
      <c r="G21" s="273"/>
      <c r="H21" s="268">
        <f>SUMIF(83:83,G22,84:84)-SUMIF(83:83,C22,84:84)+100</f>
        <v>100</v>
      </c>
      <c r="I21" s="273"/>
      <c r="J21" s="268">
        <f>SUMIF(83:83,I22,84:84)-SUMIF(83:83,C22,84:84)+100</f>
        <v>100</v>
      </c>
      <c r="K21" s="396">
        <v>3</v>
      </c>
      <c r="L21" s="2013"/>
      <c r="M21" s="2008"/>
      <c r="N21" s="2008"/>
      <c r="O21" s="2008"/>
      <c r="P21" s="4597"/>
      <c r="Q21" s="1533" t="str">
        <f>B21</f>
        <v>基础设施水平</v>
      </c>
      <c r="R21" s="3849" t="s">
        <v>13</v>
      </c>
      <c r="S21" s="3263">
        <f>F21</f>
        <v>100</v>
      </c>
      <c r="T21" s="3849" t="s">
        <v>13</v>
      </c>
      <c r="U21" s="3263">
        <f>H21</f>
        <v>100</v>
      </c>
      <c r="V21" s="3849" t="s">
        <v>13</v>
      </c>
      <c r="W21" s="3263">
        <f>J21</f>
        <v>100</v>
      </c>
      <c r="X21" s="935"/>
      <c r="Y21" s="4599"/>
      <c r="Z21" s="933" t="str">
        <f>Q21</f>
        <v>基础设施水平</v>
      </c>
      <c r="AA21" s="933">
        <f t="shared" ref="AA21" si="8">D21/F21</f>
        <v>1</v>
      </c>
      <c r="AB21" s="933">
        <f t="shared" ref="AB21" si="9">D21/H21</f>
        <v>1</v>
      </c>
      <c r="AC21" s="1442">
        <f t="shared" ref="AC21" si="10">D21/J21</f>
        <v>1</v>
      </c>
    </row>
    <row r="22" spans="1:29" ht="15">
      <c r="A22" s="254"/>
      <c r="B22" s="407"/>
      <c r="C22" s="1444" t="s">
        <v>3617</v>
      </c>
      <c r="D22" s="2983"/>
      <c r="E22" s="266" t="s">
        <v>3617</v>
      </c>
      <c r="F22" s="267"/>
      <c r="G22" s="1394" t="s">
        <v>3617</v>
      </c>
      <c r="H22" s="267"/>
      <c r="I22" s="1394" t="s">
        <v>3617</v>
      </c>
      <c r="J22" s="267"/>
      <c r="K22" s="780"/>
      <c r="L22" s="2013"/>
      <c r="M22" s="2008"/>
      <c r="N22" s="2008"/>
      <c r="O22" s="2008"/>
      <c r="P22" s="4597"/>
      <c r="Q22" s="1533"/>
      <c r="R22" s="3849"/>
      <c r="S22" s="3263"/>
      <c r="T22" s="3849"/>
      <c r="U22" s="3263"/>
      <c r="V22" s="3849"/>
      <c r="W22" s="3263"/>
      <c r="X22" s="935"/>
      <c r="Y22" s="4599"/>
      <c r="Z22" s="933"/>
      <c r="AA22" s="933">
        <v>1</v>
      </c>
      <c r="AB22" s="933">
        <v>1</v>
      </c>
      <c r="AC22" s="1442">
        <v>1</v>
      </c>
    </row>
    <row r="23" spans="1:29" ht="15">
      <c r="A23" s="254"/>
      <c r="B23" s="405" t="s">
        <v>1726</v>
      </c>
      <c r="C23" s="1443">
        <f>估价对象房地状况!C9</f>
        <v>0</v>
      </c>
      <c r="D23" s="2984">
        <v>100</v>
      </c>
      <c r="E23" s="271"/>
      <c r="F23" s="268">
        <f>SUMIF(85:85,E24,86:86)-SUMIF(85:85,C24,86:86)+100</f>
        <v>100</v>
      </c>
      <c r="G23" s="270"/>
      <c r="H23" s="268">
        <f>SUMIF(85:85,G24,86:86)-SUMIF(85:85,C24,86:86)+100</f>
        <v>100</v>
      </c>
      <c r="I23" s="270"/>
      <c r="J23" s="268">
        <f>SUMIF(85:85,I24,86:86)-SUMIF(85:85,C24,86:86)+100</f>
        <v>100</v>
      </c>
      <c r="K23" s="396">
        <v>3</v>
      </c>
      <c r="L23" s="2013"/>
      <c r="M23" s="2008"/>
      <c r="N23" s="2008"/>
      <c r="O23" s="2008"/>
      <c r="P23" s="4597"/>
      <c r="Q23" s="1533" t="str">
        <f>B23</f>
        <v>环境质量</v>
      </c>
      <c r="R23" s="3849" t="s">
        <v>13</v>
      </c>
      <c r="S23" s="3263">
        <f>F23</f>
        <v>100</v>
      </c>
      <c r="T23" s="3849" t="s">
        <v>13</v>
      </c>
      <c r="U23" s="3263">
        <f>H23</f>
        <v>100</v>
      </c>
      <c r="V23" s="3849" t="s">
        <v>13</v>
      </c>
      <c r="W23" s="3263">
        <f>J23</f>
        <v>100</v>
      </c>
      <c r="X23" s="935"/>
      <c r="Y23" s="4599"/>
      <c r="Z23" s="933" t="str">
        <f>Q23</f>
        <v>环境质量</v>
      </c>
      <c r="AA23" s="933">
        <f t="shared" si="3"/>
        <v>1</v>
      </c>
      <c r="AB23" s="933">
        <f t="shared" si="4"/>
        <v>1</v>
      </c>
      <c r="AC23" s="1442">
        <f t="shared" si="5"/>
        <v>1</v>
      </c>
    </row>
    <row r="24" spans="1:29" ht="15">
      <c r="A24" s="254"/>
      <c r="B24" s="407"/>
      <c r="C24" s="1394" t="s">
        <v>3615</v>
      </c>
      <c r="D24" s="2983"/>
      <c r="E24" s="1388" t="s">
        <v>3615</v>
      </c>
      <c r="F24" s="267"/>
      <c r="G24" s="1389" t="s">
        <v>3615</v>
      </c>
      <c r="H24" s="267"/>
      <c r="I24" s="1389" t="s">
        <v>3615</v>
      </c>
      <c r="J24" s="267"/>
      <c r="K24" s="397"/>
      <c r="L24" s="2013"/>
      <c r="M24" s="2008"/>
      <c r="N24" s="2008"/>
      <c r="O24" s="2008"/>
      <c r="P24" s="4597"/>
      <c r="Q24" s="1533"/>
      <c r="R24" s="3849"/>
      <c r="S24" s="3263"/>
      <c r="T24" s="3849"/>
      <c r="U24" s="3263"/>
      <c r="V24" s="3849"/>
      <c r="W24" s="3263"/>
      <c r="X24" s="935"/>
      <c r="Y24" s="4599"/>
      <c r="Z24" s="933"/>
      <c r="AA24" s="933">
        <v>1</v>
      </c>
      <c r="AB24" s="933">
        <v>1</v>
      </c>
      <c r="AC24" s="1442">
        <v>1</v>
      </c>
    </row>
    <row r="25" spans="1:29" ht="27">
      <c r="A25" s="238"/>
      <c r="B25" s="405" t="s">
        <v>1727</v>
      </c>
      <c r="C25" s="1396"/>
      <c r="D25" s="2980">
        <v>100</v>
      </c>
      <c r="E25" s="259"/>
      <c r="F25" s="3865">
        <f>SUMIF(87:87,E26,88:88)-SUMIF(87:87,C26,88:88)+100</f>
        <v>100</v>
      </c>
      <c r="G25" s="1396"/>
      <c r="H25" s="3865">
        <f>SUMIF(87:87,G26,88:88)-SUMIF(87:87,C26,88:88)+100</f>
        <v>100</v>
      </c>
      <c r="I25" s="259"/>
      <c r="J25" s="3865">
        <f>SUMIF(87:87,I26,88:88)-SUMIF(87:87,C26,88:88)+100</f>
        <v>100</v>
      </c>
      <c r="K25" s="396"/>
      <c r="L25" s="2013"/>
      <c r="M25" s="2008"/>
      <c r="N25" s="2008"/>
      <c r="O25" s="2008"/>
      <c r="P25" s="4597"/>
      <c r="Q25" s="1533" t="str">
        <f>B25</f>
        <v>毗邻道路的类型与等级</v>
      </c>
      <c r="R25" s="3849" t="s">
        <v>13</v>
      </c>
      <c r="S25" s="3263">
        <f>F25</f>
        <v>100</v>
      </c>
      <c r="T25" s="3849" t="s">
        <v>13</v>
      </c>
      <c r="U25" s="3263">
        <f>H25</f>
        <v>100</v>
      </c>
      <c r="V25" s="3849" t="s">
        <v>13</v>
      </c>
      <c r="W25" s="3263">
        <f>J25</f>
        <v>100</v>
      </c>
      <c r="X25" s="935"/>
      <c r="Y25" s="4599"/>
      <c r="Z25" s="933" t="str">
        <f>Q25</f>
        <v>毗邻道路的类型与等级</v>
      </c>
      <c r="AA25" s="933">
        <f t="shared" si="3"/>
        <v>1</v>
      </c>
      <c r="AB25" s="933">
        <f t="shared" si="4"/>
        <v>1</v>
      </c>
      <c r="AC25" s="1442">
        <f t="shared" si="5"/>
        <v>1</v>
      </c>
    </row>
    <row r="26" spans="1:29" ht="15">
      <c r="A26" s="238"/>
      <c r="B26" s="406"/>
      <c r="C26" s="408"/>
      <c r="D26" s="2980"/>
      <c r="E26" s="398"/>
      <c r="F26" s="3865"/>
      <c r="G26" s="408"/>
      <c r="H26" s="3865"/>
      <c r="I26" s="398"/>
      <c r="J26" s="3865"/>
      <c r="K26" s="397"/>
      <c r="L26" s="2013"/>
      <c r="M26" s="2008"/>
      <c r="N26" s="2008"/>
      <c r="O26" s="2008"/>
      <c r="P26" s="4597"/>
      <c r="Q26" s="1533"/>
      <c r="R26" s="3849"/>
      <c r="S26" s="3263"/>
      <c r="T26" s="3849"/>
      <c r="U26" s="3263"/>
      <c r="V26" s="3849"/>
      <c r="W26" s="3263"/>
      <c r="X26" s="935"/>
      <c r="Y26" s="4599"/>
      <c r="Z26" s="933"/>
      <c r="AA26" s="933">
        <v>1</v>
      </c>
      <c r="AB26" s="933">
        <v>1</v>
      </c>
      <c r="AC26" s="1442">
        <v>1</v>
      </c>
    </row>
    <row r="27" spans="1:29" ht="15">
      <c r="A27" s="254"/>
      <c r="B27" s="406" t="s">
        <v>1695</v>
      </c>
      <c r="C27" s="408"/>
      <c r="D27" s="2980">
        <v>100</v>
      </c>
      <c r="E27" s="398"/>
      <c r="F27" s="3865">
        <f>SUMIF(89:89,E27,90:90)-SUMIF(89:89,C27,90:90)+100</f>
        <v>100</v>
      </c>
      <c r="G27" s="408"/>
      <c r="H27" s="3865">
        <f>SUMIF(89:89,G27,90:90)-SUMIF(89:89,C27,90:90)+100</f>
        <v>100</v>
      </c>
      <c r="I27" s="398"/>
      <c r="J27" s="3865">
        <f>SUMIF(89:89,I27,90:90)-SUMIF(89:89,C27,90:90)+100</f>
        <v>100</v>
      </c>
      <c r="K27" s="394"/>
      <c r="L27" s="2013"/>
      <c r="M27" s="2008"/>
      <c r="N27" s="2008"/>
      <c r="O27" s="2008"/>
      <c r="P27" s="4597"/>
      <c r="Q27" s="1533" t="str">
        <f t="shared" ref="Q27:Q47" si="11">B27</f>
        <v>楼层</v>
      </c>
      <c r="R27" s="3849" t="s">
        <v>13</v>
      </c>
      <c r="S27" s="3263">
        <f>F27</f>
        <v>100</v>
      </c>
      <c r="T27" s="3849" t="s">
        <v>13</v>
      </c>
      <c r="U27" s="3263">
        <f>H27</f>
        <v>100</v>
      </c>
      <c r="V27" s="3849" t="s">
        <v>13</v>
      </c>
      <c r="W27" s="3263">
        <f>J27</f>
        <v>100</v>
      </c>
      <c r="X27" s="935"/>
      <c r="Y27" s="4599"/>
      <c r="Z27" s="933" t="str">
        <f>Q27</f>
        <v>楼层</v>
      </c>
      <c r="AA27" s="933">
        <f t="shared" si="3"/>
        <v>1</v>
      </c>
      <c r="AB27" s="933">
        <f t="shared" si="4"/>
        <v>1</v>
      </c>
      <c r="AC27" s="1442">
        <f t="shared" si="5"/>
        <v>1</v>
      </c>
    </row>
    <row r="28" spans="1:29" s="46" customFormat="1" ht="15">
      <c r="A28" s="257"/>
      <c r="B28" s="405" t="s">
        <v>1728</v>
      </c>
      <c r="C28" s="1445"/>
      <c r="D28" s="2986">
        <v>100</v>
      </c>
      <c r="E28" s="1437"/>
      <c r="F28" s="406">
        <f>SUMIF(91:91,E28,92:92)-SUMIF(91:91,C28,92:92)+100</f>
        <v>100</v>
      </c>
      <c r="G28" s="1445"/>
      <c r="H28" s="406">
        <f>SUMIF(91:91,G28,92:92)-SUMIF(91:91,C28,92:92)+100</f>
        <v>100</v>
      </c>
      <c r="I28" s="1437"/>
      <c r="J28" s="406">
        <f>SUMIF(91:91,I28,92:92)-SUMIF(91:91,C28,92:92)+100</f>
        <v>100</v>
      </c>
      <c r="K28" s="394"/>
      <c r="L28" s="2009"/>
      <c r="M28" s="1962"/>
      <c r="N28" s="1962"/>
      <c r="O28" s="1962"/>
      <c r="P28" s="4597"/>
      <c r="Q28" s="1731" t="str">
        <f t="shared" si="11"/>
        <v>朝向</v>
      </c>
      <c r="R28" s="3748" t="s">
        <v>13</v>
      </c>
      <c r="S28" s="3262">
        <f>F28</f>
        <v>100</v>
      </c>
      <c r="T28" s="3748" t="s">
        <v>13</v>
      </c>
      <c r="U28" s="3262">
        <f>H28</f>
        <v>100</v>
      </c>
      <c r="V28" s="3748" t="s">
        <v>13</v>
      </c>
      <c r="W28" s="3262">
        <f>J28</f>
        <v>100</v>
      </c>
      <c r="X28" s="482"/>
      <c r="Y28" s="4599"/>
      <c r="Z28" s="28" t="str">
        <f>Q28</f>
        <v>朝向</v>
      </c>
      <c r="AA28" s="933">
        <f>D28/F28</f>
        <v>1</v>
      </c>
      <c r="AB28" s="933">
        <f>D28/H28</f>
        <v>1</v>
      </c>
      <c r="AC28" s="1442">
        <f>D28/J28</f>
        <v>1</v>
      </c>
    </row>
    <row r="29" spans="1:29" ht="15">
      <c r="A29" s="254"/>
      <c r="B29" s="799">
        <v>111</v>
      </c>
      <c r="C29" s="1396"/>
      <c r="D29" s="2980">
        <v>100</v>
      </c>
      <c r="E29" s="258"/>
      <c r="F29" s="3865">
        <f>SUMIF(93:93,E29,94:94)-SUMIF(93:93,C29,94:94)+100</f>
        <v>100</v>
      </c>
      <c r="G29" s="1440"/>
      <c r="H29" s="3865">
        <f>SUMIF(93:93,G29,94:94)-SUMIF(93:93,C29,94:94)+100</f>
        <v>100</v>
      </c>
      <c r="I29" s="258"/>
      <c r="J29" s="3865">
        <f>SUMIF(93:93,I29,94:94)-SUMIF(93:93,C29,94:94)+100</f>
        <v>100</v>
      </c>
      <c r="K29" s="395"/>
      <c r="L29" s="2013"/>
      <c r="M29" s="2008"/>
      <c r="N29" s="2008"/>
      <c r="O29" s="2008"/>
      <c r="P29" s="4597"/>
      <c r="Q29" s="1533">
        <f t="shared" si="11"/>
        <v>111</v>
      </c>
      <c r="R29" s="3849" t="s">
        <v>13</v>
      </c>
      <c r="S29" s="3263">
        <f t="shared" ref="S29:S47" si="12">F29</f>
        <v>100</v>
      </c>
      <c r="T29" s="3849" t="s">
        <v>13</v>
      </c>
      <c r="U29" s="3263">
        <f t="shared" ref="U29:U47" si="13">H29</f>
        <v>100</v>
      </c>
      <c r="V29" s="3849" t="s">
        <v>13</v>
      </c>
      <c r="W29" s="3263">
        <f t="shared" ref="W29:W47" si="14">J29</f>
        <v>100</v>
      </c>
      <c r="X29" s="935"/>
      <c r="Y29" s="4599"/>
      <c r="Z29" s="933">
        <f t="shared" ref="Z29:Z47" si="15">Q29</f>
        <v>111</v>
      </c>
      <c r="AA29" s="933">
        <f t="shared" si="3"/>
        <v>1</v>
      </c>
      <c r="AB29" s="933">
        <f t="shared" si="4"/>
        <v>1</v>
      </c>
      <c r="AC29" s="1442">
        <f t="shared" si="5"/>
        <v>1</v>
      </c>
    </row>
    <row r="30" spans="1:29" ht="15">
      <c r="A30" s="254"/>
      <c r="B30" s="799">
        <v>111</v>
      </c>
      <c r="C30" s="1396"/>
      <c r="D30" s="2980">
        <v>100</v>
      </c>
      <c r="E30" s="258"/>
      <c r="F30" s="3865">
        <f>SUMIF(95:95,E30,96:96)-SUMIF(95:95,C30,96:96)+100</f>
        <v>100</v>
      </c>
      <c r="G30" s="1440"/>
      <c r="H30" s="3865">
        <f>SUMIF(95:95,G30,96:96)-SUMIF(95:95,C30,96:96)+100</f>
        <v>100</v>
      </c>
      <c r="I30" s="258"/>
      <c r="J30" s="3865">
        <f>SUMIF(95:95,I30,96:96)-SUMIF(95:95,C30,96:96)+100</f>
        <v>100</v>
      </c>
      <c r="K30" s="395"/>
      <c r="L30" s="2013"/>
      <c r="M30" s="2008"/>
      <c r="N30" s="2008"/>
      <c r="O30" s="2008"/>
      <c r="P30" s="4597"/>
      <c r="Q30" s="1533">
        <f t="shared" si="11"/>
        <v>111</v>
      </c>
      <c r="R30" s="3849" t="s">
        <v>13</v>
      </c>
      <c r="S30" s="3263">
        <f t="shared" si="12"/>
        <v>100</v>
      </c>
      <c r="T30" s="3849" t="s">
        <v>13</v>
      </c>
      <c r="U30" s="3263">
        <f t="shared" si="13"/>
        <v>100</v>
      </c>
      <c r="V30" s="3849" t="s">
        <v>13</v>
      </c>
      <c r="W30" s="3263">
        <f t="shared" si="14"/>
        <v>100</v>
      </c>
      <c r="X30" s="935"/>
      <c r="Y30" s="4599"/>
      <c r="Z30" s="933">
        <f t="shared" si="15"/>
        <v>111</v>
      </c>
      <c r="AA30" s="933">
        <f t="shared" si="3"/>
        <v>1</v>
      </c>
      <c r="AB30" s="933">
        <f t="shared" si="4"/>
        <v>1</v>
      </c>
      <c r="AC30" s="1442">
        <f t="shared" si="5"/>
        <v>1</v>
      </c>
    </row>
    <row r="31" spans="1:29" ht="15">
      <c r="A31" s="254"/>
      <c r="B31" s="799">
        <v>111</v>
      </c>
      <c r="C31" s="1396"/>
      <c r="D31" s="2980">
        <v>100</v>
      </c>
      <c r="E31" s="258"/>
      <c r="F31" s="3865">
        <f>SUMIF(97:97,E31,98:98)-SUMIF(97:97,C31,98:98)+100</f>
        <v>100</v>
      </c>
      <c r="G31" s="1440"/>
      <c r="H31" s="3865">
        <f>SUMIF(97:97,G31,98:98)-SUMIF(97:97,C31,98:98)+100</f>
        <v>100</v>
      </c>
      <c r="I31" s="258"/>
      <c r="J31" s="3865">
        <f>SUMIF(97:97,I31,98:98)-SUMIF(97:97,C31,98:98)+100</f>
        <v>100</v>
      </c>
      <c r="K31" s="395"/>
      <c r="L31" s="2013"/>
      <c r="M31" s="2008"/>
      <c r="N31" s="2008"/>
      <c r="O31" s="2008"/>
      <c r="P31" s="4597"/>
      <c r="Q31" s="1533">
        <f t="shared" si="11"/>
        <v>111</v>
      </c>
      <c r="R31" s="3849" t="s">
        <v>13</v>
      </c>
      <c r="S31" s="3263">
        <f t="shared" si="12"/>
        <v>100</v>
      </c>
      <c r="T31" s="3849" t="s">
        <v>13</v>
      </c>
      <c r="U31" s="3263">
        <f t="shared" si="13"/>
        <v>100</v>
      </c>
      <c r="V31" s="3849" t="s">
        <v>13</v>
      </c>
      <c r="W31" s="3263">
        <f t="shared" si="14"/>
        <v>100</v>
      </c>
      <c r="X31" s="935"/>
      <c r="Y31" s="4599"/>
      <c r="Z31" s="933">
        <f t="shared" si="15"/>
        <v>111</v>
      </c>
      <c r="AA31" s="933">
        <f t="shared" si="3"/>
        <v>1</v>
      </c>
      <c r="AB31" s="933">
        <f t="shared" si="4"/>
        <v>1</v>
      </c>
      <c r="AC31" s="1442">
        <f t="shared" si="5"/>
        <v>1</v>
      </c>
    </row>
    <row r="32" spans="1:29" ht="15.75" thickBot="1">
      <c r="A32" s="260"/>
      <c r="B32" s="409">
        <v>111</v>
      </c>
      <c r="C32" s="1397"/>
      <c r="D32" s="2981">
        <v>100</v>
      </c>
      <c r="E32" s="402"/>
      <c r="F32" s="3862">
        <f>SUMIF(99:99,E32,100:100)-SUMIF(99:99,C32,100:100)+100</f>
        <v>100</v>
      </c>
      <c r="G32" s="1440"/>
      <c r="H32" s="3862">
        <f>SUMIF(99:99,G32,100:100)-SUMIF(99:99,C32,100:100)+100</f>
        <v>100</v>
      </c>
      <c r="I32" s="258"/>
      <c r="J32" s="3862">
        <f>SUMIF(99:99,I32,100:100)-SUMIF(99:99,C32,100:100)+100</f>
        <v>100</v>
      </c>
      <c r="K32" s="395"/>
      <c r="L32" s="2013"/>
      <c r="M32" s="2008"/>
      <c r="N32" s="2008"/>
      <c r="O32" s="2008"/>
      <c r="P32" s="4597"/>
      <c r="Q32" s="1533">
        <f t="shared" si="11"/>
        <v>111</v>
      </c>
      <c r="R32" s="3849" t="s">
        <v>13</v>
      </c>
      <c r="S32" s="3263">
        <f t="shared" si="12"/>
        <v>100</v>
      </c>
      <c r="T32" s="3849" t="s">
        <v>13</v>
      </c>
      <c r="U32" s="3263">
        <f t="shared" si="13"/>
        <v>100</v>
      </c>
      <c r="V32" s="3849" t="s">
        <v>13</v>
      </c>
      <c r="W32" s="3263">
        <f t="shared" si="14"/>
        <v>100</v>
      </c>
      <c r="X32" s="935"/>
      <c r="Y32" s="4599"/>
      <c r="Z32" s="933">
        <f t="shared" si="15"/>
        <v>111</v>
      </c>
      <c r="AA32" s="933">
        <f t="shared" si="3"/>
        <v>1</v>
      </c>
      <c r="AB32" s="933">
        <f t="shared" si="4"/>
        <v>1</v>
      </c>
      <c r="AC32" s="1442">
        <f t="shared" si="5"/>
        <v>1</v>
      </c>
    </row>
    <row r="33" spans="1:29" ht="15">
      <c r="A33" s="262" t="s">
        <v>1606</v>
      </c>
      <c r="B33" s="34" t="s">
        <v>1729</v>
      </c>
      <c r="C33" s="1446" t="s">
        <v>4185</v>
      </c>
      <c r="D33" s="2987">
        <v>100</v>
      </c>
      <c r="E33" s="1446" t="s">
        <v>4185</v>
      </c>
      <c r="F33" s="934">
        <f>SUMIF(101:101,E33,102:102)-SUMIF(101:101,C33,102:102)+100</f>
        <v>100</v>
      </c>
      <c r="G33" s="1446" t="s">
        <v>4185</v>
      </c>
      <c r="H33" s="3865">
        <f>SUMIF(101:101,G33,102:102)-SUMIF(101:101,C33,102:102)+100</f>
        <v>100</v>
      </c>
      <c r="I33" s="1446" t="s">
        <v>4185</v>
      </c>
      <c r="J33" s="3868">
        <f>SUMIF(101:101,I33,102:102)-SUMIF(101:101,C33,102:102)+100</f>
        <v>100</v>
      </c>
      <c r="K33" s="394">
        <v>5</v>
      </c>
      <c r="L33" s="2013"/>
      <c r="M33" s="2008"/>
      <c r="N33" s="2008"/>
      <c r="O33" s="2008"/>
      <c r="P33" s="4600" t="s">
        <v>1608</v>
      </c>
      <c r="Q33" s="1533" t="str">
        <f t="shared" si="11"/>
        <v>建筑类型</v>
      </c>
      <c r="R33" s="3849" t="s">
        <v>13</v>
      </c>
      <c r="S33" s="3263">
        <f t="shared" si="12"/>
        <v>100</v>
      </c>
      <c r="T33" s="3849" t="s">
        <v>13</v>
      </c>
      <c r="U33" s="3263">
        <f t="shared" si="13"/>
        <v>100</v>
      </c>
      <c r="V33" s="3849" t="s">
        <v>13</v>
      </c>
      <c r="W33" s="3263">
        <f t="shared" si="14"/>
        <v>100</v>
      </c>
      <c r="X33" s="935"/>
      <c r="Y33" s="4603" t="s">
        <v>1608</v>
      </c>
      <c r="Z33" s="933" t="str">
        <f t="shared" si="15"/>
        <v>建筑类型</v>
      </c>
      <c r="AA33" s="933">
        <f t="shared" si="3"/>
        <v>1</v>
      </c>
      <c r="AB33" s="933">
        <f t="shared" si="4"/>
        <v>1</v>
      </c>
      <c r="AC33" s="1442">
        <f t="shared" si="5"/>
        <v>1</v>
      </c>
    </row>
    <row r="34" spans="1:29" s="279" customFormat="1" ht="15">
      <c r="A34" s="277"/>
      <c r="B34" s="252" t="s">
        <v>1609</v>
      </c>
      <c r="C34" s="278">
        <f>'数据-汇总表'!E3</f>
        <v>57408.26</v>
      </c>
      <c r="D34" s="2978">
        <v>100</v>
      </c>
      <c r="E34" s="256">
        <f>悦荣中心!I20</f>
        <v>15106.529999999999</v>
      </c>
      <c r="F34" s="252">
        <f>LOOKUP(E34,104:104,105:105)-LOOKUP(C34,104:104,105:105)+100</f>
        <v>102</v>
      </c>
      <c r="G34" s="255">
        <f>华樾北京!M94</f>
        <v>21750.470000000008</v>
      </c>
      <c r="H34" s="422">
        <f>LOOKUP(G34,104:104,105:105)-LOOKUP(C34,104:104,105:105)+100</f>
        <v>101</v>
      </c>
      <c r="I34" s="255">
        <f>华樾北京2!I14</f>
        <v>10575.420000000002</v>
      </c>
      <c r="J34" s="422">
        <f>LOOKUP(I34,104:104,105:105)-LOOKUP(C34,104:104,105:105)+100</f>
        <v>102</v>
      </c>
      <c r="K34" s="395"/>
      <c r="L34" s="2012"/>
      <c r="M34" s="2014"/>
      <c r="N34" s="2014"/>
      <c r="O34" s="2014"/>
      <c r="P34" s="4601"/>
      <c r="Q34" s="2941" t="str">
        <f t="shared" si="11"/>
        <v>项目建筑规模</v>
      </c>
      <c r="R34" s="3850" t="s">
        <v>13</v>
      </c>
      <c r="S34" s="3264">
        <f t="shared" si="12"/>
        <v>102</v>
      </c>
      <c r="T34" s="3850" t="s">
        <v>13</v>
      </c>
      <c r="U34" s="3264">
        <f t="shared" si="13"/>
        <v>101</v>
      </c>
      <c r="V34" s="3850" t="s">
        <v>13</v>
      </c>
      <c r="W34" s="3264">
        <f t="shared" si="14"/>
        <v>102</v>
      </c>
      <c r="X34" s="484"/>
      <c r="Y34" s="4603"/>
      <c r="Z34" s="485" t="str">
        <f t="shared" si="15"/>
        <v>项目建筑规模</v>
      </c>
      <c r="AA34" s="933">
        <f t="shared" si="3"/>
        <v>0.98039215686274506</v>
      </c>
      <c r="AB34" s="933">
        <f t="shared" si="4"/>
        <v>0.99009900990099009</v>
      </c>
      <c r="AC34" s="1442">
        <f t="shared" si="5"/>
        <v>0.98039215686274506</v>
      </c>
    </row>
    <row r="35" spans="1:29" ht="15">
      <c r="A35" s="280"/>
      <c r="B35" s="252" t="s">
        <v>1610</v>
      </c>
      <c r="C35" s="275" t="s">
        <v>4155</v>
      </c>
      <c r="D35" s="2980">
        <v>100</v>
      </c>
      <c r="E35" s="275" t="s">
        <v>4155</v>
      </c>
      <c r="F35" s="934">
        <f>SUMIF(106:106,E35,107:107)-SUMIF(106:106,C35,107:107)+100</f>
        <v>100</v>
      </c>
      <c r="G35" s="275" t="s">
        <v>4155</v>
      </c>
      <c r="H35" s="3865">
        <f>SUMIF(106:106,G35,107:107)-SUMIF(106:106,C35,107:107)+100</f>
        <v>100</v>
      </c>
      <c r="I35" s="275" t="s">
        <v>4155</v>
      </c>
      <c r="J35" s="3865">
        <f>SUMIF(106:106,I35,107:107)-SUMIF(106:106,C35,107:107)+100</f>
        <v>100</v>
      </c>
      <c r="K35" s="394">
        <v>2</v>
      </c>
      <c r="L35" s="2013"/>
      <c r="M35" s="2008"/>
      <c r="N35" s="2008"/>
      <c r="O35" s="2008"/>
      <c r="P35" s="4601"/>
      <c r="Q35" s="1533" t="str">
        <f t="shared" si="11"/>
        <v>建筑结构</v>
      </c>
      <c r="R35" s="3849" t="s">
        <v>13</v>
      </c>
      <c r="S35" s="3263">
        <f t="shared" si="12"/>
        <v>100</v>
      </c>
      <c r="T35" s="3849" t="s">
        <v>13</v>
      </c>
      <c r="U35" s="3263">
        <f t="shared" si="13"/>
        <v>100</v>
      </c>
      <c r="V35" s="3849" t="s">
        <v>13</v>
      </c>
      <c r="W35" s="3263">
        <f t="shared" si="14"/>
        <v>100</v>
      </c>
      <c r="X35" s="935"/>
      <c r="Y35" s="4603"/>
      <c r="Z35" s="933" t="str">
        <f t="shared" si="15"/>
        <v>建筑结构</v>
      </c>
      <c r="AA35" s="933">
        <f t="shared" si="3"/>
        <v>1</v>
      </c>
      <c r="AB35" s="933">
        <f t="shared" si="4"/>
        <v>1</v>
      </c>
      <c r="AC35" s="1442">
        <f t="shared" si="5"/>
        <v>1</v>
      </c>
    </row>
    <row r="36" spans="1:29" ht="15">
      <c r="A36" s="280"/>
      <c r="B36" s="252" t="s">
        <v>1697</v>
      </c>
      <c r="C36" s="275" t="s">
        <v>4267</v>
      </c>
      <c r="D36" s="2980">
        <v>100</v>
      </c>
      <c r="E36" s="275" t="s">
        <v>4267</v>
      </c>
      <c r="F36" s="934">
        <f>SUMIF(108:108,E36,109:109)-SUMIF(108:108,C36,109:109)+100</f>
        <v>100</v>
      </c>
      <c r="G36" s="275" t="s">
        <v>4267</v>
      </c>
      <c r="H36" s="3865">
        <f>SUMIF(108:108,G36,109:109)-SUMIF(108:108,C36,109:109)+100</f>
        <v>100</v>
      </c>
      <c r="I36" s="275" t="s">
        <v>4267</v>
      </c>
      <c r="J36" s="3865">
        <f>SUMIF(108:108,I36,109:109)-SUMIF(108:108,C36,109:109)+100</f>
        <v>100</v>
      </c>
      <c r="K36" s="394">
        <v>2</v>
      </c>
      <c r="L36" s="2013"/>
      <c r="M36" s="2008"/>
      <c r="N36" s="2008"/>
      <c r="O36" s="2008"/>
      <c r="P36" s="4601"/>
      <c r="Q36" s="1533" t="str">
        <f t="shared" si="11"/>
        <v>公共部分装修</v>
      </c>
      <c r="R36" s="3849" t="s">
        <v>13</v>
      </c>
      <c r="S36" s="3263">
        <f t="shared" si="12"/>
        <v>100</v>
      </c>
      <c r="T36" s="3849" t="s">
        <v>13</v>
      </c>
      <c r="U36" s="3263">
        <f t="shared" si="13"/>
        <v>100</v>
      </c>
      <c r="V36" s="3849" t="s">
        <v>13</v>
      </c>
      <c r="W36" s="3263">
        <f t="shared" si="14"/>
        <v>100</v>
      </c>
      <c r="X36" s="935"/>
      <c r="Y36" s="4603"/>
      <c r="Z36" s="933" t="str">
        <f t="shared" si="15"/>
        <v>公共部分装修</v>
      </c>
      <c r="AA36" s="933">
        <f t="shared" si="3"/>
        <v>1</v>
      </c>
      <c r="AB36" s="933">
        <f t="shared" si="4"/>
        <v>1</v>
      </c>
      <c r="AC36" s="1442">
        <f t="shared" si="5"/>
        <v>1</v>
      </c>
    </row>
    <row r="37" spans="1:29" ht="15">
      <c r="A37" s="280"/>
      <c r="B37" s="252" t="s">
        <v>1698</v>
      </c>
      <c r="C37" s="282">
        <f>'数据-取费表'!N6</f>
        <v>0.92</v>
      </c>
      <c r="D37" s="2980">
        <v>100</v>
      </c>
      <c r="E37" s="282">
        <f>ROUND(1-(2026-E52)/60,2)</f>
        <v>0.92</v>
      </c>
      <c r="F37" s="934">
        <f>LOOKUP(E37,111:111,112:112)-LOOKUP(C37,111:111,112:112)+100</f>
        <v>100</v>
      </c>
      <c r="G37" s="282">
        <f>ROUND(1-(2026-G52)/60,2)</f>
        <v>0.87</v>
      </c>
      <c r="H37" s="934">
        <f>LOOKUP(G37,111:111,112:112)-LOOKUP(C37,111:111,112:112)+100</f>
        <v>98</v>
      </c>
      <c r="I37" s="282">
        <f>ROUND(1-(2026-I52)/60,2)</f>
        <v>0.87</v>
      </c>
      <c r="J37" s="3865">
        <f>LOOKUP(I37,111:111,112:112)-LOOKUP(C37,111:111,112:112)+100</f>
        <v>98</v>
      </c>
      <c r="K37" s="394">
        <v>2</v>
      </c>
      <c r="L37" s="2013"/>
      <c r="M37" s="2008"/>
      <c r="N37" s="2008"/>
      <c r="O37" s="2008"/>
      <c r="P37" s="4601"/>
      <c r="Q37" s="1533" t="str">
        <f t="shared" si="11"/>
        <v>成新度</v>
      </c>
      <c r="R37" s="3849" t="s">
        <v>13</v>
      </c>
      <c r="S37" s="3263">
        <f t="shared" si="12"/>
        <v>100</v>
      </c>
      <c r="T37" s="3849" t="s">
        <v>13</v>
      </c>
      <c r="U37" s="3263">
        <f t="shared" si="13"/>
        <v>98</v>
      </c>
      <c r="V37" s="3849" t="s">
        <v>13</v>
      </c>
      <c r="W37" s="3263">
        <f t="shared" si="14"/>
        <v>98</v>
      </c>
      <c r="X37" s="935"/>
      <c r="Y37" s="4603"/>
      <c r="Z37" s="933" t="str">
        <f t="shared" si="15"/>
        <v>成新度</v>
      </c>
      <c r="AA37" s="933">
        <f t="shared" si="3"/>
        <v>1</v>
      </c>
      <c r="AB37" s="933">
        <f t="shared" si="4"/>
        <v>1.0204081632653061</v>
      </c>
      <c r="AC37" s="1442">
        <f t="shared" si="5"/>
        <v>1.0204081632653061</v>
      </c>
    </row>
    <row r="38" spans="1:29" s="46" customFormat="1" ht="15">
      <c r="A38" s="281"/>
      <c r="B38" s="252" t="s">
        <v>1730</v>
      </c>
      <c r="C38" s="275"/>
      <c r="D38" s="2978">
        <v>100</v>
      </c>
      <c r="E38" s="275"/>
      <c r="F38" s="934">
        <f>SUMIF(113:113,E38,114:114)-SUMIF(113:113,C38,114:114)+100</f>
        <v>100</v>
      </c>
      <c r="G38" s="275"/>
      <c r="H38" s="3865">
        <f>SUMIF(113:113,G38,114:114)-SUMIF(113:113,C38,114:114)+100</f>
        <v>100</v>
      </c>
      <c r="I38" s="275"/>
      <c r="J38" s="3865">
        <f>SUMIF(113:113,I38,114:114)-SUMIF(113:113,C38,114:114)+100</f>
        <v>100</v>
      </c>
      <c r="K38" s="394">
        <v>2</v>
      </c>
      <c r="L38" s="2009"/>
      <c r="M38" s="1962"/>
      <c r="N38" s="1962"/>
      <c r="O38" s="1962"/>
      <c r="P38" s="4601"/>
      <c r="Q38" s="1731" t="str">
        <f t="shared" si="11"/>
        <v>写字楼等级</v>
      </c>
      <c r="R38" s="3748" t="s">
        <v>13</v>
      </c>
      <c r="S38" s="3262">
        <f t="shared" si="12"/>
        <v>100</v>
      </c>
      <c r="T38" s="3748" t="s">
        <v>13</v>
      </c>
      <c r="U38" s="3262">
        <f t="shared" si="13"/>
        <v>100</v>
      </c>
      <c r="V38" s="3748" t="s">
        <v>13</v>
      </c>
      <c r="W38" s="3262">
        <f t="shared" si="14"/>
        <v>100</v>
      </c>
      <c r="X38" s="482"/>
      <c r="Y38" s="4603"/>
      <c r="Z38" s="28" t="str">
        <f t="shared" si="15"/>
        <v>写字楼等级</v>
      </c>
      <c r="AA38" s="28">
        <f t="shared" si="3"/>
        <v>1</v>
      </c>
      <c r="AB38" s="28">
        <f t="shared" si="4"/>
        <v>1</v>
      </c>
      <c r="AC38" s="563">
        <f t="shared" si="5"/>
        <v>1</v>
      </c>
    </row>
    <row r="39" spans="1:29" ht="15">
      <c r="A39" s="280"/>
      <c r="B39" s="252" t="s">
        <v>1731</v>
      </c>
      <c r="C39" s="275" t="s">
        <v>4268</v>
      </c>
      <c r="D39" s="2980">
        <v>100</v>
      </c>
      <c r="E39" s="275" t="s">
        <v>4268</v>
      </c>
      <c r="F39" s="934">
        <f>SUMIF(115:115,E39,116:116)-SUMIF(115:115,C39,116:116)+100</f>
        <v>100</v>
      </c>
      <c r="G39" s="275" t="s">
        <v>4268</v>
      </c>
      <c r="H39" s="3865">
        <f>SUMIF(115:115,G39,116:116)-SUMIF(115:115,C39,116:116)+100</f>
        <v>100</v>
      </c>
      <c r="I39" s="275" t="s">
        <v>4268</v>
      </c>
      <c r="J39" s="3865">
        <f>SUMIF(115:115,I39,116:116)-SUMIF(115:115,C39,116:116)+100</f>
        <v>100</v>
      </c>
      <c r="K39" s="394">
        <v>2</v>
      </c>
      <c r="L39" s="2013"/>
      <c r="M39" s="2008"/>
      <c r="N39" s="2008"/>
      <c r="O39" s="2008"/>
      <c r="P39" s="4601" t="s">
        <v>1608</v>
      </c>
      <c r="Q39" s="1533" t="str">
        <f t="shared" si="11"/>
        <v>物业管理</v>
      </c>
      <c r="R39" s="3849" t="s">
        <v>13</v>
      </c>
      <c r="S39" s="3263">
        <f t="shared" si="12"/>
        <v>100</v>
      </c>
      <c r="T39" s="3849" t="s">
        <v>13</v>
      </c>
      <c r="U39" s="3263">
        <f t="shared" si="13"/>
        <v>100</v>
      </c>
      <c r="V39" s="3849" t="s">
        <v>13</v>
      </c>
      <c r="W39" s="3263">
        <f t="shared" si="14"/>
        <v>100</v>
      </c>
      <c r="X39" s="935"/>
      <c r="Y39" s="4603" t="s">
        <v>1608</v>
      </c>
      <c r="Z39" s="933" t="str">
        <f t="shared" si="15"/>
        <v>物业管理</v>
      </c>
      <c r="AA39" s="933">
        <f t="shared" si="3"/>
        <v>1</v>
      </c>
      <c r="AB39" s="933">
        <f t="shared" si="4"/>
        <v>1</v>
      </c>
      <c r="AC39" s="1442">
        <f t="shared" si="5"/>
        <v>1</v>
      </c>
    </row>
    <row r="40" spans="1:29" ht="15">
      <c r="A40" s="280"/>
      <c r="B40" s="252" t="s">
        <v>1699</v>
      </c>
      <c r="C40" s="275"/>
      <c r="D40" s="2980">
        <v>100</v>
      </c>
      <c r="E40" s="275"/>
      <c r="F40" s="934">
        <f>SUMIF(117:117,E40,118:118)-SUMIF(117:117,C40,118:118)+100</f>
        <v>100</v>
      </c>
      <c r="G40" s="275"/>
      <c r="H40" s="3865">
        <f>SUMIF(117:117,G40,118:118)-SUMIF(117:117,C40,118:118)+100</f>
        <v>100</v>
      </c>
      <c r="I40" s="275"/>
      <c r="J40" s="3865">
        <f>SUMIF(117:117,I40,118:118)-SUMIF(117:117,C40,118:118)+100</f>
        <v>100</v>
      </c>
      <c r="K40" s="394"/>
      <c r="L40" s="2013"/>
      <c r="M40" s="2008"/>
      <c r="N40" s="2008"/>
      <c r="O40" s="2008"/>
      <c r="P40" s="4601"/>
      <c r="Q40" s="1533" t="str">
        <f t="shared" si="11"/>
        <v>市政基础设施</v>
      </c>
      <c r="R40" s="3849" t="s">
        <v>13</v>
      </c>
      <c r="S40" s="3263">
        <f t="shared" si="12"/>
        <v>100</v>
      </c>
      <c r="T40" s="3849" t="s">
        <v>13</v>
      </c>
      <c r="U40" s="3263">
        <f t="shared" si="13"/>
        <v>100</v>
      </c>
      <c r="V40" s="3849" t="s">
        <v>13</v>
      </c>
      <c r="W40" s="3263">
        <f t="shared" si="14"/>
        <v>100</v>
      </c>
      <c r="X40" s="935"/>
      <c r="Y40" s="4603"/>
      <c r="Z40" s="933" t="str">
        <f t="shared" si="15"/>
        <v>市政基础设施</v>
      </c>
      <c r="AA40" s="933">
        <f t="shared" si="3"/>
        <v>1</v>
      </c>
      <c r="AB40" s="933">
        <f t="shared" si="4"/>
        <v>1</v>
      </c>
      <c r="AC40" s="1442">
        <f t="shared" si="5"/>
        <v>1</v>
      </c>
    </row>
    <row r="41" spans="1:29" ht="15">
      <c r="A41" s="280"/>
      <c r="B41" s="252" t="s">
        <v>1701</v>
      </c>
      <c r="C41" s="398"/>
      <c r="D41" s="2980">
        <v>100</v>
      </c>
      <c r="E41" s="398"/>
      <c r="F41" s="934">
        <f>SUMIF(119:119,E41,120:120)-SUMIF(119:119,C41,120:120)+100</f>
        <v>100</v>
      </c>
      <c r="G41" s="398"/>
      <c r="H41" s="3865">
        <f>SUMIF(119:119,G41,120:120)-SUMIF(119:119,C41,120:120)+100</f>
        <v>100</v>
      </c>
      <c r="I41" s="398"/>
      <c r="J41" s="3865">
        <f>SUMIF(119:119,I41,120:120)-SUMIF(119:119,C41,120:120)+100</f>
        <v>100</v>
      </c>
      <c r="K41" s="394"/>
      <c r="L41" s="2013"/>
      <c r="M41" s="2008"/>
      <c r="N41" s="2008"/>
      <c r="O41" s="2008"/>
      <c r="P41" s="4601"/>
      <c r="Q41" s="1533" t="str">
        <f t="shared" si="11"/>
        <v>层高</v>
      </c>
      <c r="R41" s="3849" t="s">
        <v>13</v>
      </c>
      <c r="S41" s="3263">
        <f t="shared" si="12"/>
        <v>100</v>
      </c>
      <c r="T41" s="3849" t="s">
        <v>13</v>
      </c>
      <c r="U41" s="3263">
        <f t="shared" si="13"/>
        <v>100</v>
      </c>
      <c r="V41" s="3849" t="s">
        <v>13</v>
      </c>
      <c r="W41" s="3263">
        <f t="shared" si="14"/>
        <v>100</v>
      </c>
      <c r="X41" s="935"/>
      <c r="Y41" s="4603"/>
      <c r="Z41" s="933" t="str">
        <f t="shared" si="15"/>
        <v>层高</v>
      </c>
      <c r="AA41" s="933">
        <f t="shared" si="3"/>
        <v>1</v>
      </c>
      <c r="AB41" s="933">
        <f t="shared" si="4"/>
        <v>1</v>
      </c>
      <c r="AC41" s="1442">
        <f t="shared" si="5"/>
        <v>1</v>
      </c>
    </row>
    <row r="42" spans="1:29" s="279" customFormat="1" ht="15">
      <c r="A42" s="277"/>
      <c r="B42" s="934" t="s">
        <v>1732</v>
      </c>
      <c r="C42" s="259"/>
      <c r="D42" s="2980">
        <v>100</v>
      </c>
      <c r="E42" s="259"/>
      <c r="F42" s="934">
        <f>SUMIF(121:121,E42,122:122)-SUMIF(121:121,C42,122:122)+100</f>
        <v>100</v>
      </c>
      <c r="G42" s="259"/>
      <c r="H42" s="3865">
        <f>SUMIF(121:121,G42,122:122)-SUMIF(121:121,C42,122:122)+100</f>
        <v>100</v>
      </c>
      <c r="I42" s="259"/>
      <c r="J42" s="3865">
        <f>SUMIF(121:121,I42,122:122)-SUMIF(121:121,C42,122:122)+100</f>
        <v>100</v>
      </c>
      <c r="K42" s="395"/>
      <c r="L42" s="2012"/>
      <c r="M42" s="2014"/>
      <c r="N42" s="2014"/>
      <c r="O42" s="2014"/>
      <c r="P42" s="4601"/>
      <c r="Q42" s="2941" t="str">
        <f t="shared" si="11"/>
        <v>单套建筑面积</v>
      </c>
      <c r="R42" s="3850" t="s">
        <v>13</v>
      </c>
      <c r="S42" s="3264">
        <f t="shared" si="12"/>
        <v>100</v>
      </c>
      <c r="T42" s="3850" t="s">
        <v>13</v>
      </c>
      <c r="U42" s="3264">
        <f t="shared" si="13"/>
        <v>100</v>
      </c>
      <c r="V42" s="3850" t="s">
        <v>13</v>
      </c>
      <c r="W42" s="3264">
        <f t="shared" si="14"/>
        <v>100</v>
      </c>
      <c r="X42" s="484"/>
      <c r="Y42" s="4603"/>
      <c r="Z42" s="485" t="str">
        <f t="shared" si="15"/>
        <v>单套建筑面积</v>
      </c>
      <c r="AA42" s="933">
        <f t="shared" si="3"/>
        <v>1</v>
      </c>
      <c r="AB42" s="933">
        <f t="shared" si="4"/>
        <v>1</v>
      </c>
      <c r="AC42" s="1442">
        <f t="shared" si="5"/>
        <v>1</v>
      </c>
    </row>
    <row r="43" spans="1:29" ht="15">
      <c r="A43" s="280"/>
      <c r="B43" s="252" t="s">
        <v>1704</v>
      </c>
      <c r="C43" s="275" t="s">
        <v>4269</v>
      </c>
      <c r="D43" s="2980">
        <v>100</v>
      </c>
      <c r="E43" s="275" t="s">
        <v>4278</v>
      </c>
      <c r="F43" s="934">
        <f>SUMIF(123:123,E43,124:124)-SUMIF(123:123,C43,124:124)+100</f>
        <v>96</v>
      </c>
      <c r="G43" s="275" t="s">
        <v>4278</v>
      </c>
      <c r="H43" s="3865">
        <f>SUMIF(123:123,G43,124:124)-SUMIF(123:123,C43,124:124)+100</f>
        <v>96</v>
      </c>
      <c r="I43" s="275" t="s">
        <v>4278</v>
      </c>
      <c r="J43" s="3865">
        <f>SUMIF(123:123,I43,124:124)-SUMIF(123:123,C43,124:124)+100</f>
        <v>96</v>
      </c>
      <c r="K43" s="394">
        <v>2</v>
      </c>
      <c r="L43" s="2013"/>
      <c r="M43" s="2008"/>
      <c r="N43" s="2008"/>
      <c r="O43" s="2008"/>
      <c r="P43" s="4601"/>
      <c r="Q43" s="1533" t="str">
        <f t="shared" si="11"/>
        <v>内部装修</v>
      </c>
      <c r="R43" s="3849" t="s">
        <v>13</v>
      </c>
      <c r="S43" s="3263">
        <f t="shared" si="12"/>
        <v>96</v>
      </c>
      <c r="T43" s="3849" t="s">
        <v>13</v>
      </c>
      <c r="U43" s="3263">
        <f t="shared" si="13"/>
        <v>96</v>
      </c>
      <c r="V43" s="3849" t="s">
        <v>13</v>
      </c>
      <c r="W43" s="3263">
        <f t="shared" si="14"/>
        <v>96</v>
      </c>
      <c r="X43" s="935"/>
      <c r="Y43" s="4603"/>
      <c r="Z43" s="933" t="str">
        <f t="shared" si="15"/>
        <v>内部装修</v>
      </c>
      <c r="AA43" s="933">
        <f t="shared" si="3"/>
        <v>1.0416666666666667</v>
      </c>
      <c r="AB43" s="933">
        <f t="shared" si="4"/>
        <v>1.0416666666666667</v>
      </c>
      <c r="AC43" s="1442">
        <f t="shared" si="5"/>
        <v>1.0416666666666667</v>
      </c>
    </row>
    <row r="44" spans="1:29" ht="15">
      <c r="A44" s="280"/>
      <c r="B44" s="252" t="s">
        <v>1619</v>
      </c>
      <c r="C44" s="275" t="s">
        <v>3616</v>
      </c>
      <c r="D44" s="2980">
        <v>100</v>
      </c>
      <c r="E44" s="1395" t="s">
        <v>3616</v>
      </c>
      <c r="F44" s="934">
        <f>SUMIF(125:125,E44,126:126)-SUMIF(125:125,C44,126:126)+100</f>
        <v>100</v>
      </c>
      <c r="G44" s="1395" t="s">
        <v>3616</v>
      </c>
      <c r="H44" s="3865">
        <f>SUMIF(125:125,G44,126:126)-SUMIF(125:125,C44,126:126)+100</f>
        <v>100</v>
      </c>
      <c r="I44" s="1395" t="s">
        <v>3616</v>
      </c>
      <c r="J44" s="3865">
        <f>SUMIF(125:125,I44,126:126)-SUMIF(125:125,C44,126:126)+100</f>
        <v>100</v>
      </c>
      <c r="K44" s="394">
        <v>1</v>
      </c>
      <c r="L44" s="2013"/>
      <c r="M44" s="2008"/>
      <c r="N44" s="2008"/>
      <c r="O44" s="2008"/>
      <c r="P44" s="4601"/>
      <c r="Q44" s="1533" t="str">
        <f t="shared" si="11"/>
        <v>内部装修维护情况</v>
      </c>
      <c r="R44" s="3849" t="s">
        <v>13</v>
      </c>
      <c r="S44" s="3263">
        <f t="shared" si="12"/>
        <v>100</v>
      </c>
      <c r="T44" s="3849" t="s">
        <v>13</v>
      </c>
      <c r="U44" s="3263">
        <f t="shared" si="13"/>
        <v>100</v>
      </c>
      <c r="V44" s="3849" t="s">
        <v>13</v>
      </c>
      <c r="W44" s="3263">
        <f t="shared" si="14"/>
        <v>100</v>
      </c>
      <c r="X44" s="935"/>
      <c r="Y44" s="4603"/>
      <c r="Z44" s="933" t="str">
        <f t="shared" si="15"/>
        <v>内部装修维护情况</v>
      </c>
      <c r="AA44" s="933">
        <f t="shared" si="3"/>
        <v>1</v>
      </c>
      <c r="AB44" s="933">
        <f t="shared" si="4"/>
        <v>1</v>
      </c>
      <c r="AC44" s="1442">
        <f t="shared" si="5"/>
        <v>1</v>
      </c>
    </row>
    <row r="45" spans="1:29" s="46" customFormat="1" ht="15">
      <c r="A45" s="281"/>
      <c r="B45" s="4329" t="s">
        <v>4273</v>
      </c>
      <c r="C45" s="278" t="s">
        <v>4281</v>
      </c>
      <c r="D45" s="2978">
        <v>100</v>
      </c>
      <c r="E45" s="258" t="s">
        <v>4270</v>
      </c>
      <c r="F45" s="252">
        <f>SUMIF(127:127,E45,128:128)-SUMIF(127:127,C45,128:128)+100</f>
        <v>106</v>
      </c>
      <c r="G45" s="4333" t="s">
        <v>4288</v>
      </c>
      <c r="H45" s="422">
        <f>SUMIF(127:127,G45,128:128)-SUMIF(127:127,C45,128:128)+100</f>
        <v>94</v>
      </c>
      <c r="I45" s="258" t="s">
        <v>4289</v>
      </c>
      <c r="J45" s="422">
        <f>SUMIF(127:127,I45,128:128)-SUMIF(127:127,C45,128:128)+100</f>
        <v>97</v>
      </c>
      <c r="K45" s="395"/>
      <c r="L45" s="2009"/>
      <c r="M45" s="1962"/>
      <c r="N45" s="1962"/>
      <c r="O45" s="1962"/>
      <c r="P45" s="4601"/>
      <c r="Q45" s="1731" t="str">
        <f t="shared" si="11"/>
        <v>地下占比</v>
      </c>
      <c r="R45" s="3748" t="s">
        <v>13</v>
      </c>
      <c r="S45" s="3262">
        <f t="shared" si="12"/>
        <v>106</v>
      </c>
      <c r="T45" s="3748" t="s">
        <v>13</v>
      </c>
      <c r="U45" s="3262">
        <f t="shared" si="13"/>
        <v>94</v>
      </c>
      <c r="V45" s="3748" t="s">
        <v>13</v>
      </c>
      <c r="W45" s="3262">
        <f t="shared" si="14"/>
        <v>97</v>
      </c>
      <c r="X45" s="482"/>
      <c r="Y45" s="4603"/>
      <c r="Z45" s="28" t="str">
        <f t="shared" si="15"/>
        <v>地下占比</v>
      </c>
      <c r="AA45" s="28">
        <f t="shared" si="3"/>
        <v>0.94339622641509435</v>
      </c>
      <c r="AB45" s="28">
        <f t="shared" si="4"/>
        <v>1.0638297872340425</v>
      </c>
      <c r="AC45" s="563">
        <f t="shared" si="5"/>
        <v>1.0309278350515463</v>
      </c>
    </row>
    <row r="46" spans="1:29" ht="15">
      <c r="A46" s="280"/>
      <c r="B46" s="4329" t="s">
        <v>4283</v>
      </c>
      <c r="C46" s="4331" t="s">
        <v>4284</v>
      </c>
      <c r="D46" s="2980">
        <v>100</v>
      </c>
      <c r="E46" s="4332" t="s">
        <v>4285</v>
      </c>
      <c r="F46" s="934">
        <f>SUMIF(129:129,E46,130:130)-SUMIF(129:129,C46,130:130)+100</f>
        <v>100</v>
      </c>
      <c r="G46" s="4332" t="s">
        <v>4286</v>
      </c>
      <c r="H46" s="3865">
        <f>SUMIF(129:129,G46,130:130)-SUMIF(129:129,C46,130:130)+100</f>
        <v>100</v>
      </c>
      <c r="I46" s="4332" t="s">
        <v>4287</v>
      </c>
      <c r="J46" s="3865">
        <f>SUMIF(129:129,I46,130:130)-SUMIF(129:129,C46,130:130)+100</f>
        <v>110</v>
      </c>
      <c r="K46" s="395"/>
      <c r="L46" s="2013"/>
      <c r="M46" s="2008"/>
      <c r="N46" s="2008"/>
      <c r="O46" s="2008"/>
      <c r="P46" s="4601"/>
      <c r="Q46" s="1533" t="str">
        <f t="shared" si="11"/>
        <v>地下用途</v>
      </c>
      <c r="R46" s="3849" t="s">
        <v>13</v>
      </c>
      <c r="S46" s="3263">
        <f t="shared" si="12"/>
        <v>100</v>
      </c>
      <c r="T46" s="3849" t="s">
        <v>13</v>
      </c>
      <c r="U46" s="3263">
        <f t="shared" si="13"/>
        <v>100</v>
      </c>
      <c r="V46" s="3849" t="s">
        <v>13</v>
      </c>
      <c r="W46" s="3263">
        <f t="shared" si="14"/>
        <v>110</v>
      </c>
      <c r="X46" s="935"/>
      <c r="Y46" s="4603"/>
      <c r="Z46" s="933" t="str">
        <f t="shared" si="15"/>
        <v>地下用途</v>
      </c>
      <c r="AA46" s="933">
        <f t="shared" si="3"/>
        <v>1</v>
      </c>
      <c r="AB46" s="933">
        <f t="shared" si="4"/>
        <v>1</v>
      </c>
      <c r="AC46" s="1442">
        <f t="shared" si="5"/>
        <v>0.90909090909090906</v>
      </c>
    </row>
    <row r="47" spans="1:29" ht="15.75" thickBot="1">
      <c r="A47" s="285"/>
      <c r="B47" s="1387">
        <v>111</v>
      </c>
      <c r="C47" s="261"/>
      <c r="D47" s="2981">
        <v>100</v>
      </c>
      <c r="E47" s="258"/>
      <c r="F47" s="3866">
        <f>SUMIF(131:131,E47,132:132)-SUMIF(131:131,C47,132:132)+100</f>
        <v>100</v>
      </c>
      <c r="G47" s="258"/>
      <c r="H47" s="3862">
        <f>SUMIF(131:131,G47,132:132)-SUMIF(131:131,C47,132:132)+100</f>
        <v>100</v>
      </c>
      <c r="I47" s="258"/>
      <c r="J47" s="3862">
        <f>SUMIF(131:131,I47,132:132)-SUMIF(131:131,C47,132:132)+100</f>
        <v>100</v>
      </c>
      <c r="K47" s="395"/>
      <c r="L47" s="2013"/>
      <c r="M47" s="2008"/>
      <c r="N47" s="2008"/>
      <c r="O47" s="2008"/>
      <c r="P47" s="4602"/>
      <c r="Q47" s="1533">
        <f t="shared" si="11"/>
        <v>111</v>
      </c>
      <c r="R47" s="3849" t="s">
        <v>13</v>
      </c>
      <c r="S47" s="3263">
        <f t="shared" si="12"/>
        <v>100</v>
      </c>
      <c r="T47" s="3849" t="s">
        <v>13</v>
      </c>
      <c r="U47" s="3263">
        <f t="shared" si="13"/>
        <v>100</v>
      </c>
      <c r="V47" s="3849" t="s">
        <v>13</v>
      </c>
      <c r="W47" s="3263">
        <f t="shared" si="14"/>
        <v>100</v>
      </c>
      <c r="X47" s="935"/>
      <c r="Y47" s="4604"/>
      <c r="Z47" s="933">
        <f t="shared" si="15"/>
        <v>111</v>
      </c>
      <c r="AA47" s="933">
        <f t="shared" si="3"/>
        <v>1</v>
      </c>
      <c r="AB47" s="933">
        <f t="shared" si="4"/>
        <v>1</v>
      </c>
      <c r="AC47" s="1442">
        <f t="shared" si="5"/>
        <v>1</v>
      </c>
    </row>
    <row r="48" spans="1:29" ht="15">
      <c r="A48" s="286" t="s">
        <v>1620</v>
      </c>
      <c r="B48" s="287"/>
      <c r="C48" s="787" t="s">
        <v>0</v>
      </c>
      <c r="D48" s="288"/>
      <c r="E48" s="3311">
        <f>悦荣中心!K20</f>
        <v>42597</v>
      </c>
      <c r="F48" s="3259"/>
      <c r="G48" s="3312">
        <f>华樾北京!O94</f>
        <v>37700</v>
      </c>
      <c r="H48" s="3260"/>
      <c r="I48" s="3311">
        <f>华樾北京2!K14</f>
        <v>44386</v>
      </c>
      <c r="J48" s="3260"/>
      <c r="K48" s="2939"/>
      <c r="L48" s="2015"/>
      <c r="M48" s="2008"/>
      <c r="N48" s="2008"/>
      <c r="O48" s="2008"/>
      <c r="P48" s="4568" t="str">
        <f>A48</f>
        <v>成交单价（元/平方米）</v>
      </c>
      <c r="Q48" s="4605"/>
      <c r="R48" s="4606">
        <f>E48</f>
        <v>42597</v>
      </c>
      <c r="S48" s="4606"/>
      <c r="T48" s="4606">
        <f>G48</f>
        <v>37700</v>
      </c>
      <c r="U48" s="4606"/>
      <c r="V48" s="4606">
        <f>I48</f>
        <v>44386</v>
      </c>
      <c r="W48" s="4606"/>
      <c r="X48" s="265"/>
      <c r="Y48" s="486"/>
      <c r="Z48" s="265"/>
      <c r="AA48" s="265"/>
      <c r="AB48" s="265"/>
      <c r="AC48" s="404"/>
    </row>
    <row r="49" spans="1:36" ht="15.75" thickBot="1">
      <c r="A49" s="289" t="s">
        <v>1705</v>
      </c>
      <c r="B49" s="290"/>
      <c r="C49" s="3847">
        <f>R50</f>
        <v>38223</v>
      </c>
      <c r="D49" s="3960" t="s">
        <v>2047</v>
      </c>
      <c r="E49" s="3858">
        <f>R49</f>
        <v>36292</v>
      </c>
      <c r="F49" s="2878"/>
      <c r="G49" s="3847">
        <f>T49</f>
        <v>39193</v>
      </c>
      <c r="H49" s="2878"/>
      <c r="I49" s="3858">
        <f>V49</f>
        <v>39185</v>
      </c>
      <c r="J49" s="2878"/>
      <c r="K49" s="2932">
        <f>F49+H49+J49</f>
        <v>0</v>
      </c>
      <c r="L49" s="2015"/>
      <c r="M49" s="2008"/>
      <c r="N49" s="2008"/>
      <c r="O49" s="2008"/>
      <c r="P49" s="4568" t="str">
        <f>A49</f>
        <v>比较价值（元/平方米）</v>
      </c>
      <c r="Q49" s="4605"/>
      <c r="R49" s="4606">
        <f>IF(F1="售价",ROUND(PRODUCT(R48,AA7:AA47),0),ROUND(PRODUCT(R48,AA7:AA47),1))</f>
        <v>36292</v>
      </c>
      <c r="S49" s="4606"/>
      <c r="T49" s="4606">
        <f>IF(F1="售价",ROUND(PRODUCT(T48,AB7:AB47),0),ROUND(PRODUCT(T48,AB7:AB47),1))</f>
        <v>39193</v>
      </c>
      <c r="U49" s="4606"/>
      <c r="V49" s="4606">
        <f>IF(F1="售价",ROUND(PRODUCT(V48,AC7:AC47),0),ROUND(PRODUCT(V48,AC7:AC47),1))</f>
        <v>39185</v>
      </c>
      <c r="W49" s="4606"/>
      <c r="X49" s="265"/>
      <c r="Y49" s="265"/>
      <c r="Z49" s="265"/>
      <c r="AA49" s="265"/>
      <c r="AB49" s="265"/>
      <c r="AC49" s="404"/>
    </row>
    <row r="50" spans="1:36" ht="15.75" thickBot="1">
      <c r="A50" s="291" t="s">
        <v>1706</v>
      </c>
      <c r="B50" s="292"/>
      <c r="C50" s="3859">
        <f>R50</f>
        <v>38223</v>
      </c>
      <c r="D50" s="241"/>
      <c r="E50" s="241"/>
      <c r="F50" s="241"/>
      <c r="G50" s="241"/>
      <c r="H50" s="241"/>
      <c r="I50" s="241"/>
      <c r="J50" s="293"/>
      <c r="K50" s="487"/>
      <c r="L50" s="2015"/>
      <c r="M50" s="2008"/>
      <c r="N50" s="2008"/>
      <c r="O50" s="2008"/>
      <c r="P50" s="4607" t="str">
        <f>A50</f>
        <v>估价对象XX用房的比较价值（楼面单价，元/平方米）</v>
      </c>
      <c r="Q50" s="4608"/>
      <c r="R50" s="4609">
        <f>IF(F1="售价",ROUND(IF(D49="简单平均",AVERAGE(R49:V49),R49*F49+T49*H49+V49*J49),0),ROUND(IF(D49="简单平均",AVERAGE(R49:V49),R49*F49+T49*H49+V49*J49),1))</f>
        <v>38223</v>
      </c>
      <c r="S50" s="4609"/>
      <c r="T50" s="4609"/>
      <c r="U50" s="4609"/>
      <c r="V50" s="4609"/>
      <c r="W50" s="4609"/>
      <c r="X50" s="1428"/>
      <c r="Y50" s="1428"/>
      <c r="Z50" s="1428"/>
      <c r="AA50" s="1428"/>
      <c r="AB50" s="1428"/>
      <c r="AC50" s="1429"/>
    </row>
    <row r="51" spans="1:36">
      <c r="A51" s="2008"/>
      <c r="B51" s="2008"/>
      <c r="C51" s="2008"/>
      <c r="D51" s="2008"/>
      <c r="E51" s="2008"/>
      <c r="F51" s="2008"/>
      <c r="G51" s="2019"/>
      <c r="H51" s="2008"/>
      <c r="I51" s="2008"/>
      <c r="J51" s="2008"/>
      <c r="K51" s="2020"/>
      <c r="L51" s="2016"/>
      <c r="M51" s="2008"/>
      <c r="N51" s="2008"/>
      <c r="O51" s="2008"/>
      <c r="P51" s="2045"/>
      <c r="Q51" s="2008"/>
      <c r="R51" s="2008"/>
      <c r="S51" s="2008"/>
      <c r="T51" s="2008"/>
      <c r="U51" s="2008"/>
      <c r="V51" s="2008"/>
      <c r="W51" s="2008"/>
      <c r="X51" s="2008"/>
      <c r="Y51" s="2008"/>
      <c r="Z51" s="2008"/>
      <c r="AA51" s="2008"/>
      <c r="AB51" s="2008"/>
      <c r="AC51" s="2008"/>
    </row>
    <row r="52" spans="1:36">
      <c r="A52" s="2008"/>
      <c r="B52" s="2008"/>
      <c r="C52" s="2008"/>
      <c r="D52" s="2008"/>
      <c r="E52" s="2008">
        <v>2021</v>
      </c>
      <c r="F52" s="2008"/>
      <c r="G52" s="2008">
        <v>2018</v>
      </c>
      <c r="H52" s="2008"/>
      <c r="I52" s="2008">
        <v>2018</v>
      </c>
      <c r="J52" s="2008"/>
      <c r="K52" s="2020"/>
      <c r="L52" s="2016"/>
      <c r="M52" s="2008"/>
      <c r="N52" s="2008"/>
      <c r="O52" s="2008"/>
      <c r="P52" s="2045"/>
      <c r="Q52" s="2008"/>
      <c r="R52" s="2008"/>
      <c r="S52" s="2008"/>
      <c r="T52" s="2008"/>
      <c r="U52" s="2008"/>
      <c r="V52" s="2008"/>
      <c r="W52" s="2008"/>
      <c r="X52" s="2008"/>
      <c r="Y52" s="2008"/>
      <c r="Z52" s="2008"/>
      <c r="AA52" s="2008"/>
      <c r="AB52" s="2008"/>
      <c r="AC52" s="2008"/>
    </row>
    <row r="53" spans="1:36" ht="13.5" customHeight="1">
      <c r="A53" s="2008"/>
      <c r="B53" s="2008"/>
      <c r="C53" s="296" t="s">
        <v>1707</v>
      </c>
      <c r="D53" s="297"/>
      <c r="E53" s="298">
        <f>IF(E48&lt;E49,E49/E48-1,E48/E49-1)</f>
        <v>0.17372974760277748</v>
      </c>
      <c r="F53" s="299" t="str">
        <f>IF(OR(E53&gt;=0.3,E53&lt;=-0.3),"超过30%","")</f>
        <v/>
      </c>
      <c r="G53" s="298">
        <f>IF(G48&lt;G49,G49/G48-1,G48/G49-1)</f>
        <v>3.9602122015915064E-2</v>
      </c>
      <c r="H53" s="299" t="str">
        <f>IF(OR(G53&gt;=0.3,G53&lt;=-0.3),"超过30%","")</f>
        <v/>
      </c>
      <c r="I53" s="298">
        <f>IF(I48&lt;I49,I49/I48-1,I48/I49-1)</f>
        <v>0.13272936072476704</v>
      </c>
      <c r="J53" s="299" t="str">
        <f>IF(OR(I53&gt;=0.3,I53&lt;=-0.3),"超过30%","")</f>
        <v/>
      </c>
      <c r="K53" s="2020"/>
      <c r="L53" s="2016"/>
      <c r="M53" s="2008"/>
      <c r="N53" s="2008"/>
      <c r="O53" s="2008"/>
      <c r="P53" s="2045"/>
      <c r="Q53" s="2008"/>
      <c r="R53" s="2008"/>
      <c r="S53" s="2008"/>
      <c r="T53" s="2008"/>
      <c r="U53" s="2008"/>
      <c r="V53" s="2008"/>
      <c r="W53" s="2008"/>
      <c r="X53" s="2008"/>
      <c r="Y53" s="2008"/>
      <c r="Z53" s="2008"/>
      <c r="AA53" s="2008"/>
      <c r="AB53" s="2008"/>
      <c r="AC53" s="2008"/>
    </row>
    <row r="54" spans="1:36" ht="13.5" customHeight="1">
      <c r="A54" s="2008"/>
      <c r="B54" s="2008"/>
      <c r="C54" s="296" t="s">
        <v>1708</v>
      </c>
      <c r="D54" s="300"/>
      <c r="E54" s="298">
        <f>IF(E49&lt;G49,G49/E49-1,E49/G49-1)</f>
        <v>7.9934971894632501E-2</v>
      </c>
      <c r="F54" s="299" t="str">
        <f>IF(OR(E54&gt;=0.2,E54&lt;=-0.2),"超过20%","")</f>
        <v/>
      </c>
      <c r="G54" s="298">
        <f>IF(G49&lt;I49,I49/G49-1,G49/I49-1)</f>
        <v>2.0415975500820416E-4</v>
      </c>
      <c r="H54" s="299" t="str">
        <f>IF(OR(G54&gt;=0.2,G54&lt;=-0.2),"超过20%","")</f>
        <v/>
      </c>
      <c r="I54" s="298">
        <f>IF(I49&lt;E49,E49/I49-1,I49/E49-1)</f>
        <v>7.9714537639149041E-2</v>
      </c>
      <c r="J54" s="299" t="str">
        <f>IF(OR(I54&gt;=0.2,I54&lt;=-0.2),"超过20%","")</f>
        <v/>
      </c>
      <c r="K54" s="2020"/>
      <c r="L54" s="2016"/>
      <c r="M54" s="2008"/>
      <c r="N54" s="2008"/>
      <c r="O54" s="2008"/>
      <c r="P54" s="2045"/>
      <c r="Q54" s="2008"/>
      <c r="R54" s="2008"/>
      <c r="S54" s="2008"/>
      <c r="T54" s="2008"/>
      <c r="U54" s="2008"/>
      <c r="V54" s="2008"/>
      <c r="W54" s="2008"/>
      <c r="X54" s="2008"/>
      <c r="Y54" s="2008"/>
      <c r="Z54" s="2008"/>
      <c r="AA54" s="2008"/>
      <c r="AB54" s="2008"/>
      <c r="AC54" s="2008"/>
    </row>
    <row r="55" spans="1:36" s="301" customFormat="1" ht="13.5" customHeight="1">
      <c r="A55" s="2018"/>
      <c r="B55" s="2018"/>
      <c r="C55" s="296" t="s">
        <v>1709</v>
      </c>
      <c r="D55" s="300"/>
      <c r="E55" s="298">
        <f>IF(E48&lt;G48,G48/E48-1,E48/G48-1)</f>
        <v>0.12989389920424399</v>
      </c>
      <c r="F55" s="299" t="str">
        <f>IF(OR(E55&gt;=0.3,E55&lt;=-0.3),"超过30%","")</f>
        <v/>
      </c>
      <c r="G55" s="298">
        <f>IF(G48&lt;I48,I48/G48-1,G48/I48-1)</f>
        <v>0.1773474801061008</v>
      </c>
      <c r="H55" s="299" t="str">
        <f>IF(OR(G55&gt;=0.3,G55&lt;=-0.3),"超过30%","")</f>
        <v/>
      </c>
      <c r="I55" s="298">
        <f>IF(I48&lt;E48,E48/I48-1,I48/E48-1)</f>
        <v>4.1998262788459195E-2</v>
      </c>
      <c r="J55" s="299" t="str">
        <f>IF(OR(I55&gt;=0.3,I55&lt;=-0.3),"超过30%","")</f>
        <v/>
      </c>
      <c r="K55" s="2023"/>
      <c r="L55" s="2017"/>
      <c r="M55" s="2018"/>
      <c r="N55" s="2018"/>
      <c r="O55" s="2018"/>
      <c r="P55" s="2046"/>
      <c r="Q55" s="2018"/>
      <c r="R55" s="2018"/>
      <c r="S55" s="2018"/>
      <c r="T55" s="2018"/>
      <c r="U55" s="2018"/>
      <c r="V55" s="2018"/>
      <c r="W55" s="2018"/>
      <c r="X55" s="2018"/>
      <c r="Y55" s="2018"/>
      <c r="Z55" s="2018"/>
      <c r="AA55" s="2018"/>
      <c r="AB55" s="2018"/>
      <c r="AC55" s="2018"/>
    </row>
    <row r="56" spans="1:36" s="301" customFormat="1">
      <c r="A56" s="2018"/>
      <c r="B56" s="2021"/>
      <c r="C56" s="2022"/>
      <c r="D56" s="2018"/>
      <c r="E56" s="2018"/>
      <c r="F56" s="2018"/>
      <c r="G56" s="2018"/>
      <c r="H56" s="2018"/>
      <c r="I56" s="2018"/>
      <c r="J56" s="2018"/>
      <c r="K56" s="2023"/>
      <c r="L56" s="2017"/>
      <c r="M56" s="2018"/>
      <c r="N56" s="2018"/>
      <c r="O56" s="2018"/>
      <c r="P56" s="2046"/>
      <c r="Q56" s="2018"/>
      <c r="R56" s="2018"/>
      <c r="S56" s="2018"/>
      <c r="T56" s="2018"/>
      <c r="U56" s="2018"/>
      <c r="V56" s="2018"/>
      <c r="W56" s="2018"/>
      <c r="X56" s="2018"/>
      <c r="Y56" s="2018"/>
      <c r="Z56" s="2018"/>
      <c r="AA56" s="2018"/>
      <c r="AB56" s="2018"/>
      <c r="AC56" s="2018"/>
    </row>
    <row r="57" spans="1:36">
      <c r="A57" s="2008"/>
      <c r="B57" s="2021"/>
      <c r="C57" s="2022"/>
      <c r="D57" s="2008"/>
      <c r="E57" s="2008"/>
      <c r="F57" s="2008"/>
      <c r="G57" s="2008"/>
      <c r="H57" s="2008"/>
      <c r="I57" s="2008"/>
      <c r="J57" s="2008"/>
      <c r="K57" s="2020"/>
      <c r="L57" s="2016"/>
      <c r="M57" s="2008"/>
      <c r="N57" s="2008"/>
      <c r="O57" s="2008"/>
      <c r="P57" s="2045"/>
      <c r="Q57" s="2008"/>
      <c r="R57" s="2008"/>
      <c r="S57" s="2008"/>
      <c r="T57" s="2008"/>
      <c r="U57" s="2008"/>
      <c r="V57" s="2008"/>
      <c r="W57" s="2008"/>
      <c r="X57" s="2008"/>
      <c r="Y57" s="2008"/>
      <c r="Z57" s="2008"/>
      <c r="AA57" s="2008"/>
      <c r="AB57" s="2008"/>
      <c r="AC57" s="2008"/>
    </row>
    <row r="58" spans="1:36" ht="21.75" thickBot="1">
      <c r="A58" s="476" t="s">
        <v>1710</v>
      </c>
      <c r="B58" s="265"/>
      <c r="C58" s="477"/>
      <c r="D58" s="477"/>
      <c r="E58" s="477"/>
      <c r="F58" s="478"/>
      <c r="G58" s="478"/>
      <c r="H58" s="477"/>
      <c r="I58" s="477"/>
      <c r="J58" s="477"/>
      <c r="K58" s="479"/>
      <c r="L58" s="638"/>
      <c r="M58" s="636"/>
      <c r="N58" s="2058"/>
      <c r="O58" s="2058"/>
      <c r="P58" s="2047"/>
      <c r="Q58" s="2029"/>
      <c r="R58" s="2008"/>
      <c r="S58" s="2008"/>
      <c r="T58" s="2008"/>
      <c r="U58" s="2008"/>
      <c r="V58" s="2008"/>
      <c r="W58" s="2008"/>
      <c r="X58" s="2008"/>
      <c r="Y58" s="2008"/>
      <c r="Z58" s="2008"/>
      <c r="AA58" s="2008"/>
      <c r="AB58" s="2008"/>
      <c r="AC58" s="2008"/>
    </row>
    <row r="59" spans="1:36" s="305" customFormat="1" ht="15">
      <c r="A59" s="303" t="s">
        <v>1591</v>
      </c>
      <c r="B59" s="304"/>
      <c r="C59" s="803" t="str">
        <f>YEAR(C7)&amp;"-"&amp;MONTH(C7)</f>
        <v>2026-1</v>
      </c>
      <c r="D59" s="804">
        <f>EDATE(C59,-1)</f>
        <v>45992</v>
      </c>
      <c r="E59" s="804">
        <f>EDATE(D59,-1)</f>
        <v>45962</v>
      </c>
      <c r="F59" s="804">
        <f t="shared" ref="F59:O59" si="16">EDATE(E59,-1)</f>
        <v>45931</v>
      </c>
      <c r="G59" s="804">
        <f t="shared" si="16"/>
        <v>45901</v>
      </c>
      <c r="H59" s="804">
        <f t="shared" si="16"/>
        <v>45870</v>
      </c>
      <c r="I59" s="804">
        <f t="shared" si="16"/>
        <v>45839</v>
      </c>
      <c r="J59" s="804">
        <f t="shared" si="16"/>
        <v>45809</v>
      </c>
      <c r="K59" s="804">
        <f t="shared" si="16"/>
        <v>45778</v>
      </c>
      <c r="L59" s="804">
        <f t="shared" si="16"/>
        <v>45748</v>
      </c>
      <c r="M59" s="804">
        <f t="shared" si="16"/>
        <v>45717</v>
      </c>
      <c r="N59" s="804">
        <f t="shared" si="16"/>
        <v>45689</v>
      </c>
      <c r="O59" s="804">
        <f t="shared" si="16"/>
        <v>45658</v>
      </c>
      <c r="P59" s="2048">
        <f t="shared" ref="P59" si="17">EDATE(O59,-1)</f>
        <v>45627</v>
      </c>
      <c r="Q59" s="2031">
        <f t="shared" ref="Q59" si="18">EDATE(P59,-1)</f>
        <v>45597</v>
      </c>
      <c r="R59" s="2031">
        <f t="shared" ref="R59" si="19">EDATE(Q59,-1)</f>
        <v>45566</v>
      </c>
      <c r="S59" s="2031">
        <f t="shared" ref="S59" si="20">EDATE(R59,-1)</f>
        <v>45536</v>
      </c>
      <c r="T59" s="2031">
        <f t="shared" ref="T59" si="21">EDATE(S59,-1)</f>
        <v>45505</v>
      </c>
      <c r="U59" s="2031">
        <f t="shared" ref="U59" si="22">EDATE(T59,-1)</f>
        <v>45474</v>
      </c>
      <c r="V59" s="2031">
        <f t="shared" ref="V59" si="23">EDATE(U59,-1)</f>
        <v>45444</v>
      </c>
      <c r="W59" s="2031">
        <f t="shared" ref="W59" si="24">EDATE(V59,-1)</f>
        <v>45413</v>
      </c>
      <c r="X59" s="2031">
        <f t="shared" ref="X59" si="25">EDATE(W59,-1)</f>
        <v>45383</v>
      </c>
      <c r="Y59" s="2031">
        <f t="shared" ref="Y59" si="26">EDATE(X59,-1)</f>
        <v>45352</v>
      </c>
      <c r="Z59" s="2031">
        <f t="shared" ref="Z59" si="27">EDATE(Y59,-1)</f>
        <v>45323</v>
      </c>
      <c r="AA59" s="2031">
        <f t="shared" ref="AA59" si="28">EDATE(Z59,-1)</f>
        <v>45292</v>
      </c>
      <c r="AB59" s="2031">
        <f t="shared" ref="AB59" si="29">EDATE(AA59,-1)</f>
        <v>45261</v>
      </c>
      <c r="AC59" s="2031">
        <f t="shared" ref="AC59" si="30">EDATE(AB59,-1)</f>
        <v>45231</v>
      </c>
      <c r="AD59" s="305">
        <f t="shared" ref="AD59" si="31">EDATE(AC59,-1)</f>
        <v>45200</v>
      </c>
      <c r="AE59" s="305">
        <f t="shared" ref="AE59" si="32">EDATE(AD59,-1)</f>
        <v>45170</v>
      </c>
      <c r="AF59" s="305">
        <f t="shared" ref="AF59" si="33">EDATE(AE59,-1)</f>
        <v>45139</v>
      </c>
      <c r="AG59" s="305">
        <f t="shared" ref="AG59" si="34">EDATE(AF59,-1)</f>
        <v>45108</v>
      </c>
      <c r="AH59" s="305">
        <f t="shared" ref="AH59" si="35">EDATE(AG59,-1)</f>
        <v>45078</v>
      </c>
      <c r="AI59" s="305">
        <f t="shared" ref="AI59" si="36">EDATE(AH59,-1)</f>
        <v>45047</v>
      </c>
      <c r="AJ59" s="305">
        <f t="shared" ref="AJ59" si="37">EDATE(AI59,-1)</f>
        <v>45017</v>
      </c>
    </row>
    <row r="60" spans="1:36" s="46" customFormat="1" ht="15">
      <c r="A60" s="306"/>
      <c r="B60" s="307"/>
      <c r="C60" s="802">
        <v>100</v>
      </c>
      <c r="D60" s="309">
        <f>C60+$C$61</f>
        <v>100.2</v>
      </c>
      <c r="E60" s="309">
        <f t="shared" ref="E60:AJ60" si="38">D60+$C$61</f>
        <v>100.4</v>
      </c>
      <c r="F60" s="309">
        <f t="shared" si="38"/>
        <v>100.60000000000001</v>
      </c>
      <c r="G60" s="309">
        <f t="shared" si="38"/>
        <v>100.80000000000001</v>
      </c>
      <c r="H60" s="309">
        <f t="shared" si="38"/>
        <v>101.00000000000001</v>
      </c>
      <c r="I60" s="309">
        <f t="shared" si="38"/>
        <v>101.20000000000002</v>
      </c>
      <c r="J60" s="309">
        <f t="shared" si="38"/>
        <v>101.40000000000002</v>
      </c>
      <c r="K60" s="309">
        <f t="shared" si="38"/>
        <v>101.60000000000002</v>
      </c>
      <c r="L60" s="309">
        <f t="shared" si="38"/>
        <v>101.80000000000003</v>
      </c>
      <c r="M60" s="310">
        <f t="shared" si="38"/>
        <v>102.00000000000003</v>
      </c>
      <c r="N60" s="309">
        <f t="shared" si="38"/>
        <v>102.20000000000003</v>
      </c>
      <c r="O60" s="310">
        <f t="shared" si="38"/>
        <v>102.40000000000003</v>
      </c>
      <c r="P60" s="2049">
        <f t="shared" si="38"/>
        <v>102.60000000000004</v>
      </c>
      <c r="Q60" s="1962">
        <f t="shared" si="38"/>
        <v>102.80000000000004</v>
      </c>
      <c r="R60" s="1962">
        <f t="shared" si="38"/>
        <v>103.00000000000004</v>
      </c>
      <c r="S60" s="1962">
        <f t="shared" si="38"/>
        <v>103.20000000000005</v>
      </c>
      <c r="T60" s="1962">
        <f t="shared" si="38"/>
        <v>103.40000000000005</v>
      </c>
      <c r="U60" s="1962">
        <f t="shared" si="38"/>
        <v>103.60000000000005</v>
      </c>
      <c r="V60" s="1962">
        <f t="shared" si="38"/>
        <v>103.80000000000005</v>
      </c>
      <c r="W60" s="1962">
        <f t="shared" si="38"/>
        <v>104.00000000000006</v>
      </c>
      <c r="X60" s="1962">
        <f t="shared" si="38"/>
        <v>104.20000000000006</v>
      </c>
      <c r="Y60" s="1962">
        <f t="shared" si="38"/>
        <v>104.40000000000006</v>
      </c>
      <c r="Z60" s="1962">
        <f t="shared" si="38"/>
        <v>104.60000000000007</v>
      </c>
      <c r="AA60" s="1962">
        <f t="shared" si="38"/>
        <v>104.80000000000007</v>
      </c>
      <c r="AB60" s="1962">
        <f t="shared" si="38"/>
        <v>105.00000000000007</v>
      </c>
      <c r="AC60" s="1962">
        <f t="shared" si="38"/>
        <v>105.20000000000007</v>
      </c>
      <c r="AD60" s="46">
        <f t="shared" si="38"/>
        <v>105.40000000000008</v>
      </c>
      <c r="AE60" s="46">
        <f t="shared" si="38"/>
        <v>105.60000000000008</v>
      </c>
      <c r="AF60" s="46">
        <f t="shared" si="38"/>
        <v>105.80000000000008</v>
      </c>
      <c r="AG60" s="46">
        <f t="shared" si="38"/>
        <v>106.00000000000009</v>
      </c>
      <c r="AH60" s="46">
        <f t="shared" si="38"/>
        <v>106.20000000000009</v>
      </c>
      <c r="AI60" s="46">
        <f t="shared" si="38"/>
        <v>106.40000000000009</v>
      </c>
      <c r="AJ60" s="46">
        <f t="shared" si="38"/>
        <v>106.60000000000009</v>
      </c>
    </row>
    <row r="61" spans="1:36" s="46" customFormat="1" ht="15.75" thickBot="1">
      <c r="A61" s="312" t="s">
        <v>1628</v>
      </c>
      <c r="B61" s="313"/>
      <c r="C61" s="314">
        <v>0.2</v>
      </c>
      <c r="D61" s="315"/>
      <c r="E61" s="315"/>
      <c r="F61" s="315"/>
      <c r="G61" s="315"/>
      <c r="H61" s="315"/>
      <c r="I61" s="315"/>
      <c r="J61" s="315"/>
      <c r="K61" s="315"/>
      <c r="L61" s="315"/>
      <c r="M61" s="316"/>
      <c r="N61" s="315"/>
      <c r="O61" s="316"/>
      <c r="P61" s="2049"/>
      <c r="Q61" s="2029"/>
      <c r="R61" s="1962"/>
      <c r="S61" s="1962"/>
      <c r="T61" s="1962"/>
      <c r="U61" s="1962"/>
      <c r="V61" s="1962"/>
      <c r="W61" s="1962"/>
      <c r="X61" s="1962"/>
      <c r="Y61" s="1962"/>
      <c r="Z61" s="1962"/>
      <c r="AA61" s="1962"/>
      <c r="AB61" s="1962"/>
      <c r="AC61" s="1962"/>
    </row>
    <row r="62" spans="1:36" s="46" customFormat="1" ht="15">
      <c r="A62" s="318" t="s">
        <v>1593</v>
      </c>
      <c r="B62" s="307"/>
      <c r="C62" s="319" t="s">
        <v>1688</v>
      </c>
      <c r="D62" s="20"/>
      <c r="E62" s="20"/>
      <c r="F62" s="20"/>
      <c r="G62" s="20"/>
      <c r="H62" s="20"/>
      <c r="I62" s="20"/>
      <c r="J62" s="20"/>
      <c r="K62" s="20"/>
      <c r="L62" s="320"/>
      <c r="M62" s="321"/>
      <c r="N62" s="2041"/>
      <c r="O62" s="2041"/>
      <c r="P62" s="2050"/>
      <c r="Q62" s="2029"/>
      <c r="R62" s="1962"/>
      <c r="S62" s="1962"/>
      <c r="T62" s="1962"/>
      <c r="U62" s="1962"/>
      <c r="V62" s="1962"/>
      <c r="W62" s="1962"/>
      <c r="X62" s="1962"/>
      <c r="Y62" s="1962"/>
      <c r="Z62" s="1962"/>
      <c r="AA62" s="1962"/>
      <c r="AB62" s="1962"/>
      <c r="AC62" s="1962"/>
    </row>
    <row r="63" spans="1:36" s="46" customFormat="1" ht="15.75" thickBot="1">
      <c r="A63" s="318"/>
      <c r="B63" s="307"/>
      <c r="C63" s="308">
        <v>100</v>
      </c>
      <c r="D63" s="309"/>
      <c r="E63" s="309"/>
      <c r="F63" s="309"/>
      <c r="G63" s="309"/>
      <c r="H63" s="309"/>
      <c r="I63" s="309"/>
      <c r="J63" s="309"/>
      <c r="K63" s="309"/>
      <c r="L63" s="309"/>
      <c r="M63" s="311"/>
      <c r="N63" s="2041"/>
      <c r="O63" s="2041"/>
      <c r="P63" s="2049"/>
      <c r="Q63" s="2029"/>
      <c r="R63" s="1962"/>
      <c r="S63" s="1962"/>
      <c r="T63" s="1962"/>
      <c r="U63" s="1962"/>
      <c r="V63" s="1962"/>
      <c r="W63" s="1962"/>
      <c r="X63" s="1962"/>
      <c r="Y63" s="1962"/>
      <c r="Z63" s="1962"/>
      <c r="AA63" s="1962"/>
      <c r="AB63" s="1962"/>
      <c r="AC63" s="1962"/>
    </row>
    <row r="64" spans="1:36">
      <c r="A64" s="262" t="s">
        <v>1631</v>
      </c>
      <c r="B64" s="322" t="s">
        <v>1597</v>
      </c>
      <c r="C64" s="323" t="str">
        <f>C9</f>
        <v>商业、办公</v>
      </c>
      <c r="D64" s="324"/>
      <c r="E64" s="324"/>
      <c r="F64" s="324"/>
      <c r="G64" s="324"/>
      <c r="H64" s="324"/>
      <c r="I64" s="324"/>
      <c r="J64" s="324"/>
      <c r="K64" s="325"/>
      <c r="L64" s="326"/>
      <c r="M64" s="327"/>
      <c r="N64" s="2042"/>
      <c r="O64" s="2042"/>
      <c r="P64" s="2051"/>
      <c r="Q64" s="2029"/>
      <c r="R64" s="2008"/>
      <c r="S64" s="2008"/>
      <c r="T64" s="2008"/>
      <c r="U64" s="2008"/>
      <c r="V64" s="2008"/>
      <c r="W64" s="2008"/>
      <c r="X64" s="2008"/>
      <c r="Y64" s="2008"/>
      <c r="Z64" s="2008"/>
      <c r="AA64" s="2008"/>
      <c r="AB64" s="2008"/>
      <c r="AC64" s="2008"/>
    </row>
    <row r="65" spans="1:29" ht="15.75" thickBot="1">
      <c r="A65" s="254"/>
      <c r="B65" s="328"/>
      <c r="C65" s="329">
        <v>100</v>
      </c>
      <c r="D65" s="329"/>
      <c r="E65" s="329"/>
      <c r="F65" s="329"/>
      <c r="G65" s="329"/>
      <c r="H65" s="329"/>
      <c r="I65" s="329"/>
      <c r="J65" s="329"/>
      <c r="K65" s="329"/>
      <c r="L65" s="329"/>
      <c r="M65" s="330"/>
      <c r="N65" s="2043"/>
      <c r="O65" s="2043"/>
      <c r="P65" s="2051"/>
      <c r="Q65" s="2029"/>
      <c r="R65" s="2008"/>
      <c r="S65" s="2008"/>
      <c r="T65" s="2008"/>
      <c r="U65" s="2008"/>
      <c r="V65" s="2008"/>
      <c r="W65" s="2008"/>
      <c r="X65" s="2008"/>
      <c r="Y65" s="2008"/>
      <c r="Z65" s="2008"/>
      <c r="AA65" s="2008"/>
      <c r="AB65" s="2008"/>
      <c r="AC65" s="2008"/>
    </row>
    <row r="66" spans="1:29" ht="27.75" thickTop="1">
      <c r="A66" s="254"/>
      <c r="B66" s="331" t="s">
        <v>1600</v>
      </c>
      <c r="C66" s="372" t="s">
        <v>4290</v>
      </c>
      <c r="D66" s="372" t="s">
        <v>4274</v>
      </c>
      <c r="E66" s="372" t="s">
        <v>4275</v>
      </c>
      <c r="F66" s="372" t="s">
        <v>4276</v>
      </c>
      <c r="G66" s="372"/>
      <c r="H66" s="372"/>
      <c r="I66" s="372"/>
      <c r="J66" s="372"/>
      <c r="K66" s="373"/>
      <c r="L66" s="374"/>
      <c r="M66" s="375"/>
      <c r="N66" s="2042"/>
      <c r="O66" s="2042"/>
      <c r="P66" s="2051"/>
      <c r="Q66" s="2029"/>
      <c r="R66" s="2008"/>
      <c r="S66" s="2008"/>
      <c r="T66" s="2008"/>
      <c r="U66" s="2008"/>
      <c r="V66" s="2008"/>
      <c r="W66" s="2008"/>
      <c r="X66" s="2008"/>
      <c r="Y66" s="2008"/>
      <c r="Z66" s="2008"/>
      <c r="AA66" s="2008"/>
      <c r="AB66" s="2008"/>
      <c r="AC66" s="2008"/>
    </row>
    <row r="67" spans="1:29" ht="15.75" thickBot="1">
      <c r="A67" s="254"/>
      <c r="B67" s="336" t="s">
        <v>3883</v>
      </c>
      <c r="C67" s="329">
        <v>100</v>
      </c>
      <c r="D67" s="329">
        <v>96</v>
      </c>
      <c r="E67" s="329">
        <v>92</v>
      </c>
      <c r="F67" s="329">
        <v>88</v>
      </c>
      <c r="G67" s="329"/>
      <c r="H67" s="329"/>
      <c r="I67" s="329"/>
      <c r="J67" s="329"/>
      <c r="K67" s="329"/>
      <c r="L67" s="329"/>
      <c r="M67" s="330"/>
      <c r="N67" s="2043"/>
      <c r="O67" s="2043"/>
      <c r="P67" s="2051"/>
      <c r="Q67" s="2029"/>
      <c r="R67" s="2008"/>
      <c r="S67" s="2008"/>
      <c r="T67" s="2008"/>
      <c r="U67" s="2008"/>
      <c r="V67" s="2008"/>
      <c r="W67" s="2008"/>
      <c r="X67" s="2008"/>
      <c r="Y67" s="2008"/>
      <c r="Z67" s="2008"/>
      <c r="AA67" s="2008"/>
      <c r="AB67" s="2008"/>
      <c r="AC67" s="2008"/>
    </row>
    <row r="68" spans="1:29" ht="15.75" thickTop="1">
      <c r="A68" s="254"/>
      <c r="B68" s="339" t="s">
        <v>1601</v>
      </c>
      <c r="C68" s="340" t="str">
        <f>C69&amp;"（含）"&amp;"-"&amp;D69</f>
        <v>0（含）-0.5</v>
      </c>
      <c r="D68" s="340" t="str">
        <f t="shared" ref="D68:L68" si="39">D69&amp;"（含）"&amp;"-"&amp;E69</f>
        <v>0.5（含）-1</v>
      </c>
      <c r="E68" s="340" t="str">
        <f t="shared" si="39"/>
        <v>1（含）-1.5</v>
      </c>
      <c r="F68" s="340" t="str">
        <f t="shared" si="39"/>
        <v>1.5（含）-2</v>
      </c>
      <c r="G68" s="340" t="str">
        <f t="shared" si="39"/>
        <v>2（含）-</v>
      </c>
      <c r="H68" s="340" t="str">
        <f t="shared" si="39"/>
        <v>（含）-</v>
      </c>
      <c r="I68" s="340" t="str">
        <f t="shared" si="39"/>
        <v>（含）-</v>
      </c>
      <c r="J68" s="340" t="str">
        <f t="shared" si="39"/>
        <v>（含）-</v>
      </c>
      <c r="K68" s="340" t="str">
        <f t="shared" si="39"/>
        <v>（含）-</v>
      </c>
      <c r="L68" s="340" t="str">
        <f t="shared" si="39"/>
        <v>（含）-</v>
      </c>
      <c r="M68" s="267" t="str">
        <f>M69&amp;"（含）"&amp;"-"&amp;P69</f>
        <v>（含）-</v>
      </c>
      <c r="N68" s="2043"/>
      <c r="O68" s="2043"/>
      <c r="P68" s="2051"/>
      <c r="Q68" s="2029"/>
      <c r="R68" s="2008"/>
      <c r="S68" s="2008"/>
      <c r="T68" s="2008"/>
      <c r="U68" s="2008"/>
      <c r="V68" s="2008"/>
      <c r="W68" s="2008"/>
      <c r="X68" s="2008"/>
      <c r="Y68" s="2008"/>
      <c r="Z68" s="2008"/>
      <c r="AA68" s="2008"/>
      <c r="AB68" s="2008"/>
      <c r="AC68" s="2008"/>
    </row>
    <row r="69" spans="1:29" ht="15">
      <c r="A69" s="254"/>
      <c r="B69" s="341"/>
      <c r="C69" s="342">
        <v>0</v>
      </c>
      <c r="D69" s="342">
        <v>0.5</v>
      </c>
      <c r="E69" s="342">
        <v>1</v>
      </c>
      <c r="F69" s="342">
        <v>1.5</v>
      </c>
      <c r="G69" s="342">
        <v>2</v>
      </c>
      <c r="H69" s="342"/>
      <c r="I69" s="342"/>
      <c r="J69" s="342"/>
      <c r="K69" s="343"/>
      <c r="L69" s="344"/>
      <c r="M69" s="345"/>
      <c r="N69" s="2042"/>
      <c r="O69" s="2042"/>
      <c r="P69" s="2051"/>
      <c r="Q69" s="2029"/>
      <c r="R69" s="2008"/>
      <c r="S69" s="2008"/>
      <c r="T69" s="2008"/>
      <c r="U69" s="2008"/>
      <c r="V69" s="2008"/>
      <c r="W69" s="2008"/>
      <c r="X69" s="2008"/>
      <c r="Y69" s="2008"/>
      <c r="Z69" s="2008"/>
      <c r="AA69" s="2008"/>
      <c r="AB69" s="2008"/>
      <c r="AC69" s="2008"/>
    </row>
    <row r="70" spans="1:29" ht="15.75" thickBot="1">
      <c r="A70" s="254"/>
      <c r="B70" s="328"/>
      <c r="C70" s="337">
        <v>100</v>
      </c>
      <c r="D70" s="337">
        <f t="shared" ref="D70:M70" si="40">C70-$K11</f>
        <v>100</v>
      </c>
      <c r="E70" s="337">
        <f t="shared" si="40"/>
        <v>100</v>
      </c>
      <c r="F70" s="337">
        <f t="shared" si="40"/>
        <v>100</v>
      </c>
      <c r="G70" s="337">
        <f t="shared" si="40"/>
        <v>100</v>
      </c>
      <c r="H70" s="337">
        <f t="shared" si="40"/>
        <v>100</v>
      </c>
      <c r="I70" s="337">
        <f t="shared" si="40"/>
        <v>100</v>
      </c>
      <c r="J70" s="337">
        <f t="shared" si="40"/>
        <v>100</v>
      </c>
      <c r="K70" s="337">
        <f t="shared" si="40"/>
        <v>100</v>
      </c>
      <c r="L70" s="337">
        <f t="shared" si="40"/>
        <v>100</v>
      </c>
      <c r="M70" s="338">
        <f t="shared" si="40"/>
        <v>100</v>
      </c>
      <c r="N70" s="2043"/>
      <c r="O70" s="2043"/>
      <c r="P70" s="2051"/>
      <c r="Q70" s="2029"/>
      <c r="R70" s="2008"/>
      <c r="S70" s="2008"/>
      <c r="T70" s="2008"/>
      <c r="U70" s="2008"/>
      <c r="V70" s="2008"/>
      <c r="W70" s="2008"/>
      <c r="X70" s="2008"/>
      <c r="Y70" s="2008"/>
      <c r="Z70" s="2008"/>
      <c r="AA70" s="2008"/>
      <c r="AB70" s="2008"/>
      <c r="AC70" s="2008"/>
    </row>
    <row r="71" spans="1:29" s="279" customFormat="1" ht="15.75" thickTop="1">
      <c r="A71" s="346"/>
      <c r="B71" s="331">
        <f>B12</f>
        <v>111</v>
      </c>
      <c r="C71" s="347"/>
      <c r="D71" s="347"/>
      <c r="E71" s="347"/>
      <c r="F71" s="347"/>
      <c r="G71" s="347"/>
      <c r="H71" s="348"/>
      <c r="I71" s="348"/>
      <c r="J71" s="348"/>
      <c r="K71" s="348"/>
      <c r="L71" s="349"/>
      <c r="M71" s="350"/>
      <c r="N71" s="2044"/>
      <c r="O71" s="2044"/>
      <c r="P71" s="2052"/>
      <c r="Q71" s="2036"/>
      <c r="R71" s="2014"/>
      <c r="S71" s="2014"/>
      <c r="T71" s="2014"/>
      <c r="U71" s="2014"/>
      <c r="V71" s="2014"/>
      <c r="W71" s="2014"/>
      <c r="X71" s="2014"/>
      <c r="Y71" s="2014"/>
      <c r="Z71" s="2014"/>
      <c r="AA71" s="2014"/>
      <c r="AB71" s="2014"/>
      <c r="AC71" s="2014"/>
    </row>
    <row r="72" spans="1:29" s="279" customFormat="1" ht="15.75" thickBot="1">
      <c r="A72" s="346"/>
      <c r="B72" s="336"/>
      <c r="C72" s="352"/>
      <c r="D72" s="329"/>
      <c r="E72" s="329"/>
      <c r="F72" s="329"/>
      <c r="G72" s="329"/>
      <c r="H72" s="329"/>
      <c r="I72" s="329"/>
      <c r="J72" s="329"/>
      <c r="K72" s="329"/>
      <c r="L72" s="329"/>
      <c r="M72" s="330"/>
      <c r="N72" s="2043"/>
      <c r="O72" s="2043"/>
      <c r="P72" s="2052"/>
      <c r="Q72" s="2036"/>
      <c r="R72" s="2014"/>
      <c r="S72" s="2014"/>
      <c r="T72" s="2014"/>
      <c r="U72" s="2014"/>
      <c r="V72" s="2014"/>
      <c r="W72" s="2014"/>
      <c r="X72" s="2014"/>
      <c r="Y72" s="2014"/>
      <c r="Z72" s="2014"/>
      <c r="AA72" s="2014"/>
      <c r="AB72" s="2014"/>
      <c r="AC72" s="2014"/>
    </row>
    <row r="73" spans="1:29" s="279" customFormat="1" ht="15.75" thickTop="1">
      <c r="A73" s="346"/>
      <c r="B73" s="331">
        <f>B13</f>
        <v>111</v>
      </c>
      <c r="C73" s="347"/>
      <c r="D73" s="347"/>
      <c r="E73" s="347"/>
      <c r="F73" s="347"/>
      <c r="G73" s="347"/>
      <c r="H73" s="348"/>
      <c r="I73" s="348"/>
      <c r="J73" s="348"/>
      <c r="K73" s="348"/>
      <c r="L73" s="349"/>
      <c r="M73" s="350"/>
      <c r="N73" s="2044"/>
      <c r="O73" s="2044"/>
      <c r="P73" s="2053"/>
      <c r="Q73" s="2038"/>
      <c r="R73" s="2014"/>
      <c r="S73" s="2014"/>
      <c r="T73" s="2014"/>
      <c r="U73" s="2014"/>
      <c r="V73" s="2014"/>
      <c r="W73" s="2014"/>
      <c r="X73" s="2014"/>
      <c r="Y73" s="2014"/>
      <c r="Z73" s="2014"/>
      <c r="AA73" s="2014"/>
      <c r="AB73" s="2014"/>
      <c r="AC73" s="2014"/>
    </row>
    <row r="74" spans="1:29" s="279" customFormat="1" ht="15.75" thickBot="1">
      <c r="A74" s="346"/>
      <c r="B74" s="336"/>
      <c r="C74" s="352"/>
      <c r="D74" s="352"/>
      <c r="E74" s="352"/>
      <c r="F74" s="352"/>
      <c r="G74" s="352"/>
      <c r="H74" s="354"/>
      <c r="I74" s="354"/>
      <c r="J74" s="354"/>
      <c r="K74" s="354"/>
      <c r="L74" s="354"/>
      <c r="M74" s="355"/>
      <c r="N74" s="2044"/>
      <c r="O74" s="2044"/>
      <c r="P74" s="2052"/>
      <c r="Q74" s="2036"/>
      <c r="R74" s="2014"/>
      <c r="S74" s="2014"/>
      <c r="T74" s="2014"/>
      <c r="U74" s="2014"/>
      <c r="V74" s="2014"/>
      <c r="W74" s="2014"/>
      <c r="X74" s="2014"/>
      <c r="Y74" s="2014"/>
      <c r="Z74" s="2014"/>
      <c r="AA74" s="2014"/>
      <c r="AB74" s="2014"/>
      <c r="AC74" s="2014"/>
    </row>
    <row r="75" spans="1:29" s="279" customFormat="1" ht="15.75" thickTop="1">
      <c r="A75" s="346"/>
      <c r="B75" s="339">
        <f>B14</f>
        <v>111</v>
      </c>
      <c r="C75" s="20"/>
      <c r="D75" s="20"/>
      <c r="E75" s="20"/>
      <c r="F75" s="20"/>
      <c r="G75" s="20"/>
      <c r="H75" s="356"/>
      <c r="I75" s="356"/>
      <c r="J75" s="356"/>
      <c r="K75" s="356"/>
      <c r="L75" s="357"/>
      <c r="M75" s="358"/>
      <c r="N75" s="2044"/>
      <c r="O75" s="2044"/>
      <c r="P75" s="2054"/>
      <c r="Q75" s="2036"/>
      <c r="R75" s="2014"/>
      <c r="S75" s="2014"/>
      <c r="T75" s="2014"/>
      <c r="U75" s="2014"/>
      <c r="V75" s="2014"/>
      <c r="W75" s="2014"/>
      <c r="X75" s="2014"/>
      <c r="Y75" s="2014"/>
      <c r="Z75" s="2014"/>
      <c r="AA75" s="2014"/>
      <c r="AB75" s="2014"/>
      <c r="AC75" s="2014"/>
    </row>
    <row r="76" spans="1:29" s="279" customFormat="1" ht="15.75" thickBot="1">
      <c r="A76" s="359"/>
      <c r="B76" s="360"/>
      <c r="C76" s="361"/>
      <c r="D76" s="361"/>
      <c r="E76" s="361"/>
      <c r="F76" s="361"/>
      <c r="G76" s="361"/>
      <c r="H76" s="362"/>
      <c r="I76" s="362"/>
      <c r="J76" s="362"/>
      <c r="K76" s="362"/>
      <c r="L76" s="362"/>
      <c r="M76" s="363"/>
      <c r="N76" s="2044"/>
      <c r="O76" s="2044"/>
      <c r="P76" s="2052"/>
      <c r="Q76" s="2036"/>
      <c r="R76" s="2014"/>
      <c r="S76" s="2014"/>
      <c r="T76" s="2014"/>
      <c r="U76" s="2014"/>
      <c r="V76" s="2014"/>
      <c r="W76" s="2014"/>
      <c r="X76" s="2014"/>
      <c r="Y76" s="2014"/>
      <c r="Z76" s="2014"/>
      <c r="AA76" s="2014"/>
      <c r="AB76" s="2014"/>
      <c r="AC76" s="2014"/>
    </row>
    <row r="77" spans="1:29">
      <c r="A77" s="262" t="s">
        <v>1602</v>
      </c>
      <c r="B77" s="322" t="s">
        <v>1733</v>
      </c>
      <c r="C77" s="364" t="s">
        <v>1633</v>
      </c>
      <c r="D77" s="364" t="s">
        <v>1634</v>
      </c>
      <c r="E77" s="364" t="s">
        <v>1635</v>
      </c>
      <c r="F77" s="364" t="s">
        <v>1636</v>
      </c>
      <c r="G77" s="364" t="s">
        <v>1637</v>
      </c>
      <c r="H77" s="323"/>
      <c r="I77" s="323"/>
      <c r="J77" s="323"/>
      <c r="K77" s="365"/>
      <c r="L77" s="366"/>
      <c r="M77" s="367"/>
      <c r="N77" s="2042"/>
      <c r="O77" s="2042"/>
      <c r="P77" s="2055"/>
      <c r="Q77" s="2029"/>
      <c r="R77" s="2008"/>
      <c r="S77" s="2008"/>
      <c r="T77" s="2008"/>
      <c r="U77" s="2008"/>
      <c r="V77" s="2008"/>
      <c r="W77" s="2008"/>
      <c r="X77" s="2008"/>
      <c r="Y77" s="2008"/>
      <c r="Z77" s="2008"/>
      <c r="AA77" s="2008"/>
      <c r="AB77" s="2008"/>
      <c r="AC77" s="2008"/>
    </row>
    <row r="78" spans="1:29" ht="15.75" thickBot="1">
      <c r="A78" s="254"/>
      <c r="B78" s="336"/>
      <c r="C78" s="337">
        <v>100</v>
      </c>
      <c r="D78" s="337">
        <f>C78-$K15</f>
        <v>97</v>
      </c>
      <c r="E78" s="337">
        <f>D78-$K15</f>
        <v>94</v>
      </c>
      <c r="F78" s="337">
        <f>E78-$K15</f>
        <v>91</v>
      </c>
      <c r="G78" s="337">
        <f>F78-$K15</f>
        <v>88</v>
      </c>
      <c r="H78" s="337"/>
      <c r="I78" s="337"/>
      <c r="J78" s="337"/>
      <c r="K78" s="337"/>
      <c r="L78" s="337"/>
      <c r="M78" s="338"/>
      <c r="N78" s="2043"/>
      <c r="O78" s="2043"/>
      <c r="P78" s="2051"/>
      <c r="Q78" s="2029"/>
      <c r="R78" s="2008"/>
      <c r="S78" s="2008"/>
      <c r="T78" s="2008"/>
      <c r="U78" s="2008"/>
      <c r="V78" s="2008"/>
      <c r="W78" s="2008"/>
      <c r="X78" s="2008"/>
      <c r="Y78" s="2008"/>
      <c r="Z78" s="2008"/>
      <c r="AA78" s="2008"/>
      <c r="AB78" s="2008"/>
      <c r="AC78" s="2008"/>
    </row>
    <row r="79" spans="1:29" ht="15.75" thickTop="1">
      <c r="A79" s="254"/>
      <c r="B79" s="331" t="s">
        <v>1638</v>
      </c>
      <c r="C79" s="368" t="s">
        <v>1633</v>
      </c>
      <c r="D79" s="368" t="s">
        <v>1634</v>
      </c>
      <c r="E79" s="368" t="s">
        <v>1635</v>
      </c>
      <c r="F79" s="368" t="s">
        <v>1636</v>
      </c>
      <c r="G79" s="368" t="s">
        <v>1637</v>
      </c>
      <c r="H79" s="332"/>
      <c r="I79" s="332"/>
      <c r="J79" s="332"/>
      <c r="K79" s="333"/>
      <c r="L79" s="334"/>
      <c r="M79" s="335"/>
      <c r="N79" s="2042"/>
      <c r="O79" s="2042"/>
      <c r="P79" s="2051"/>
      <c r="Q79" s="2029"/>
      <c r="R79" s="2008"/>
      <c r="S79" s="2008"/>
      <c r="T79" s="2008"/>
      <c r="U79" s="2008"/>
      <c r="V79" s="2008"/>
      <c r="W79" s="2008"/>
      <c r="X79" s="2008"/>
      <c r="Y79" s="2008"/>
      <c r="Z79" s="2008"/>
      <c r="AA79" s="2008"/>
      <c r="AB79" s="2008"/>
      <c r="AC79" s="2008"/>
    </row>
    <row r="80" spans="1:29" ht="15.75" thickBot="1">
      <c r="A80" s="254"/>
      <c r="B80" s="336"/>
      <c r="C80" s="337">
        <v>100</v>
      </c>
      <c r="D80" s="337">
        <f>C80-$K17</f>
        <v>97</v>
      </c>
      <c r="E80" s="337">
        <f>D80-$K17</f>
        <v>94</v>
      </c>
      <c r="F80" s="337">
        <f>E80-$K17</f>
        <v>91</v>
      </c>
      <c r="G80" s="337">
        <f>F80-$K17</f>
        <v>88</v>
      </c>
      <c r="H80" s="337"/>
      <c r="I80" s="337"/>
      <c r="J80" s="337"/>
      <c r="K80" s="337"/>
      <c r="L80" s="337"/>
      <c r="M80" s="338"/>
      <c r="N80" s="2043"/>
      <c r="O80" s="2043"/>
      <c r="P80" s="2051"/>
      <c r="Q80" s="2029"/>
      <c r="R80" s="2008"/>
      <c r="S80" s="2008"/>
      <c r="T80" s="2008"/>
      <c r="U80" s="2008"/>
      <c r="V80" s="2008"/>
      <c r="W80" s="2008"/>
      <c r="X80" s="2008"/>
      <c r="Y80" s="2008"/>
      <c r="Z80" s="2008"/>
      <c r="AA80" s="2008"/>
      <c r="AB80" s="2008"/>
      <c r="AC80" s="2008"/>
    </row>
    <row r="81" spans="1:29" ht="15.75" thickTop="1">
      <c r="A81" s="254"/>
      <c r="B81" s="331" t="s">
        <v>1639</v>
      </c>
      <c r="C81" s="368" t="s">
        <v>1633</v>
      </c>
      <c r="D81" s="368" t="s">
        <v>1634</v>
      </c>
      <c r="E81" s="368" t="s">
        <v>1635</v>
      </c>
      <c r="F81" s="368" t="s">
        <v>1636</v>
      </c>
      <c r="G81" s="368" t="s">
        <v>1637</v>
      </c>
      <c r="H81" s="332"/>
      <c r="I81" s="332"/>
      <c r="J81" s="332"/>
      <c r="K81" s="333"/>
      <c r="L81" s="334"/>
      <c r="M81" s="335"/>
      <c r="N81" s="2042"/>
      <c r="O81" s="2042"/>
      <c r="P81" s="2051"/>
      <c r="Q81" s="2029"/>
      <c r="R81" s="2008"/>
      <c r="S81" s="2008"/>
      <c r="T81" s="2008"/>
      <c r="U81" s="2008"/>
      <c r="V81" s="2008"/>
      <c r="W81" s="2008"/>
      <c r="X81" s="2008"/>
      <c r="Y81" s="2008"/>
      <c r="Z81" s="2008"/>
      <c r="AA81" s="2008"/>
      <c r="AB81" s="2008"/>
      <c r="AC81" s="2008"/>
    </row>
    <row r="82" spans="1:29" ht="15.75" thickBot="1">
      <c r="A82" s="254"/>
      <c r="B82" s="336"/>
      <c r="C82" s="337">
        <v>100</v>
      </c>
      <c r="D82" s="337">
        <f>C82-$K19</f>
        <v>97</v>
      </c>
      <c r="E82" s="337">
        <f>D82-$K19</f>
        <v>94</v>
      </c>
      <c r="F82" s="337">
        <f>E82-$K19</f>
        <v>91</v>
      </c>
      <c r="G82" s="337">
        <f>F82-$K19</f>
        <v>88</v>
      </c>
      <c r="H82" s="337"/>
      <c r="I82" s="337"/>
      <c r="J82" s="337"/>
      <c r="K82" s="337"/>
      <c r="L82" s="337"/>
      <c r="M82" s="338"/>
      <c r="N82" s="2043"/>
      <c r="O82" s="2043"/>
      <c r="P82" s="2051"/>
      <c r="Q82" s="2029"/>
      <c r="R82" s="2008"/>
      <c r="S82" s="2008"/>
      <c r="T82" s="2008"/>
      <c r="U82" s="2008"/>
      <c r="V82" s="2008"/>
      <c r="W82" s="2008"/>
      <c r="X82" s="2008"/>
      <c r="Y82" s="2008"/>
      <c r="Z82" s="2008"/>
      <c r="AA82" s="2008"/>
      <c r="AB82" s="2008"/>
      <c r="AC82" s="2008"/>
    </row>
    <row r="83" spans="1:29" ht="15.75" thickTop="1">
      <c r="A83" s="254"/>
      <c r="B83" s="339" t="s">
        <v>1725</v>
      </c>
      <c r="C83" s="428" t="s">
        <v>1711</v>
      </c>
      <c r="D83" s="428" t="s">
        <v>1712</v>
      </c>
      <c r="E83" s="428" t="s">
        <v>1713</v>
      </c>
      <c r="F83" s="428" t="s">
        <v>1714</v>
      </c>
      <c r="G83" s="428" t="s">
        <v>1715</v>
      </c>
      <c r="H83" s="332"/>
      <c r="I83" s="332"/>
      <c r="J83" s="332"/>
      <c r="K83" s="332"/>
      <c r="L83" s="332"/>
      <c r="M83" s="779"/>
      <c r="N83" s="2043"/>
      <c r="O83" s="2043"/>
      <c r="P83" s="2051"/>
      <c r="Q83" s="2029"/>
      <c r="R83" s="2008"/>
      <c r="S83" s="2008"/>
      <c r="T83" s="2008"/>
      <c r="U83" s="2008"/>
      <c r="V83" s="2008"/>
      <c r="W83" s="2008"/>
      <c r="X83" s="2008"/>
      <c r="Y83" s="2008"/>
      <c r="Z83" s="2008"/>
      <c r="AA83" s="2008"/>
      <c r="AB83" s="2008"/>
      <c r="AC83" s="2008"/>
    </row>
    <row r="84" spans="1:29" ht="15.75" thickBot="1">
      <c r="A84" s="254"/>
      <c r="B84" s="339"/>
      <c r="C84" s="337">
        <v>100</v>
      </c>
      <c r="D84" s="337">
        <f>C84-$K21</f>
        <v>97</v>
      </c>
      <c r="E84" s="337">
        <f>D84-$K21</f>
        <v>94</v>
      </c>
      <c r="F84" s="337">
        <f>E84-$K21</f>
        <v>91</v>
      </c>
      <c r="G84" s="337">
        <f>F84-$K21</f>
        <v>88</v>
      </c>
      <c r="H84" s="428"/>
      <c r="I84" s="428"/>
      <c r="J84" s="428"/>
      <c r="K84" s="428"/>
      <c r="L84" s="428"/>
      <c r="M84" s="268"/>
      <c r="N84" s="2043"/>
      <c r="O84" s="2043"/>
      <c r="P84" s="2051"/>
      <c r="Q84" s="2029"/>
      <c r="R84" s="2008"/>
      <c r="S84" s="2008"/>
      <c r="T84" s="2008"/>
      <c r="U84" s="2008"/>
      <c r="V84" s="2008"/>
      <c r="W84" s="2008"/>
      <c r="X84" s="2008"/>
      <c r="Y84" s="2008"/>
      <c r="Z84" s="2008"/>
      <c r="AA84" s="2008"/>
      <c r="AB84" s="2008"/>
      <c r="AC84" s="2008"/>
    </row>
    <row r="85" spans="1:29" ht="15.75" thickTop="1">
      <c r="A85" s="254"/>
      <c r="B85" s="331" t="s">
        <v>1734</v>
      </c>
      <c r="C85" s="368" t="s">
        <v>1633</v>
      </c>
      <c r="D85" s="368" t="s">
        <v>1634</v>
      </c>
      <c r="E85" s="368" t="s">
        <v>1635</v>
      </c>
      <c r="F85" s="368" t="s">
        <v>1636</v>
      </c>
      <c r="G85" s="368" t="s">
        <v>1637</v>
      </c>
      <c r="H85" s="332"/>
      <c r="I85" s="332"/>
      <c r="J85" s="332"/>
      <c r="K85" s="333"/>
      <c r="L85" s="334"/>
      <c r="M85" s="335"/>
      <c r="N85" s="2042"/>
      <c r="O85" s="2042"/>
      <c r="P85" s="2051"/>
      <c r="Q85" s="2029"/>
      <c r="R85" s="2008"/>
      <c r="S85" s="2008"/>
      <c r="T85" s="2008"/>
      <c r="U85" s="2008"/>
      <c r="V85" s="2008"/>
      <c r="W85" s="2008"/>
      <c r="X85" s="2008"/>
      <c r="Y85" s="2008"/>
      <c r="Z85" s="2008"/>
      <c r="AA85" s="2008"/>
      <c r="AB85" s="2008"/>
      <c r="AC85" s="2008"/>
    </row>
    <row r="86" spans="1:29" ht="15.75" thickBot="1">
      <c r="A86" s="254"/>
      <c r="B86" s="336"/>
      <c r="C86" s="337">
        <v>100</v>
      </c>
      <c r="D86" s="337">
        <f>C86-$K23</f>
        <v>97</v>
      </c>
      <c r="E86" s="337">
        <f>D86-$K23</f>
        <v>94</v>
      </c>
      <c r="F86" s="337">
        <f>E86-$K23</f>
        <v>91</v>
      </c>
      <c r="G86" s="337">
        <f>F86-$K23</f>
        <v>88</v>
      </c>
      <c r="H86" s="337"/>
      <c r="I86" s="337"/>
      <c r="J86" s="337"/>
      <c r="K86" s="337"/>
      <c r="L86" s="337"/>
      <c r="M86" s="338"/>
      <c r="N86" s="2043"/>
      <c r="O86" s="2043"/>
      <c r="P86" s="2051"/>
      <c r="Q86" s="2029"/>
      <c r="R86" s="2008"/>
      <c r="S86" s="2008"/>
      <c r="T86" s="2008"/>
      <c r="U86" s="2008"/>
      <c r="V86" s="2008"/>
      <c r="W86" s="2008"/>
      <c r="X86" s="2008"/>
      <c r="Y86" s="2008"/>
      <c r="Z86" s="2008"/>
      <c r="AA86" s="2008"/>
      <c r="AB86" s="2008"/>
      <c r="AC86" s="2008"/>
    </row>
    <row r="87" spans="1:29" s="46" customFormat="1" ht="27.75" thickTop="1">
      <c r="A87" s="257"/>
      <c r="B87" s="331" t="s">
        <v>1735</v>
      </c>
      <c r="C87" s="347"/>
      <c r="D87" s="347"/>
      <c r="E87" s="347"/>
      <c r="F87" s="347"/>
      <c r="G87" s="347"/>
      <c r="H87" s="347"/>
      <c r="I87" s="347"/>
      <c r="J87" s="347"/>
      <c r="K87" s="347"/>
      <c r="L87" s="369"/>
      <c r="M87" s="370"/>
      <c r="N87" s="2041"/>
      <c r="O87" s="2041"/>
      <c r="P87" s="2051"/>
      <c r="Q87" s="2029"/>
      <c r="R87" s="1962"/>
      <c r="S87" s="1962"/>
      <c r="T87" s="1962"/>
      <c r="U87" s="1962"/>
      <c r="V87" s="1962"/>
      <c r="W87" s="1962"/>
      <c r="X87" s="1962"/>
      <c r="Y87" s="1962"/>
      <c r="Z87" s="1962"/>
      <c r="AA87" s="1962"/>
      <c r="AB87" s="1962"/>
      <c r="AC87" s="1962"/>
    </row>
    <row r="88" spans="1:29" s="46" customFormat="1" ht="15.75" thickBot="1">
      <c r="A88" s="257"/>
      <c r="B88" s="336"/>
      <c r="C88" s="371">
        <v>100</v>
      </c>
      <c r="D88" s="337">
        <f t="shared" ref="D88:M88" si="41">C88-$K25</f>
        <v>100</v>
      </c>
      <c r="E88" s="337">
        <f t="shared" si="41"/>
        <v>100</v>
      </c>
      <c r="F88" s="337">
        <f t="shared" si="41"/>
        <v>100</v>
      </c>
      <c r="G88" s="337">
        <f t="shared" si="41"/>
        <v>100</v>
      </c>
      <c r="H88" s="337">
        <f t="shared" si="41"/>
        <v>100</v>
      </c>
      <c r="I88" s="337">
        <f t="shared" si="41"/>
        <v>100</v>
      </c>
      <c r="J88" s="337">
        <f t="shared" si="41"/>
        <v>100</v>
      </c>
      <c r="K88" s="337">
        <f t="shared" si="41"/>
        <v>100</v>
      </c>
      <c r="L88" s="337">
        <f t="shared" si="41"/>
        <v>100</v>
      </c>
      <c r="M88" s="337">
        <f t="shared" si="41"/>
        <v>100</v>
      </c>
      <c r="N88" s="2043"/>
      <c r="O88" s="2043"/>
      <c r="P88" s="2051"/>
      <c r="Q88" s="2029"/>
      <c r="R88" s="1962"/>
      <c r="S88" s="1962"/>
      <c r="T88" s="1962"/>
      <c r="U88" s="1962"/>
      <c r="V88" s="1962"/>
      <c r="W88" s="1962"/>
      <c r="X88" s="1962"/>
      <c r="Y88" s="1962"/>
      <c r="Z88" s="1962"/>
      <c r="AA88" s="1962"/>
      <c r="AB88" s="1962"/>
      <c r="AC88" s="1962"/>
    </row>
    <row r="89" spans="1:29" s="46" customFormat="1" ht="15.75" thickTop="1">
      <c r="A89" s="257"/>
      <c r="B89" s="331" t="str">
        <f>B27</f>
        <v>楼层</v>
      </c>
      <c r="C89" s="347"/>
      <c r="D89" s="347"/>
      <c r="E89" s="347"/>
      <c r="F89" s="1410"/>
      <c r="G89" s="347"/>
      <c r="H89" s="347"/>
      <c r="I89" s="347"/>
      <c r="J89" s="347"/>
      <c r="K89" s="347"/>
      <c r="L89" s="347"/>
      <c r="M89" s="370"/>
      <c r="N89" s="2041"/>
      <c r="O89" s="2041"/>
      <c r="P89" s="2051"/>
      <c r="Q89" s="2029"/>
      <c r="R89" s="1962"/>
      <c r="S89" s="1962"/>
      <c r="T89" s="1962"/>
      <c r="U89" s="1962"/>
      <c r="V89" s="1962"/>
      <c r="W89" s="1962"/>
      <c r="X89" s="1962"/>
      <c r="Y89" s="1962"/>
      <c r="Z89" s="1962"/>
      <c r="AA89" s="1962"/>
      <c r="AB89" s="1962"/>
      <c r="AC89" s="1962"/>
    </row>
    <row r="90" spans="1:29" s="46" customFormat="1" ht="15.75" thickBot="1">
      <c r="A90" s="257"/>
      <c r="B90" s="336"/>
      <c r="C90" s="371">
        <v>100</v>
      </c>
      <c r="D90" s="337">
        <f>C90-$K27</f>
        <v>100</v>
      </c>
      <c r="E90" s="337">
        <f t="shared" ref="E90:M90" si="42">D90-$K27</f>
        <v>100</v>
      </c>
      <c r="F90" s="337">
        <f t="shared" si="42"/>
        <v>100</v>
      </c>
      <c r="G90" s="337">
        <f t="shared" si="42"/>
        <v>100</v>
      </c>
      <c r="H90" s="337">
        <f t="shared" si="42"/>
        <v>100</v>
      </c>
      <c r="I90" s="337">
        <f t="shared" si="42"/>
        <v>100</v>
      </c>
      <c r="J90" s="337">
        <f t="shared" si="42"/>
        <v>100</v>
      </c>
      <c r="K90" s="337">
        <f t="shared" si="42"/>
        <v>100</v>
      </c>
      <c r="L90" s="337">
        <f t="shared" si="42"/>
        <v>100</v>
      </c>
      <c r="M90" s="337">
        <f t="shared" si="42"/>
        <v>100</v>
      </c>
      <c r="N90" s="2043"/>
      <c r="O90" s="2043"/>
      <c r="P90" s="2051"/>
      <c r="Q90" s="2029"/>
      <c r="R90" s="1962"/>
      <c r="S90" s="1962"/>
      <c r="T90" s="1962"/>
      <c r="U90" s="1962"/>
      <c r="V90" s="1962"/>
      <c r="W90" s="1962"/>
      <c r="X90" s="1962"/>
      <c r="Y90" s="1962"/>
      <c r="Z90" s="1962"/>
      <c r="AA90" s="1962"/>
      <c r="AB90" s="1962"/>
      <c r="AC90" s="1962"/>
    </row>
    <row r="91" spans="1:29" s="279" customFormat="1" ht="15.75" thickTop="1">
      <c r="A91" s="346"/>
      <c r="B91" s="331" t="str">
        <f>B28</f>
        <v>朝向</v>
      </c>
      <c r="C91" s="347"/>
      <c r="D91" s="347"/>
      <c r="E91" s="347"/>
      <c r="F91" s="347"/>
      <c r="G91" s="347"/>
      <c r="H91" s="348"/>
      <c r="I91" s="348"/>
      <c r="J91" s="348"/>
      <c r="K91" s="348"/>
      <c r="L91" s="349"/>
      <c r="M91" s="350"/>
      <c r="N91" s="2044"/>
      <c r="O91" s="2044"/>
      <c r="P91" s="2052"/>
      <c r="Q91" s="2036"/>
      <c r="R91" s="2014"/>
      <c r="S91" s="2014"/>
      <c r="T91" s="2014"/>
      <c r="U91" s="2014"/>
      <c r="V91" s="2014"/>
      <c r="W91" s="2014"/>
      <c r="X91" s="2014"/>
      <c r="Y91" s="2014"/>
      <c r="Z91" s="2014"/>
      <c r="AA91" s="2014"/>
      <c r="AB91" s="2014"/>
      <c r="AC91" s="2014"/>
    </row>
    <row r="92" spans="1:29" s="279" customFormat="1" ht="15.75" thickBot="1">
      <c r="A92" s="346"/>
      <c r="B92" s="336"/>
      <c r="C92" s="371">
        <v>100</v>
      </c>
      <c r="D92" s="337">
        <f t="shared" ref="D92:M92" si="43">C92-$K28</f>
        <v>100</v>
      </c>
      <c r="E92" s="337">
        <f t="shared" si="43"/>
        <v>100</v>
      </c>
      <c r="F92" s="337">
        <f t="shared" si="43"/>
        <v>100</v>
      </c>
      <c r="G92" s="337">
        <f t="shared" si="43"/>
        <v>100</v>
      </c>
      <c r="H92" s="337">
        <f t="shared" si="43"/>
        <v>100</v>
      </c>
      <c r="I92" s="337">
        <f t="shared" si="43"/>
        <v>100</v>
      </c>
      <c r="J92" s="337">
        <f t="shared" si="43"/>
        <v>100</v>
      </c>
      <c r="K92" s="337">
        <f t="shared" si="43"/>
        <v>100</v>
      </c>
      <c r="L92" s="337">
        <f t="shared" si="43"/>
        <v>100</v>
      </c>
      <c r="M92" s="337">
        <f t="shared" si="43"/>
        <v>100</v>
      </c>
      <c r="N92" s="2044"/>
      <c r="O92" s="2044"/>
      <c r="P92" s="2052"/>
      <c r="Q92" s="2036"/>
      <c r="R92" s="2014"/>
      <c r="S92" s="2014"/>
      <c r="T92" s="2014"/>
      <c r="U92" s="2014"/>
      <c r="V92" s="2014"/>
      <c r="W92" s="2014"/>
      <c r="X92" s="2014"/>
      <c r="Y92" s="2014"/>
      <c r="Z92" s="2014"/>
      <c r="AA92" s="2014"/>
      <c r="AB92" s="2014"/>
      <c r="AC92" s="2014"/>
    </row>
    <row r="93" spans="1:29" ht="15.75" thickTop="1">
      <c r="A93" s="254"/>
      <c r="B93" s="331">
        <f>B29</f>
        <v>111</v>
      </c>
      <c r="C93" s="347"/>
      <c r="D93" s="347"/>
      <c r="E93" s="347"/>
      <c r="F93" s="347"/>
      <c r="G93" s="347"/>
      <c r="H93" s="347"/>
      <c r="I93" s="347"/>
      <c r="J93" s="347"/>
      <c r="K93" s="347"/>
      <c r="L93" s="369"/>
      <c r="M93" s="370"/>
      <c r="N93" s="2042"/>
      <c r="O93" s="2042"/>
      <c r="P93" s="2051"/>
      <c r="Q93" s="2029"/>
      <c r="R93" s="2008"/>
      <c r="S93" s="2008"/>
      <c r="T93" s="2008"/>
      <c r="U93" s="2008"/>
      <c r="V93" s="2008"/>
      <c r="W93" s="2008"/>
      <c r="X93" s="2008"/>
      <c r="Y93" s="2008"/>
      <c r="Z93" s="2008"/>
      <c r="AA93" s="2008"/>
      <c r="AB93" s="2008"/>
      <c r="AC93" s="2008"/>
    </row>
    <row r="94" spans="1:29" ht="15.75" thickBot="1">
      <c r="A94" s="254"/>
      <c r="B94" s="336"/>
      <c r="C94" s="352"/>
      <c r="D94" s="329"/>
      <c r="E94" s="329"/>
      <c r="F94" s="329"/>
      <c r="G94" s="329"/>
      <c r="H94" s="329"/>
      <c r="I94" s="329"/>
      <c r="J94" s="329"/>
      <c r="K94" s="329"/>
      <c r="L94" s="329"/>
      <c r="M94" s="330"/>
      <c r="N94" s="2043"/>
      <c r="O94" s="2043"/>
      <c r="P94" s="2051"/>
      <c r="Q94" s="2029"/>
      <c r="R94" s="2008"/>
      <c r="S94" s="2008"/>
      <c r="T94" s="2008"/>
      <c r="U94" s="2008"/>
      <c r="V94" s="2008"/>
      <c r="W94" s="2008"/>
      <c r="X94" s="2008"/>
      <c r="Y94" s="2008"/>
      <c r="Z94" s="2008"/>
      <c r="AA94" s="2008"/>
      <c r="AB94" s="2008"/>
      <c r="AC94" s="2008"/>
    </row>
    <row r="95" spans="1:29" ht="15.75" thickTop="1">
      <c r="A95" s="254"/>
      <c r="B95" s="331">
        <f>B30</f>
        <v>111</v>
      </c>
      <c r="C95" s="347"/>
      <c r="D95" s="347"/>
      <c r="E95" s="347"/>
      <c r="F95" s="347"/>
      <c r="G95" s="372"/>
      <c r="H95" s="372"/>
      <c r="I95" s="372"/>
      <c r="J95" s="372"/>
      <c r="K95" s="373"/>
      <c r="L95" s="374"/>
      <c r="M95" s="375"/>
      <c r="N95" s="2042"/>
      <c r="O95" s="2042"/>
      <c r="P95" s="2051"/>
      <c r="Q95" s="2029"/>
      <c r="R95" s="2008"/>
      <c r="S95" s="2008"/>
      <c r="T95" s="2008"/>
      <c r="U95" s="2008"/>
      <c r="V95" s="2008"/>
      <c r="W95" s="2008"/>
      <c r="X95" s="2008"/>
      <c r="Y95" s="2008"/>
      <c r="Z95" s="2008"/>
      <c r="AA95" s="2008"/>
      <c r="AB95" s="2008"/>
      <c r="AC95" s="2008"/>
    </row>
    <row r="96" spans="1:29" ht="15.75" thickBot="1">
      <c r="A96" s="254"/>
      <c r="B96" s="336"/>
      <c r="C96" s="352"/>
      <c r="D96" s="352"/>
      <c r="E96" s="352"/>
      <c r="F96" s="352"/>
      <c r="G96" s="329"/>
      <c r="H96" s="329"/>
      <c r="I96" s="329"/>
      <c r="J96" s="329"/>
      <c r="K96" s="329"/>
      <c r="L96" s="329"/>
      <c r="M96" s="330"/>
      <c r="N96" s="2043"/>
      <c r="O96" s="2043"/>
      <c r="P96" s="2051"/>
      <c r="Q96" s="2029"/>
      <c r="R96" s="2008"/>
      <c r="S96" s="2008"/>
      <c r="T96" s="2008"/>
      <c r="U96" s="2008"/>
      <c r="V96" s="2008"/>
      <c r="W96" s="2008"/>
      <c r="X96" s="2008"/>
      <c r="Y96" s="2008"/>
      <c r="Z96" s="2008"/>
      <c r="AA96" s="2008"/>
      <c r="AB96" s="2008"/>
      <c r="AC96" s="2008"/>
    </row>
    <row r="97" spans="1:29" ht="15.75" thickTop="1">
      <c r="A97" s="254"/>
      <c r="B97" s="331">
        <f>B31</f>
        <v>111</v>
      </c>
      <c r="C97" s="347"/>
      <c r="D97" s="347"/>
      <c r="E97" s="347"/>
      <c r="F97" s="347"/>
      <c r="G97" s="372"/>
      <c r="H97" s="372"/>
      <c r="I97" s="372"/>
      <c r="J97" s="372"/>
      <c r="K97" s="373"/>
      <c r="L97" s="374"/>
      <c r="M97" s="375"/>
      <c r="N97" s="2042"/>
      <c r="O97" s="2042"/>
      <c r="P97" s="2051"/>
      <c r="Q97" s="2029"/>
      <c r="R97" s="2008"/>
      <c r="S97" s="2008"/>
      <c r="T97" s="2008"/>
      <c r="U97" s="2008"/>
      <c r="V97" s="2008"/>
      <c r="W97" s="2008"/>
      <c r="X97" s="2008"/>
      <c r="Y97" s="2008"/>
      <c r="Z97" s="2008"/>
      <c r="AA97" s="2008"/>
      <c r="AB97" s="2008"/>
      <c r="AC97" s="2008"/>
    </row>
    <row r="98" spans="1:29" ht="15.75" thickBot="1">
      <c r="A98" s="254"/>
      <c r="B98" s="336"/>
      <c r="C98" s="352"/>
      <c r="D98" s="329"/>
      <c r="E98" s="329"/>
      <c r="F98" s="329"/>
      <c r="G98" s="329"/>
      <c r="H98" s="329"/>
      <c r="I98" s="329"/>
      <c r="J98" s="329"/>
      <c r="K98" s="329"/>
      <c r="L98" s="329"/>
      <c r="M98" s="330"/>
      <c r="N98" s="2043"/>
      <c r="O98" s="2043"/>
      <c r="P98" s="2051"/>
      <c r="Q98" s="2029"/>
      <c r="R98" s="2008"/>
      <c r="S98" s="2008"/>
      <c r="T98" s="2008"/>
      <c r="U98" s="2008"/>
      <c r="V98" s="2008"/>
      <c r="W98" s="2008"/>
      <c r="X98" s="2008"/>
      <c r="Y98" s="2008"/>
      <c r="Z98" s="2008"/>
      <c r="AA98" s="2008"/>
      <c r="AB98" s="2008"/>
      <c r="AC98" s="2008"/>
    </row>
    <row r="99" spans="1:29" ht="15.75" thickTop="1">
      <c r="A99" s="254"/>
      <c r="B99" s="339">
        <f>B32</f>
        <v>111</v>
      </c>
      <c r="C99" s="20"/>
      <c r="D99" s="20"/>
      <c r="E99" s="20"/>
      <c r="F99" s="20"/>
      <c r="G99" s="376"/>
      <c r="H99" s="376"/>
      <c r="I99" s="376"/>
      <c r="J99" s="376"/>
      <c r="K99" s="377"/>
      <c r="L99" s="378"/>
      <c r="M99" s="379"/>
      <c r="N99" s="2042"/>
      <c r="O99" s="2042"/>
      <c r="P99" s="2051"/>
      <c r="Q99" s="2029"/>
      <c r="R99" s="2008"/>
      <c r="S99" s="2008"/>
      <c r="T99" s="2008"/>
      <c r="U99" s="2008"/>
      <c r="V99" s="2008"/>
      <c r="W99" s="2008"/>
      <c r="X99" s="2008"/>
      <c r="Y99" s="2008"/>
      <c r="Z99" s="2008"/>
      <c r="AA99" s="2008"/>
      <c r="AB99" s="2008"/>
      <c r="AC99" s="2008"/>
    </row>
    <row r="100" spans="1:29" ht="15.75" thickBot="1">
      <c r="A100" s="260"/>
      <c r="B100" s="360"/>
      <c r="C100" s="361"/>
      <c r="D100" s="361"/>
      <c r="E100" s="361"/>
      <c r="F100" s="361"/>
      <c r="G100" s="380"/>
      <c r="H100" s="380"/>
      <c r="I100" s="380"/>
      <c r="J100" s="380"/>
      <c r="K100" s="380"/>
      <c r="L100" s="380"/>
      <c r="M100" s="381"/>
      <c r="N100" s="2043"/>
      <c r="O100" s="2043"/>
      <c r="P100" s="2051"/>
      <c r="Q100" s="2029"/>
      <c r="R100" s="2008"/>
      <c r="S100" s="2008"/>
      <c r="T100" s="2008"/>
      <c r="U100" s="2008"/>
      <c r="V100" s="2008"/>
      <c r="W100" s="2008"/>
      <c r="X100" s="2008"/>
      <c r="Y100" s="2008"/>
      <c r="Z100" s="2008"/>
      <c r="AA100" s="2008"/>
      <c r="AB100" s="2008"/>
      <c r="AC100" s="2008"/>
    </row>
    <row r="101" spans="1:29">
      <c r="A101" s="262" t="s">
        <v>1606</v>
      </c>
      <c r="B101" s="322" t="s">
        <v>1648</v>
      </c>
      <c r="C101" s="324"/>
      <c r="D101" s="324"/>
      <c r="E101" s="324"/>
      <c r="F101" s="324"/>
      <c r="G101" s="324"/>
      <c r="H101" s="324"/>
      <c r="I101" s="324"/>
      <c r="J101" s="324"/>
      <c r="K101" s="325"/>
      <c r="L101" s="326"/>
      <c r="M101" s="327"/>
      <c r="N101" s="2042"/>
      <c r="O101" s="2042"/>
      <c r="P101" s="2051"/>
      <c r="Q101" s="2029"/>
      <c r="R101" s="2008"/>
      <c r="S101" s="2008"/>
      <c r="T101" s="2008"/>
      <c r="U101" s="2008"/>
      <c r="V101" s="2008"/>
      <c r="W101" s="2008"/>
      <c r="X101" s="2008"/>
      <c r="Y101" s="2008"/>
      <c r="Z101" s="2008"/>
      <c r="AA101" s="2008"/>
      <c r="AB101" s="2008"/>
      <c r="AC101" s="2008"/>
    </row>
    <row r="102" spans="1:29" ht="15.75" thickBot="1">
      <c r="A102" s="254"/>
      <c r="B102" s="336"/>
      <c r="C102" s="337">
        <v>100</v>
      </c>
      <c r="D102" s="337">
        <f t="shared" ref="D102:M102" si="44">C102-$K33</f>
        <v>95</v>
      </c>
      <c r="E102" s="337">
        <f t="shared" si="44"/>
        <v>90</v>
      </c>
      <c r="F102" s="337">
        <f t="shared" si="44"/>
        <v>85</v>
      </c>
      <c r="G102" s="337">
        <f t="shared" si="44"/>
        <v>80</v>
      </c>
      <c r="H102" s="337">
        <f t="shared" si="44"/>
        <v>75</v>
      </c>
      <c r="I102" s="337">
        <f t="shared" si="44"/>
        <v>70</v>
      </c>
      <c r="J102" s="337">
        <f t="shared" si="44"/>
        <v>65</v>
      </c>
      <c r="K102" s="337">
        <f t="shared" si="44"/>
        <v>60</v>
      </c>
      <c r="L102" s="337">
        <f t="shared" si="44"/>
        <v>55</v>
      </c>
      <c r="M102" s="338">
        <f t="shared" si="44"/>
        <v>50</v>
      </c>
      <c r="N102" s="2043"/>
      <c r="O102" s="2043"/>
      <c r="P102" s="2051"/>
      <c r="Q102" s="2029"/>
      <c r="R102" s="2008"/>
      <c r="S102" s="2008"/>
      <c r="T102" s="2008"/>
      <c r="U102" s="2008"/>
      <c r="V102" s="2008"/>
      <c r="W102" s="2008"/>
      <c r="X102" s="2008"/>
      <c r="Y102" s="2008"/>
      <c r="Z102" s="2008"/>
      <c r="AA102" s="2008"/>
      <c r="AB102" s="2008"/>
      <c r="AC102" s="2008"/>
    </row>
    <row r="103" spans="1:29" ht="29.25" thickTop="1">
      <c r="A103" s="254"/>
      <c r="B103" s="331" t="s">
        <v>1649</v>
      </c>
      <c r="C103" s="368" t="str">
        <f>C104&amp;"(含)"&amp;"-"&amp;D104</f>
        <v>0(含)-10000</v>
      </c>
      <c r="D103" s="368" t="str">
        <f t="shared" ref="D103:L103" si="45">D104&amp;"(含)"&amp;"-"&amp;E104</f>
        <v>10000(含)-20000</v>
      </c>
      <c r="E103" s="368" t="str">
        <f t="shared" si="45"/>
        <v>20000(含)-40000</v>
      </c>
      <c r="F103" s="368" t="str">
        <f t="shared" si="45"/>
        <v>40000(含)-60000</v>
      </c>
      <c r="G103" s="368" t="str">
        <f t="shared" si="45"/>
        <v>60000(含)-</v>
      </c>
      <c r="H103" s="368" t="str">
        <f t="shared" si="45"/>
        <v>(含)-</v>
      </c>
      <c r="I103" s="368" t="str">
        <f t="shared" si="45"/>
        <v>(含)-</v>
      </c>
      <c r="J103" s="368" t="str">
        <f t="shared" si="45"/>
        <v>(含)-</v>
      </c>
      <c r="K103" s="368" t="str">
        <f t="shared" si="45"/>
        <v>(含)-</v>
      </c>
      <c r="L103" s="368" t="str">
        <f t="shared" si="45"/>
        <v>(含)-</v>
      </c>
      <c r="M103" s="400" t="str">
        <f>M104&amp;"(含)"&amp;"-"&amp;P104</f>
        <v>(含)-</v>
      </c>
      <c r="N103" s="2041"/>
      <c r="O103" s="2041"/>
      <c r="P103" s="2051"/>
      <c r="Q103" s="2029"/>
      <c r="R103" s="2008"/>
      <c r="S103" s="2008"/>
      <c r="T103" s="2008"/>
      <c r="U103" s="2008"/>
      <c r="V103" s="2008"/>
      <c r="W103" s="2008"/>
      <c r="X103" s="2008"/>
      <c r="Y103" s="2008"/>
      <c r="Z103" s="2008"/>
      <c r="AA103" s="2008"/>
      <c r="AB103" s="2008"/>
      <c r="AC103" s="2008"/>
    </row>
    <row r="104" spans="1:29" s="279" customFormat="1">
      <c r="A104" s="277"/>
      <c r="B104" s="382"/>
      <c r="C104" s="5">
        <v>0</v>
      </c>
      <c r="D104" s="5">
        <v>10000</v>
      </c>
      <c r="E104" s="5">
        <v>20000</v>
      </c>
      <c r="F104" s="5">
        <v>40000</v>
      </c>
      <c r="G104" s="5">
        <v>60000</v>
      </c>
      <c r="H104" s="5"/>
      <c r="I104" s="5"/>
      <c r="J104" s="383"/>
      <c r="K104" s="383"/>
      <c r="L104" s="384"/>
      <c r="M104" s="385"/>
      <c r="N104" s="2044"/>
      <c r="O104" s="2044"/>
      <c r="P104" s="2052"/>
      <c r="Q104" s="2036"/>
      <c r="R104" s="2014"/>
      <c r="S104" s="2014"/>
      <c r="T104" s="2014"/>
      <c r="U104" s="2014"/>
      <c r="V104" s="2014"/>
      <c r="W104" s="2014"/>
      <c r="X104" s="2014"/>
      <c r="Y104" s="2014"/>
      <c r="Z104" s="2014"/>
      <c r="AA104" s="2014"/>
      <c r="AB104" s="2014"/>
      <c r="AC104" s="2014"/>
    </row>
    <row r="105" spans="1:29" s="279" customFormat="1" ht="15.75" thickBot="1">
      <c r="A105" s="346"/>
      <c r="B105" s="336"/>
      <c r="C105" s="352">
        <v>100</v>
      </c>
      <c r="D105" s="329">
        <v>99</v>
      </c>
      <c r="E105" s="329">
        <v>98</v>
      </c>
      <c r="F105" s="329">
        <v>97</v>
      </c>
      <c r="G105" s="329">
        <v>96</v>
      </c>
      <c r="H105" s="329"/>
      <c r="I105" s="329"/>
      <c r="J105" s="329"/>
      <c r="K105" s="329"/>
      <c r="L105" s="329"/>
      <c r="M105" s="330"/>
      <c r="N105" s="2043"/>
      <c r="O105" s="2043"/>
      <c r="P105" s="2052"/>
      <c r="Q105" s="2036"/>
      <c r="R105" s="2014"/>
      <c r="S105" s="2014"/>
      <c r="T105" s="2014"/>
      <c r="U105" s="2014"/>
      <c r="V105" s="2014"/>
      <c r="W105" s="2014"/>
      <c r="X105" s="2014"/>
      <c r="Y105" s="2014"/>
      <c r="Z105" s="2014"/>
      <c r="AA105" s="2014"/>
      <c r="AB105" s="2014"/>
      <c r="AC105" s="2014"/>
    </row>
    <row r="106" spans="1:29" ht="15" thickTop="1">
      <c r="A106" s="280"/>
      <c r="B106" s="331" t="s">
        <v>1650</v>
      </c>
      <c r="C106" s="347"/>
      <c r="D106" s="347"/>
      <c r="E106" s="372"/>
      <c r="F106" s="372"/>
      <c r="G106" s="372"/>
      <c r="H106" s="372"/>
      <c r="I106" s="372"/>
      <c r="J106" s="372"/>
      <c r="K106" s="373"/>
      <c r="L106" s="374"/>
      <c r="M106" s="375"/>
      <c r="N106" s="2042"/>
      <c r="O106" s="2042"/>
      <c r="P106" s="2051"/>
      <c r="Q106" s="2029"/>
      <c r="R106" s="2008"/>
      <c r="S106" s="2008"/>
      <c r="T106" s="2008"/>
      <c r="U106" s="2008"/>
      <c r="V106" s="2008"/>
      <c r="W106" s="2008"/>
      <c r="X106" s="2008"/>
      <c r="Y106" s="2008"/>
      <c r="Z106" s="2008"/>
      <c r="AA106" s="2008"/>
      <c r="AB106" s="2008"/>
      <c r="AC106" s="2008"/>
    </row>
    <row r="107" spans="1:29" ht="15.75" thickBot="1">
      <c r="A107" s="254"/>
      <c r="B107" s="336"/>
      <c r="C107" s="337">
        <v>100</v>
      </c>
      <c r="D107" s="337">
        <f t="shared" ref="D107:M107" si="46">C107-$K35</f>
        <v>98</v>
      </c>
      <c r="E107" s="337">
        <f t="shared" si="46"/>
        <v>96</v>
      </c>
      <c r="F107" s="337">
        <f t="shared" si="46"/>
        <v>94</v>
      </c>
      <c r="G107" s="337">
        <f t="shared" si="46"/>
        <v>92</v>
      </c>
      <c r="H107" s="337">
        <f t="shared" si="46"/>
        <v>90</v>
      </c>
      <c r="I107" s="337">
        <f t="shared" si="46"/>
        <v>88</v>
      </c>
      <c r="J107" s="337">
        <f t="shared" si="46"/>
        <v>86</v>
      </c>
      <c r="K107" s="337">
        <f t="shared" si="46"/>
        <v>84</v>
      </c>
      <c r="L107" s="337">
        <f t="shared" si="46"/>
        <v>82</v>
      </c>
      <c r="M107" s="338">
        <f t="shared" si="46"/>
        <v>80</v>
      </c>
      <c r="N107" s="2043"/>
      <c r="O107" s="2043"/>
      <c r="P107" s="2051"/>
      <c r="Q107" s="2029"/>
      <c r="R107" s="2008"/>
      <c r="S107" s="2008"/>
      <c r="T107" s="2008"/>
      <c r="U107" s="2008"/>
      <c r="V107" s="2008"/>
      <c r="W107" s="2008"/>
      <c r="X107" s="2008"/>
      <c r="Y107" s="2008"/>
      <c r="Z107" s="2008"/>
      <c r="AA107" s="2008"/>
      <c r="AB107" s="2008"/>
      <c r="AC107" s="2008"/>
    </row>
    <row r="108" spans="1:29" ht="15" thickTop="1">
      <c r="A108" s="280"/>
      <c r="B108" s="331" t="s">
        <v>1652</v>
      </c>
      <c r="C108" s="347"/>
      <c r="D108" s="347"/>
      <c r="E108" s="347"/>
      <c r="F108" s="372"/>
      <c r="G108" s="372"/>
      <c r="H108" s="372"/>
      <c r="I108" s="372"/>
      <c r="J108" s="372"/>
      <c r="K108" s="373"/>
      <c r="L108" s="374"/>
      <c r="M108" s="375"/>
      <c r="N108" s="2042"/>
      <c r="O108" s="2042"/>
      <c r="P108" s="2051"/>
      <c r="Q108" s="2029"/>
      <c r="R108" s="2008"/>
      <c r="S108" s="2008"/>
      <c r="T108" s="2008"/>
      <c r="U108" s="2008"/>
      <c r="V108" s="2008"/>
      <c r="W108" s="2008"/>
      <c r="X108" s="2008"/>
      <c r="Y108" s="2008"/>
      <c r="Z108" s="2008"/>
      <c r="AA108" s="2008"/>
      <c r="AB108" s="2008"/>
      <c r="AC108" s="2008"/>
    </row>
    <row r="109" spans="1:29" ht="15.75" thickBot="1">
      <c r="A109" s="254"/>
      <c r="B109" s="336"/>
      <c r="C109" s="337">
        <v>100</v>
      </c>
      <c r="D109" s="337">
        <f t="shared" ref="D109:M109" si="47">C109-$K36</f>
        <v>98</v>
      </c>
      <c r="E109" s="337">
        <f t="shared" si="47"/>
        <v>96</v>
      </c>
      <c r="F109" s="337">
        <f t="shared" si="47"/>
        <v>94</v>
      </c>
      <c r="G109" s="337">
        <f t="shared" si="47"/>
        <v>92</v>
      </c>
      <c r="H109" s="337">
        <f t="shared" si="47"/>
        <v>90</v>
      </c>
      <c r="I109" s="337">
        <f t="shared" si="47"/>
        <v>88</v>
      </c>
      <c r="J109" s="337">
        <f t="shared" si="47"/>
        <v>86</v>
      </c>
      <c r="K109" s="337">
        <f t="shared" si="47"/>
        <v>84</v>
      </c>
      <c r="L109" s="337">
        <f t="shared" si="47"/>
        <v>82</v>
      </c>
      <c r="M109" s="338">
        <f t="shared" si="47"/>
        <v>80</v>
      </c>
      <c r="N109" s="2043"/>
      <c r="O109" s="2043"/>
      <c r="P109" s="2051"/>
      <c r="Q109" s="2029"/>
      <c r="R109" s="2008"/>
      <c r="S109" s="2008"/>
      <c r="T109" s="2008"/>
      <c r="U109" s="2008"/>
      <c r="V109" s="2008"/>
      <c r="W109" s="2008"/>
      <c r="X109" s="2008"/>
      <c r="Y109" s="2008"/>
      <c r="Z109" s="2008"/>
      <c r="AA109" s="2008"/>
      <c r="AB109" s="2008"/>
      <c r="AC109" s="2008"/>
    </row>
    <row r="110" spans="1:29" ht="26.25" customHeight="1" thickTop="1">
      <c r="A110" s="280"/>
      <c r="B110" s="331" t="s">
        <v>1174</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48">H111&amp;"(含)"&amp;"-"&amp;ROUND(I111,0)&amp;"(含)"</f>
        <v>0.75(含)-1(含)</v>
      </c>
      <c r="I110" s="368" t="str">
        <f t="shared" si="48"/>
        <v>0.85(含)-1(含)</v>
      </c>
      <c r="J110" s="368" t="str">
        <f t="shared" si="48"/>
        <v>0.85(含)-1(含)</v>
      </c>
      <c r="K110" s="368" t="str">
        <f t="shared" si="48"/>
        <v>0.9(含)-1(含)</v>
      </c>
      <c r="L110" s="368" t="str">
        <f t="shared" ref="L110" si="49">L111&amp;"(含)"&amp;"-"&amp;ROUND(M111,0)&amp;"(含)"</f>
        <v>0.95(含)-1(含)</v>
      </c>
      <c r="M110" s="368"/>
      <c r="N110" s="2042"/>
      <c r="O110" s="2042"/>
      <c r="P110" s="2051"/>
      <c r="Q110" s="2029"/>
      <c r="R110" s="2008"/>
      <c r="S110" s="2008"/>
      <c r="T110" s="2008"/>
      <c r="U110" s="2008"/>
      <c r="V110" s="2008"/>
      <c r="W110" s="2008"/>
      <c r="X110" s="2008"/>
      <c r="Y110" s="2008"/>
      <c r="Z110" s="2008"/>
      <c r="AA110" s="2008"/>
      <c r="AB110" s="2008"/>
      <c r="AC110" s="2008"/>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42"/>
      <c r="O111" s="2042"/>
      <c r="P111" s="2051"/>
      <c r="Q111" s="2029"/>
      <c r="R111" s="2008"/>
      <c r="S111" s="2008"/>
      <c r="T111" s="2008"/>
      <c r="U111" s="2008"/>
      <c r="V111" s="2008"/>
      <c r="W111" s="2008"/>
      <c r="X111" s="2008"/>
      <c r="Y111" s="2008"/>
      <c r="Z111" s="2008"/>
      <c r="AA111" s="2008"/>
      <c r="AB111" s="2008"/>
      <c r="AC111" s="2008"/>
    </row>
    <row r="112" spans="1:29" ht="15.75" thickBot="1">
      <c r="A112" s="254"/>
      <c r="B112" s="336"/>
      <c r="C112" s="371">
        <v>100</v>
      </c>
      <c r="D112" s="337">
        <f>C112+$K37</f>
        <v>102</v>
      </c>
      <c r="E112" s="337">
        <f t="shared" ref="E112:M112" si="50">D112+$K37</f>
        <v>104</v>
      </c>
      <c r="F112" s="337">
        <f t="shared" si="50"/>
        <v>106</v>
      </c>
      <c r="G112" s="337">
        <f t="shared" si="50"/>
        <v>108</v>
      </c>
      <c r="H112" s="337">
        <f t="shared" si="50"/>
        <v>110</v>
      </c>
      <c r="I112" s="337">
        <f t="shared" si="50"/>
        <v>112</v>
      </c>
      <c r="J112" s="337">
        <f t="shared" si="50"/>
        <v>114</v>
      </c>
      <c r="K112" s="337">
        <f t="shared" si="50"/>
        <v>116</v>
      </c>
      <c r="L112" s="337">
        <f t="shared" si="50"/>
        <v>118</v>
      </c>
      <c r="M112" s="337">
        <f t="shared" si="50"/>
        <v>120</v>
      </c>
      <c r="N112" s="2043"/>
      <c r="O112" s="2043"/>
      <c r="P112" s="2051"/>
      <c r="Q112" s="2029"/>
      <c r="R112" s="2008"/>
      <c r="S112" s="2008"/>
      <c r="T112" s="2008"/>
      <c r="U112" s="2008"/>
      <c r="V112" s="2008"/>
      <c r="W112" s="2008"/>
      <c r="X112" s="2008"/>
      <c r="Y112" s="2008"/>
      <c r="Z112" s="2008"/>
      <c r="AA112" s="2008"/>
      <c r="AB112" s="2008"/>
      <c r="AC112" s="2008"/>
    </row>
    <row r="113" spans="1:29" s="279" customFormat="1" ht="15" thickTop="1">
      <c r="A113" s="277"/>
      <c r="B113" s="331" t="s">
        <v>1736</v>
      </c>
      <c r="C113" s="347"/>
      <c r="D113" s="347"/>
      <c r="E113" s="347"/>
      <c r="F113" s="347"/>
      <c r="G113" s="347"/>
      <c r="H113" s="372"/>
      <c r="I113" s="372"/>
      <c r="J113" s="372"/>
      <c r="K113" s="373"/>
      <c r="L113" s="374"/>
      <c r="M113" s="375"/>
      <c r="N113" s="2044"/>
      <c r="O113" s="2044"/>
      <c r="P113" s="2052"/>
      <c r="Q113" s="2036"/>
      <c r="R113" s="2014"/>
      <c r="S113" s="2014"/>
      <c r="T113" s="2014"/>
      <c r="U113" s="2014"/>
      <c r="V113" s="2014"/>
      <c r="W113" s="2014"/>
      <c r="X113" s="2014"/>
      <c r="Y113" s="2014"/>
      <c r="Z113" s="2014"/>
      <c r="AA113" s="2014"/>
      <c r="AB113" s="2014"/>
      <c r="AC113" s="2014"/>
    </row>
    <row r="114" spans="1:29" s="279" customFormat="1" ht="15.75" thickBot="1">
      <c r="A114" s="346"/>
      <c r="B114" s="336"/>
      <c r="C114" s="337">
        <v>100</v>
      </c>
      <c r="D114" s="337">
        <f>C114-$K38</f>
        <v>98</v>
      </c>
      <c r="E114" s="337">
        <f t="shared" ref="E114:M114" si="51">D114-$K38</f>
        <v>96</v>
      </c>
      <c r="F114" s="337">
        <f t="shared" si="51"/>
        <v>94</v>
      </c>
      <c r="G114" s="337">
        <f t="shared" si="51"/>
        <v>92</v>
      </c>
      <c r="H114" s="337">
        <f t="shared" si="51"/>
        <v>90</v>
      </c>
      <c r="I114" s="337">
        <f t="shared" si="51"/>
        <v>88</v>
      </c>
      <c r="J114" s="337">
        <f t="shared" si="51"/>
        <v>86</v>
      </c>
      <c r="K114" s="337">
        <f t="shared" si="51"/>
        <v>84</v>
      </c>
      <c r="L114" s="337">
        <f t="shared" si="51"/>
        <v>82</v>
      </c>
      <c r="M114" s="337">
        <f t="shared" si="51"/>
        <v>80</v>
      </c>
      <c r="N114" s="2044"/>
      <c r="O114" s="2044"/>
      <c r="P114" s="2052"/>
      <c r="Q114" s="2036"/>
      <c r="R114" s="2014"/>
      <c r="S114" s="2014"/>
      <c r="T114" s="2014"/>
      <c r="U114" s="2014"/>
      <c r="V114" s="2014"/>
      <c r="W114" s="2014"/>
      <c r="X114" s="2014"/>
      <c r="Y114" s="2014"/>
      <c r="Z114" s="2014"/>
      <c r="AA114" s="2014"/>
      <c r="AB114" s="2014"/>
      <c r="AC114" s="2014"/>
    </row>
    <row r="115" spans="1:29" ht="15" thickTop="1">
      <c r="A115" s="280"/>
      <c r="B115" s="331" t="s">
        <v>1653</v>
      </c>
      <c r="C115" s="347"/>
      <c r="D115" s="347"/>
      <c r="E115" s="372"/>
      <c r="F115" s="372"/>
      <c r="G115" s="372"/>
      <c r="H115" s="372"/>
      <c r="I115" s="372"/>
      <c r="J115" s="372"/>
      <c r="K115" s="373"/>
      <c r="L115" s="374"/>
      <c r="M115" s="375"/>
      <c r="N115" s="2042"/>
      <c r="O115" s="2042"/>
      <c r="P115" s="2051"/>
      <c r="Q115" s="2029"/>
      <c r="R115" s="2008"/>
      <c r="S115" s="2008"/>
      <c r="T115" s="2008"/>
      <c r="U115" s="2008"/>
      <c r="V115" s="2008"/>
      <c r="W115" s="2008"/>
      <c r="X115" s="2008"/>
      <c r="Y115" s="2008"/>
      <c r="Z115" s="2008"/>
      <c r="AA115" s="2008"/>
      <c r="AB115" s="2008"/>
      <c r="AC115" s="2008"/>
    </row>
    <row r="116" spans="1:29" ht="15.75" thickBot="1">
      <c r="A116" s="254"/>
      <c r="B116" s="336"/>
      <c r="C116" s="337">
        <v>100</v>
      </c>
      <c r="D116" s="337">
        <f t="shared" ref="D116:M116" si="52">C116-$K39</f>
        <v>98</v>
      </c>
      <c r="E116" s="337">
        <f t="shared" si="52"/>
        <v>96</v>
      </c>
      <c r="F116" s="337">
        <f t="shared" si="52"/>
        <v>94</v>
      </c>
      <c r="G116" s="337">
        <f t="shared" si="52"/>
        <v>92</v>
      </c>
      <c r="H116" s="337">
        <f t="shared" si="52"/>
        <v>90</v>
      </c>
      <c r="I116" s="337">
        <f t="shared" si="52"/>
        <v>88</v>
      </c>
      <c r="J116" s="337">
        <f t="shared" si="52"/>
        <v>86</v>
      </c>
      <c r="K116" s="337">
        <f t="shared" si="52"/>
        <v>84</v>
      </c>
      <c r="L116" s="337">
        <f t="shared" si="52"/>
        <v>82</v>
      </c>
      <c r="M116" s="338">
        <f t="shared" si="52"/>
        <v>80</v>
      </c>
      <c r="N116" s="2043"/>
      <c r="O116" s="2043"/>
      <c r="P116" s="2051"/>
      <c r="Q116" s="2029"/>
      <c r="R116" s="2008"/>
      <c r="S116" s="2008"/>
      <c r="T116" s="2008"/>
      <c r="U116" s="2008"/>
      <c r="V116" s="2008"/>
      <c r="W116" s="2008"/>
      <c r="X116" s="2008"/>
      <c r="Y116" s="2008"/>
      <c r="Z116" s="2008"/>
      <c r="AA116" s="2008"/>
      <c r="AB116" s="2008"/>
      <c r="AC116" s="2008"/>
    </row>
    <row r="117" spans="1:29" ht="15" thickTop="1">
      <c r="A117" s="280"/>
      <c r="B117" s="331" t="s">
        <v>1654</v>
      </c>
      <c r="C117" s="347"/>
      <c r="D117" s="347"/>
      <c r="E117" s="347"/>
      <c r="F117" s="347"/>
      <c r="G117" s="347"/>
      <c r="H117" s="372"/>
      <c r="I117" s="372"/>
      <c r="J117" s="372"/>
      <c r="K117" s="373"/>
      <c r="L117" s="374"/>
      <c r="M117" s="375"/>
      <c r="N117" s="2042"/>
      <c r="O117" s="2042"/>
      <c r="P117" s="2051"/>
      <c r="Q117" s="2029"/>
      <c r="R117" s="2008"/>
      <c r="S117" s="2008"/>
      <c r="T117" s="2008"/>
      <c r="U117" s="2008"/>
      <c r="V117" s="2008"/>
      <c r="W117" s="2008"/>
      <c r="X117" s="2008"/>
      <c r="Y117" s="2008"/>
      <c r="Z117" s="2008"/>
      <c r="AA117" s="2008"/>
      <c r="AB117" s="2008"/>
      <c r="AC117" s="2008"/>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43"/>
      <c r="O118" s="2043"/>
      <c r="P118" s="2051"/>
      <c r="Q118" s="2029"/>
      <c r="R118" s="2008"/>
      <c r="S118" s="2008"/>
      <c r="T118" s="2008"/>
      <c r="U118" s="2008"/>
      <c r="V118" s="2008"/>
      <c r="W118" s="2008"/>
      <c r="X118" s="2008"/>
      <c r="Y118" s="2008"/>
      <c r="Z118" s="2008"/>
      <c r="AA118" s="2008"/>
      <c r="AB118" s="2008"/>
      <c r="AC118" s="2008"/>
    </row>
    <row r="119" spans="1:29" ht="15" thickTop="1">
      <c r="A119" s="280"/>
      <c r="B119" s="410" t="s">
        <v>1737</v>
      </c>
      <c r="C119" s="372"/>
      <c r="D119" s="372"/>
      <c r="E119" s="372"/>
      <c r="F119" s="372"/>
      <c r="G119" s="372"/>
      <c r="H119" s="372"/>
      <c r="I119" s="372"/>
      <c r="J119" s="372"/>
      <c r="K119" s="372"/>
      <c r="L119" s="1447"/>
      <c r="M119" s="1448"/>
      <c r="N119" s="2043"/>
      <c r="O119" s="2043"/>
      <c r="P119" s="2056"/>
      <c r="Q119" s="2057"/>
      <c r="R119" s="2008"/>
      <c r="S119" s="2008"/>
      <c r="T119" s="2008"/>
      <c r="U119" s="2008"/>
      <c r="V119" s="2008"/>
      <c r="W119" s="2008"/>
      <c r="X119" s="2008"/>
      <c r="Y119" s="2008"/>
      <c r="Z119" s="2008"/>
      <c r="AA119" s="2008"/>
      <c r="AB119" s="2008"/>
      <c r="AC119" s="2008"/>
    </row>
    <row r="120" spans="1:29" ht="15.75" thickBot="1">
      <c r="A120" s="254"/>
      <c r="B120" s="336"/>
      <c r="C120" s="371">
        <v>100</v>
      </c>
      <c r="D120" s="337">
        <f>C120-$K41</f>
        <v>100</v>
      </c>
      <c r="E120" s="337">
        <f t="shared" ref="E120:M120" si="53">D120-$K41</f>
        <v>100</v>
      </c>
      <c r="F120" s="337">
        <f t="shared" si="53"/>
        <v>100</v>
      </c>
      <c r="G120" s="337">
        <f t="shared" si="53"/>
        <v>100</v>
      </c>
      <c r="H120" s="337">
        <f t="shared" si="53"/>
        <v>100</v>
      </c>
      <c r="I120" s="337">
        <f t="shared" si="53"/>
        <v>100</v>
      </c>
      <c r="J120" s="337">
        <f t="shared" si="53"/>
        <v>100</v>
      </c>
      <c r="K120" s="337">
        <f t="shared" si="53"/>
        <v>100</v>
      </c>
      <c r="L120" s="337">
        <f t="shared" si="53"/>
        <v>100</v>
      </c>
      <c r="M120" s="337">
        <f t="shared" si="53"/>
        <v>100</v>
      </c>
      <c r="N120" s="2043"/>
      <c r="O120" s="2043"/>
      <c r="P120" s="2051"/>
      <c r="Q120" s="2029"/>
      <c r="R120" s="2008"/>
      <c r="S120" s="2008"/>
      <c r="T120" s="2008"/>
      <c r="U120" s="2008"/>
      <c r="V120" s="2008"/>
      <c r="W120" s="2008"/>
      <c r="X120" s="2008"/>
      <c r="Y120" s="2008"/>
      <c r="Z120" s="2008"/>
      <c r="AA120" s="2008"/>
      <c r="AB120" s="2008"/>
      <c r="AC120" s="2008"/>
    </row>
    <row r="121" spans="1:29" s="279" customFormat="1" ht="15" thickTop="1">
      <c r="A121" s="277"/>
      <c r="B121" s="331" t="s">
        <v>1720</v>
      </c>
      <c r="C121" s="347"/>
      <c r="D121" s="347"/>
      <c r="E121" s="347"/>
      <c r="F121" s="372"/>
      <c r="G121" s="348"/>
      <c r="H121" s="348"/>
      <c r="I121" s="348"/>
      <c r="J121" s="348"/>
      <c r="K121" s="348"/>
      <c r="L121" s="349"/>
      <c r="M121" s="350"/>
      <c r="N121" s="2044"/>
      <c r="O121" s="2044"/>
      <c r="P121" s="2052"/>
      <c r="Q121" s="2036"/>
      <c r="R121" s="2014"/>
      <c r="S121" s="2014"/>
      <c r="T121" s="2014"/>
      <c r="U121" s="2014"/>
      <c r="V121" s="2014"/>
      <c r="W121" s="2014"/>
      <c r="X121" s="2014"/>
      <c r="Y121" s="2014"/>
      <c r="Z121" s="2014"/>
      <c r="AA121" s="2014"/>
      <c r="AB121" s="2014"/>
      <c r="AC121" s="2014"/>
    </row>
    <row r="122" spans="1:29" s="279" customFormat="1" ht="15.75" thickBot="1">
      <c r="A122" s="346"/>
      <c r="B122" s="328"/>
      <c r="C122" s="352"/>
      <c r="D122" s="352"/>
      <c r="E122" s="352"/>
      <c r="F122" s="352"/>
      <c r="G122" s="352"/>
      <c r="H122" s="352"/>
      <c r="I122" s="352"/>
      <c r="J122" s="352"/>
      <c r="K122" s="352"/>
      <c r="L122" s="352"/>
      <c r="M122" s="352"/>
      <c r="N122" s="2044"/>
      <c r="O122" s="2044"/>
      <c r="P122" s="2052"/>
      <c r="Q122" s="2036"/>
      <c r="R122" s="2014"/>
      <c r="S122" s="2014"/>
      <c r="T122" s="2014"/>
      <c r="U122" s="2014"/>
      <c r="V122" s="2014"/>
      <c r="W122" s="2014"/>
      <c r="X122" s="2014"/>
      <c r="Y122" s="2014"/>
      <c r="Z122" s="2014"/>
      <c r="AA122" s="2014"/>
      <c r="AB122" s="2014"/>
      <c r="AC122" s="2014"/>
    </row>
    <row r="123" spans="1:29" ht="15" thickTop="1">
      <c r="A123" s="280"/>
      <c r="B123" s="331" t="s">
        <v>1656</v>
      </c>
      <c r="C123" s="347" t="s">
        <v>4267</v>
      </c>
      <c r="D123" s="347" t="s">
        <v>4269</v>
      </c>
      <c r="E123" s="347" t="s">
        <v>4277</v>
      </c>
      <c r="F123" s="372" t="s">
        <v>4278</v>
      </c>
      <c r="G123" s="372"/>
      <c r="H123" s="372"/>
      <c r="I123" s="372"/>
      <c r="J123" s="372"/>
      <c r="K123" s="373"/>
      <c r="L123" s="374"/>
      <c r="M123" s="375"/>
      <c r="N123" s="2042"/>
      <c r="O123" s="2042"/>
      <c r="P123" s="2051"/>
      <c r="Q123" s="2029"/>
      <c r="R123" s="2008"/>
      <c r="S123" s="2008"/>
      <c r="T123" s="2008"/>
      <c r="U123" s="2008"/>
      <c r="V123" s="2008"/>
      <c r="W123" s="2008"/>
      <c r="X123" s="2008"/>
      <c r="Y123" s="2008"/>
      <c r="Z123" s="2008"/>
      <c r="AA123" s="2008"/>
      <c r="AB123" s="2008"/>
      <c r="AC123" s="2008"/>
    </row>
    <row r="124" spans="1:29" ht="15.75" thickBot="1">
      <c r="A124" s="254"/>
      <c r="B124" s="336"/>
      <c r="C124" s="337">
        <v>100</v>
      </c>
      <c r="D124" s="337">
        <f t="shared" ref="D124:M124" si="54">C124-$K43</f>
        <v>98</v>
      </c>
      <c r="E124" s="337">
        <f t="shared" si="54"/>
        <v>96</v>
      </c>
      <c r="F124" s="337">
        <f t="shared" si="54"/>
        <v>94</v>
      </c>
      <c r="G124" s="337">
        <f t="shared" si="54"/>
        <v>92</v>
      </c>
      <c r="H124" s="337">
        <f t="shared" si="54"/>
        <v>90</v>
      </c>
      <c r="I124" s="337">
        <f t="shared" si="54"/>
        <v>88</v>
      </c>
      <c r="J124" s="337">
        <f t="shared" si="54"/>
        <v>86</v>
      </c>
      <c r="K124" s="337">
        <f t="shared" si="54"/>
        <v>84</v>
      </c>
      <c r="L124" s="337">
        <f t="shared" si="54"/>
        <v>82</v>
      </c>
      <c r="M124" s="338">
        <f t="shared" si="54"/>
        <v>80</v>
      </c>
      <c r="N124" s="2043"/>
      <c r="O124" s="2043"/>
      <c r="P124" s="2051"/>
      <c r="Q124" s="2029"/>
      <c r="R124" s="2008"/>
      <c r="S124" s="2008"/>
      <c r="T124" s="2008"/>
      <c r="U124" s="2008"/>
      <c r="V124" s="2008"/>
      <c r="W124" s="2008"/>
      <c r="X124" s="2008"/>
      <c r="Y124" s="2008"/>
      <c r="Z124" s="2008"/>
      <c r="AA124" s="2008"/>
      <c r="AB124" s="2008"/>
      <c r="AC124" s="2008"/>
    </row>
    <row r="125" spans="1:29" ht="15" thickTop="1">
      <c r="A125" s="280"/>
      <c r="B125" s="331" t="s">
        <v>1657</v>
      </c>
      <c r="C125" s="368" t="s">
        <v>1633</v>
      </c>
      <c r="D125" s="368" t="s">
        <v>1634</v>
      </c>
      <c r="E125" s="368" t="s">
        <v>1635</v>
      </c>
      <c r="F125" s="368" t="s">
        <v>1636</v>
      </c>
      <c r="G125" s="368" t="s">
        <v>1637</v>
      </c>
      <c r="H125" s="332"/>
      <c r="I125" s="332"/>
      <c r="J125" s="332"/>
      <c r="K125" s="333"/>
      <c r="L125" s="334"/>
      <c r="M125" s="335"/>
      <c r="N125" s="2042"/>
      <c r="O125" s="2042"/>
      <c r="P125" s="2052"/>
      <c r="Q125" s="2029"/>
      <c r="R125" s="2008"/>
      <c r="S125" s="2008"/>
      <c r="T125" s="2008"/>
      <c r="U125" s="2008"/>
      <c r="V125" s="2008"/>
      <c r="W125" s="2008"/>
      <c r="X125" s="2008"/>
      <c r="Y125" s="2008"/>
      <c r="Z125" s="2008"/>
      <c r="AA125" s="2008"/>
      <c r="AB125" s="2008"/>
      <c r="AC125" s="2008"/>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43"/>
      <c r="O126" s="2043"/>
      <c r="P126" s="2051"/>
      <c r="Q126" s="2029"/>
      <c r="R126" s="2008"/>
      <c r="S126" s="2008"/>
      <c r="T126" s="2008"/>
      <c r="U126" s="2008"/>
      <c r="V126" s="2008"/>
      <c r="W126" s="2008"/>
      <c r="X126" s="2008"/>
      <c r="Y126" s="2008"/>
      <c r="Z126" s="2008"/>
      <c r="AA126" s="2008"/>
      <c r="AB126" s="2008"/>
      <c r="AC126" s="2008"/>
    </row>
    <row r="127" spans="1:29" s="279" customFormat="1" ht="15" thickTop="1">
      <c r="A127" s="277"/>
      <c r="B127" s="331" t="str">
        <f>B45</f>
        <v>地下占比</v>
      </c>
      <c r="C127" s="4330" t="s">
        <v>4270</v>
      </c>
      <c r="D127" s="4330" t="s">
        <v>4282</v>
      </c>
      <c r="E127" s="4330" t="s">
        <v>4281</v>
      </c>
      <c r="F127" s="347" t="s">
        <v>4280</v>
      </c>
      <c r="G127" s="348" t="s">
        <v>4279</v>
      </c>
      <c r="H127" s="348"/>
      <c r="I127" s="348"/>
      <c r="J127" s="348"/>
      <c r="K127" s="348"/>
      <c r="L127" s="349"/>
      <c r="M127" s="350"/>
      <c r="N127" s="2044"/>
      <c r="O127" s="2044"/>
      <c r="P127" s="2052"/>
      <c r="Q127" s="2036"/>
      <c r="R127" s="2014"/>
      <c r="S127" s="2014"/>
      <c r="T127" s="2014"/>
      <c r="U127" s="2014"/>
      <c r="V127" s="2014"/>
      <c r="W127" s="2014"/>
      <c r="X127" s="2014"/>
      <c r="Y127" s="2014"/>
      <c r="Z127" s="2014"/>
      <c r="AA127" s="2014"/>
      <c r="AB127" s="2014"/>
      <c r="AC127" s="2014"/>
    </row>
    <row r="128" spans="1:29" s="279" customFormat="1" ht="15.75" thickBot="1">
      <c r="A128" s="346"/>
      <c r="B128" s="336"/>
      <c r="C128" s="352">
        <v>100</v>
      </c>
      <c r="D128" s="329">
        <f>C128-3</f>
        <v>97</v>
      </c>
      <c r="E128" s="329">
        <f t="shared" ref="E128:G128" si="55">D128-3</f>
        <v>94</v>
      </c>
      <c r="F128" s="329">
        <f t="shared" si="55"/>
        <v>91</v>
      </c>
      <c r="G128" s="329">
        <f t="shared" si="55"/>
        <v>88</v>
      </c>
      <c r="H128" s="354"/>
      <c r="I128" s="354"/>
      <c r="J128" s="354"/>
      <c r="K128" s="354"/>
      <c r="L128" s="354"/>
      <c r="M128" s="355"/>
      <c r="N128" s="2044"/>
      <c r="O128" s="2044"/>
      <c r="P128" s="2052"/>
      <c r="Q128" s="2036"/>
      <c r="R128" s="2014"/>
      <c r="S128" s="2014"/>
      <c r="T128" s="2014"/>
      <c r="U128" s="2014"/>
      <c r="V128" s="2014"/>
      <c r="W128" s="2014"/>
      <c r="X128" s="2014"/>
      <c r="Y128" s="2014"/>
      <c r="Z128" s="2014"/>
      <c r="AA128" s="2014"/>
      <c r="AB128" s="2014"/>
      <c r="AC128" s="2014"/>
    </row>
    <row r="129" spans="1:29" ht="15" thickTop="1">
      <c r="A129" s="280"/>
      <c r="B129" s="331" t="str">
        <f>B46</f>
        <v>地下用途</v>
      </c>
      <c r="C129" s="347" t="s">
        <v>4284</v>
      </c>
      <c r="D129" s="4334" t="s">
        <v>4285</v>
      </c>
      <c r="E129" s="347" t="s">
        <v>4286</v>
      </c>
      <c r="F129" s="4334" t="s">
        <v>4287</v>
      </c>
      <c r="G129" s="372"/>
      <c r="H129" s="372"/>
      <c r="I129" s="372"/>
      <c r="J129" s="372"/>
      <c r="K129" s="373"/>
      <c r="L129" s="374"/>
      <c r="M129" s="375"/>
      <c r="N129" s="2042"/>
      <c r="O129" s="2042"/>
      <c r="P129" s="2051"/>
      <c r="Q129" s="2029"/>
      <c r="R129" s="2008"/>
      <c r="S129" s="2008"/>
      <c r="T129" s="2008"/>
      <c r="U129" s="2008"/>
      <c r="V129" s="2008"/>
      <c r="W129" s="2008"/>
      <c r="X129" s="2008"/>
      <c r="Y129" s="2008"/>
      <c r="Z129" s="2008"/>
      <c r="AA129" s="2008"/>
      <c r="AB129" s="2008"/>
      <c r="AC129" s="2008"/>
    </row>
    <row r="130" spans="1:29" ht="15.75" thickBot="1">
      <c r="A130" s="254"/>
      <c r="B130" s="336"/>
      <c r="C130" s="352">
        <v>100</v>
      </c>
      <c r="D130" s="352">
        <v>100</v>
      </c>
      <c r="E130" s="352">
        <v>100</v>
      </c>
      <c r="F130" s="352">
        <v>110</v>
      </c>
      <c r="G130" s="329"/>
      <c r="H130" s="329"/>
      <c r="I130" s="329"/>
      <c r="J130" s="329"/>
      <c r="K130" s="329"/>
      <c r="L130" s="329"/>
      <c r="M130" s="330"/>
      <c r="N130" s="2043"/>
      <c r="O130" s="2043"/>
      <c r="P130" s="2051"/>
      <c r="Q130" s="2029"/>
      <c r="R130" s="2008"/>
      <c r="S130" s="2008"/>
      <c r="T130" s="2008"/>
      <c r="U130" s="2008"/>
      <c r="V130" s="2008"/>
      <c r="W130" s="2008"/>
      <c r="X130" s="2008"/>
      <c r="Y130" s="2008"/>
      <c r="Z130" s="2008"/>
      <c r="AA130" s="2008"/>
      <c r="AB130" s="2008"/>
      <c r="AC130" s="2008"/>
    </row>
    <row r="131" spans="1:29" ht="15" thickTop="1">
      <c r="A131" s="280"/>
      <c r="B131" s="339">
        <f>B47</f>
        <v>111</v>
      </c>
      <c r="C131" s="20"/>
      <c r="D131" s="20"/>
      <c r="E131" s="20"/>
      <c r="F131" s="20"/>
      <c r="G131" s="376"/>
      <c r="H131" s="376"/>
      <c r="I131" s="376"/>
      <c r="J131" s="376"/>
      <c r="K131" s="20"/>
      <c r="L131" s="320"/>
      <c r="M131" s="379"/>
      <c r="N131" s="2042"/>
      <c r="O131" s="2042"/>
      <c r="P131" s="2051"/>
      <c r="Q131" s="2029"/>
      <c r="R131" s="2008"/>
      <c r="S131" s="2008"/>
      <c r="T131" s="2008"/>
      <c r="U131" s="2008"/>
      <c r="V131" s="2008"/>
      <c r="W131" s="2008"/>
      <c r="X131" s="2008"/>
      <c r="Y131" s="2008"/>
      <c r="Z131" s="2008"/>
      <c r="AA131" s="2008"/>
      <c r="AB131" s="2008"/>
      <c r="AC131" s="2008"/>
    </row>
    <row r="132" spans="1:29" ht="15.75" thickBot="1">
      <c r="A132" s="260"/>
      <c r="B132" s="360"/>
      <c r="C132" s="361"/>
      <c r="D132" s="361"/>
      <c r="E132" s="361"/>
      <c r="F132" s="361"/>
      <c r="G132" s="380"/>
      <c r="H132" s="380"/>
      <c r="I132" s="380"/>
      <c r="J132" s="380"/>
      <c r="K132" s="380"/>
      <c r="L132" s="380"/>
      <c r="M132" s="381"/>
      <c r="N132" s="2043"/>
      <c r="O132" s="2043"/>
      <c r="P132" s="2051"/>
      <c r="Q132" s="2029"/>
      <c r="R132" s="2008"/>
      <c r="S132" s="2008"/>
      <c r="T132" s="2008"/>
      <c r="U132" s="2008"/>
      <c r="V132" s="2008"/>
      <c r="W132" s="2008"/>
      <c r="X132" s="2008"/>
      <c r="Y132" s="2008"/>
      <c r="Z132" s="2008"/>
      <c r="AA132" s="2008"/>
      <c r="AB132" s="2008"/>
      <c r="AC132" s="2008"/>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1964D-D45C-43D0-97E8-1B0098D88F48}">
  <sheetPr>
    <tabColor rgb="FF7030A0"/>
  </sheetPr>
  <dimension ref="A1:K22"/>
  <sheetViews>
    <sheetView workbookViewId="0">
      <selection activeCell="K21" sqref="K21"/>
    </sheetView>
  </sheetViews>
  <sheetFormatPr defaultColWidth="9" defaultRowHeight="13.5"/>
  <cols>
    <col min="1" max="1" width="10.5" style="4323" customWidth="1"/>
    <col min="2" max="4" width="7.5" style="4323" customWidth="1"/>
    <col min="5" max="5" width="37.125" style="4323" customWidth="1"/>
    <col min="6" max="6" width="9.5" style="4323" customWidth="1"/>
    <col min="7" max="8" width="5.5" style="4323" customWidth="1"/>
    <col min="9" max="9" width="13.875" style="4323" customWidth="1"/>
    <col min="10" max="10" width="16.125" style="4323" customWidth="1"/>
    <col min="11" max="11" width="17.25" style="4323" customWidth="1"/>
    <col min="12" max="16384" width="9" style="4323"/>
  </cols>
  <sheetData>
    <row r="1" spans="1:11" ht="14.25">
      <c r="A1" s="4322" t="s">
        <v>4168</v>
      </c>
      <c r="B1" s="4322" t="s">
        <v>4169</v>
      </c>
      <c r="C1" s="4322" t="s">
        <v>4170</v>
      </c>
      <c r="D1" s="4322" t="s">
        <v>4171</v>
      </c>
      <c r="E1" s="4322" t="s">
        <v>4172</v>
      </c>
      <c r="F1" s="4322" t="s">
        <v>4173</v>
      </c>
      <c r="G1" s="4322" t="s">
        <v>4174</v>
      </c>
      <c r="H1" s="4322" t="s">
        <v>4175</v>
      </c>
      <c r="I1" s="4322" t="s">
        <v>4176</v>
      </c>
      <c r="J1" s="4322" t="s">
        <v>4177</v>
      </c>
      <c r="K1" s="4322" t="s">
        <v>4178</v>
      </c>
    </row>
    <row r="2" spans="1:11" ht="14.25">
      <c r="A2" s="4324">
        <v>45308.333831018499</v>
      </c>
      <c r="B2" s="4322" t="s">
        <v>4179</v>
      </c>
      <c r="C2" s="4322">
        <v>1</v>
      </c>
      <c r="D2" s="4322">
        <v>101</v>
      </c>
      <c r="E2" s="4322" t="s">
        <v>4180</v>
      </c>
      <c r="F2" s="4322" t="s">
        <v>660</v>
      </c>
      <c r="G2" s="4322" t="s">
        <v>4181</v>
      </c>
      <c r="H2" s="4322">
        <v>1</v>
      </c>
      <c r="I2" s="4322">
        <v>298.06</v>
      </c>
      <c r="J2" s="4322">
        <v>1561.83</v>
      </c>
      <c r="K2" s="4322">
        <v>52400</v>
      </c>
    </row>
    <row r="3" spans="1:11" ht="14.25">
      <c r="A3" s="4324">
        <v>45308.333831018499</v>
      </c>
      <c r="B3" s="4322" t="s">
        <v>4179</v>
      </c>
      <c r="C3" s="4322">
        <v>2</v>
      </c>
      <c r="D3" s="4322">
        <v>201</v>
      </c>
      <c r="E3" s="4322" t="s">
        <v>4180</v>
      </c>
      <c r="F3" s="4322" t="s">
        <v>19</v>
      </c>
      <c r="G3" s="4322" t="s">
        <v>4181</v>
      </c>
      <c r="H3" s="4322">
        <v>1</v>
      </c>
      <c r="I3" s="4322">
        <v>787.52</v>
      </c>
      <c r="J3" s="4322">
        <v>3339.08</v>
      </c>
      <c r="K3" s="4322">
        <v>42400</v>
      </c>
    </row>
    <row r="4" spans="1:11" ht="14.25">
      <c r="A4" s="4324">
        <v>45308.333831018499</v>
      </c>
      <c r="B4" s="4322" t="s">
        <v>4179</v>
      </c>
      <c r="C4" s="4322">
        <v>3</v>
      </c>
      <c r="D4" s="4322">
        <v>302</v>
      </c>
      <c r="E4" s="4322" t="s">
        <v>4180</v>
      </c>
      <c r="F4" s="4322" t="s">
        <v>19</v>
      </c>
      <c r="G4" s="4322" t="s">
        <v>4181</v>
      </c>
      <c r="H4" s="4322">
        <v>1</v>
      </c>
      <c r="I4" s="4322">
        <v>726.16</v>
      </c>
      <c r="J4" s="4322">
        <v>3078.9</v>
      </c>
      <c r="K4" s="4322">
        <v>42400</v>
      </c>
    </row>
    <row r="5" spans="1:11" ht="14.25">
      <c r="A5" s="4324">
        <v>45308.333831018499</v>
      </c>
      <c r="B5" s="4322" t="s">
        <v>4179</v>
      </c>
      <c r="C5" s="4322">
        <v>3</v>
      </c>
      <c r="D5" s="4322">
        <v>301</v>
      </c>
      <c r="E5" s="4322" t="s">
        <v>4180</v>
      </c>
      <c r="F5" s="4322" t="s">
        <v>19</v>
      </c>
      <c r="G5" s="4322" t="s">
        <v>4181</v>
      </c>
      <c r="H5" s="4322">
        <v>1</v>
      </c>
      <c r="I5" s="4322">
        <v>767.09</v>
      </c>
      <c r="J5" s="4322">
        <v>3252.46</v>
      </c>
      <c r="K5" s="4322">
        <v>42400</v>
      </c>
    </row>
    <row r="6" spans="1:11" ht="14.25">
      <c r="A6" s="4324">
        <v>45308.333831018499</v>
      </c>
      <c r="B6" s="4322" t="s">
        <v>4179</v>
      </c>
      <c r="C6" s="4322">
        <v>4</v>
      </c>
      <c r="D6" s="4322">
        <v>402</v>
      </c>
      <c r="E6" s="4322" t="s">
        <v>4180</v>
      </c>
      <c r="F6" s="4322" t="s">
        <v>19</v>
      </c>
      <c r="G6" s="4322" t="s">
        <v>4181</v>
      </c>
      <c r="H6" s="4322">
        <v>1</v>
      </c>
      <c r="I6" s="4322">
        <v>935.99</v>
      </c>
      <c r="J6" s="4322">
        <v>3968.6</v>
      </c>
      <c r="K6" s="4322">
        <v>42400</v>
      </c>
    </row>
    <row r="7" spans="1:11" ht="14.25">
      <c r="A7" s="4324">
        <v>45308.333831018499</v>
      </c>
      <c r="B7" s="4322" t="s">
        <v>4179</v>
      </c>
      <c r="C7" s="4322">
        <v>4</v>
      </c>
      <c r="D7" s="4322">
        <v>401</v>
      </c>
      <c r="E7" s="4322" t="s">
        <v>4180</v>
      </c>
      <c r="F7" s="4322" t="s">
        <v>19</v>
      </c>
      <c r="G7" s="4322" t="s">
        <v>4181</v>
      </c>
      <c r="H7" s="4322">
        <v>1</v>
      </c>
      <c r="I7" s="4322">
        <v>958.04</v>
      </c>
      <c r="J7" s="4322">
        <v>4062.09</v>
      </c>
      <c r="K7" s="4322">
        <v>42400</v>
      </c>
    </row>
    <row r="8" spans="1:11" ht="14.25">
      <c r="A8" s="4324">
        <v>45308.333831018499</v>
      </c>
      <c r="B8" s="4322" t="s">
        <v>4179</v>
      </c>
      <c r="C8" s="4322">
        <v>5</v>
      </c>
      <c r="D8" s="4322">
        <v>501</v>
      </c>
      <c r="E8" s="4322" t="s">
        <v>4180</v>
      </c>
      <c r="F8" s="4322" t="s">
        <v>19</v>
      </c>
      <c r="G8" s="4322" t="s">
        <v>4181</v>
      </c>
      <c r="H8" s="4322">
        <v>1</v>
      </c>
      <c r="I8" s="4322">
        <v>958.04</v>
      </c>
      <c r="J8" s="4322">
        <v>4062.09</v>
      </c>
      <c r="K8" s="4322">
        <v>42400</v>
      </c>
    </row>
    <row r="9" spans="1:11" ht="14.25">
      <c r="A9" s="4324">
        <v>45308.333831018499</v>
      </c>
      <c r="B9" s="4322" t="s">
        <v>4179</v>
      </c>
      <c r="C9" s="4322">
        <v>5</v>
      </c>
      <c r="D9" s="4322">
        <v>502</v>
      </c>
      <c r="E9" s="4322" t="s">
        <v>4180</v>
      </c>
      <c r="F9" s="4322" t="s">
        <v>19</v>
      </c>
      <c r="G9" s="4322" t="s">
        <v>4181</v>
      </c>
      <c r="H9" s="4322">
        <v>1</v>
      </c>
      <c r="I9" s="4322">
        <v>935.99</v>
      </c>
      <c r="J9" s="4322">
        <v>3968.6</v>
      </c>
      <c r="K9" s="4322">
        <v>42400</v>
      </c>
    </row>
    <row r="10" spans="1:11" ht="14.25">
      <c r="A10" s="4324">
        <v>45308.333831018499</v>
      </c>
      <c r="B10" s="4322" t="s">
        <v>4179</v>
      </c>
      <c r="C10" s="4322">
        <v>6</v>
      </c>
      <c r="D10" s="4322">
        <v>601</v>
      </c>
      <c r="E10" s="4322" t="s">
        <v>4180</v>
      </c>
      <c r="F10" s="4322" t="s">
        <v>19</v>
      </c>
      <c r="G10" s="4322" t="s">
        <v>4181</v>
      </c>
      <c r="H10" s="4322">
        <v>1</v>
      </c>
      <c r="I10" s="4322">
        <v>831.87</v>
      </c>
      <c r="J10" s="4322">
        <v>3527.15</v>
      </c>
      <c r="K10" s="4322">
        <v>42400</v>
      </c>
    </row>
    <row r="11" spans="1:11" ht="14.25">
      <c r="A11" s="4324">
        <v>45308.333831018499</v>
      </c>
      <c r="B11" s="4322" t="s">
        <v>4179</v>
      </c>
      <c r="C11" s="4322">
        <v>6</v>
      </c>
      <c r="D11" s="4322">
        <v>602</v>
      </c>
      <c r="E11" s="4322" t="s">
        <v>4180</v>
      </c>
      <c r="F11" s="4322" t="s">
        <v>19</v>
      </c>
      <c r="G11" s="4322" t="s">
        <v>4181</v>
      </c>
      <c r="H11" s="4322">
        <v>1</v>
      </c>
      <c r="I11" s="4322">
        <v>1025.67</v>
      </c>
      <c r="J11" s="4322">
        <v>4348.84</v>
      </c>
      <c r="K11" s="4322">
        <v>42400</v>
      </c>
    </row>
    <row r="12" spans="1:11" ht="14.25">
      <c r="A12" s="4324">
        <v>45308.333831018499</v>
      </c>
      <c r="B12" s="4322" t="s">
        <v>4179</v>
      </c>
      <c r="C12" s="4322">
        <v>7</v>
      </c>
      <c r="D12" s="4322">
        <v>701</v>
      </c>
      <c r="E12" s="4322" t="s">
        <v>4180</v>
      </c>
      <c r="F12" s="4322" t="s">
        <v>19</v>
      </c>
      <c r="G12" s="4322" t="s">
        <v>4181</v>
      </c>
      <c r="H12" s="4322">
        <v>1</v>
      </c>
      <c r="I12" s="4322">
        <v>791.29</v>
      </c>
      <c r="J12" s="4322">
        <v>3355.09</v>
      </c>
      <c r="K12" s="4322">
        <v>42400</v>
      </c>
    </row>
    <row r="13" spans="1:11" ht="14.25">
      <c r="A13" s="4324">
        <v>45308.333831018499</v>
      </c>
      <c r="B13" s="4322" t="s">
        <v>4179</v>
      </c>
      <c r="C13" s="4322">
        <v>7</v>
      </c>
      <c r="D13" s="4322">
        <v>702</v>
      </c>
      <c r="E13" s="4322" t="s">
        <v>4180</v>
      </c>
      <c r="F13" s="4322" t="s">
        <v>19</v>
      </c>
      <c r="G13" s="4322" t="s">
        <v>4181</v>
      </c>
      <c r="H13" s="4322">
        <v>1</v>
      </c>
      <c r="I13" s="4322">
        <v>799.2</v>
      </c>
      <c r="J13" s="4322">
        <v>3388.59</v>
      </c>
      <c r="K13" s="4322">
        <v>42400</v>
      </c>
    </row>
    <row r="14" spans="1:11" ht="14.25">
      <c r="A14" s="4324">
        <v>45308.333831018499</v>
      </c>
      <c r="B14" s="4322" t="s">
        <v>4179</v>
      </c>
      <c r="C14" s="4322">
        <v>8</v>
      </c>
      <c r="D14" s="4322">
        <v>801</v>
      </c>
      <c r="E14" s="4322" t="s">
        <v>4180</v>
      </c>
      <c r="F14" s="4322" t="s">
        <v>19</v>
      </c>
      <c r="G14" s="4322" t="s">
        <v>4181</v>
      </c>
      <c r="H14" s="4322">
        <v>1</v>
      </c>
      <c r="I14" s="4322">
        <v>822.89</v>
      </c>
      <c r="J14" s="4322">
        <v>3489.02</v>
      </c>
      <c r="K14" s="4322">
        <v>42400</v>
      </c>
    </row>
    <row r="15" spans="1:11" ht="14.25">
      <c r="A15" s="4324">
        <v>45308.333831018499</v>
      </c>
      <c r="B15" s="4322" t="s">
        <v>4179</v>
      </c>
      <c r="C15" s="4322">
        <v>8</v>
      </c>
      <c r="D15" s="4322">
        <v>802</v>
      </c>
      <c r="E15" s="4322" t="s">
        <v>4180</v>
      </c>
      <c r="F15" s="4322" t="s">
        <v>19</v>
      </c>
      <c r="G15" s="4322" t="s">
        <v>4181</v>
      </c>
      <c r="H15" s="4322">
        <v>1</v>
      </c>
      <c r="I15" s="4322">
        <v>1090.5</v>
      </c>
      <c r="J15" s="4322">
        <v>4623.75</v>
      </c>
      <c r="K15" s="4322">
        <v>42400</v>
      </c>
    </row>
    <row r="16" spans="1:11" ht="14.25">
      <c r="A16" s="4324">
        <v>45308.333831018499</v>
      </c>
      <c r="B16" s="4322" t="s">
        <v>4179</v>
      </c>
      <c r="C16" s="4322">
        <v>9</v>
      </c>
      <c r="D16" s="4322">
        <v>901</v>
      </c>
      <c r="E16" s="4322" t="s">
        <v>4180</v>
      </c>
      <c r="F16" s="4322" t="s">
        <v>19</v>
      </c>
      <c r="G16" s="4322" t="s">
        <v>4181</v>
      </c>
      <c r="H16" s="4322">
        <v>1</v>
      </c>
      <c r="I16" s="4322">
        <v>860.72</v>
      </c>
      <c r="J16" s="4322">
        <v>3649.45</v>
      </c>
      <c r="K16" s="4322">
        <v>42400</v>
      </c>
    </row>
    <row r="17" spans="1:11" ht="14.25">
      <c r="A17" s="4324">
        <v>45308.333831018499</v>
      </c>
      <c r="B17" s="4322" t="s">
        <v>4179</v>
      </c>
      <c r="C17" s="4322">
        <v>9</v>
      </c>
      <c r="D17" s="4322">
        <v>902</v>
      </c>
      <c r="E17" s="4322" t="s">
        <v>4180</v>
      </c>
      <c r="F17" s="4322" t="s">
        <v>19</v>
      </c>
      <c r="G17" s="4322" t="s">
        <v>4181</v>
      </c>
      <c r="H17" s="4322">
        <v>1</v>
      </c>
      <c r="I17" s="4322">
        <v>828.39</v>
      </c>
      <c r="J17" s="4322">
        <v>3512.37</v>
      </c>
      <c r="K17" s="4322">
        <v>42400</v>
      </c>
    </row>
    <row r="18" spans="1:11" ht="14.25">
      <c r="A18" s="4324">
        <v>45308.333831018499</v>
      </c>
      <c r="B18" s="4322" t="s">
        <v>4179</v>
      </c>
      <c r="C18" s="4322">
        <v>10</v>
      </c>
      <c r="D18" s="4322">
        <v>1002</v>
      </c>
      <c r="E18" s="4322" t="s">
        <v>4180</v>
      </c>
      <c r="F18" s="4322" t="s">
        <v>19</v>
      </c>
      <c r="G18" s="4322" t="s">
        <v>4181</v>
      </c>
      <c r="H18" s="4322">
        <v>1</v>
      </c>
      <c r="I18" s="4322">
        <v>828.39</v>
      </c>
      <c r="J18" s="4322">
        <v>3512.37</v>
      </c>
      <c r="K18" s="4322">
        <v>42400</v>
      </c>
    </row>
    <row r="19" spans="1:11" ht="14.25">
      <c r="A19" s="4324">
        <v>45308.333831018499</v>
      </c>
      <c r="B19" s="4322" t="s">
        <v>4179</v>
      </c>
      <c r="C19" s="4322">
        <v>10</v>
      </c>
      <c r="D19" s="4322">
        <v>1001</v>
      </c>
      <c r="E19" s="4322" t="s">
        <v>4180</v>
      </c>
      <c r="F19" s="4322" t="s">
        <v>19</v>
      </c>
      <c r="G19" s="4322" t="s">
        <v>4181</v>
      </c>
      <c r="H19" s="4322">
        <v>1</v>
      </c>
      <c r="I19" s="4322">
        <v>860.72</v>
      </c>
      <c r="J19" s="4322">
        <v>3649.45</v>
      </c>
      <c r="K19" s="4322">
        <v>42400</v>
      </c>
    </row>
    <row r="20" spans="1:11" ht="14.25">
      <c r="H20" s="4322"/>
      <c r="I20" s="4322">
        <f>SUM(I2:I19)</f>
        <v>15106.529999999999</v>
      </c>
      <c r="J20" s="4322">
        <f>SUM(J2:J19)</f>
        <v>64349.729999999989</v>
      </c>
      <c r="K20" s="4322">
        <f>ROUND(J20/I20*10000,0)</f>
        <v>42597</v>
      </c>
    </row>
    <row r="21" spans="1:11" ht="14.25">
      <c r="H21" s="4322"/>
      <c r="I21" s="4322"/>
    </row>
    <row r="22" spans="1:11" ht="14.25">
      <c r="H22" s="4322"/>
      <c r="I22" s="4325"/>
    </row>
  </sheetData>
  <phoneticPr fontId="134"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40F7F-2907-427A-9C13-F2963DF40F14}">
  <sheetPr>
    <tabColor rgb="FF7030A0"/>
  </sheetPr>
  <dimension ref="A1:O97"/>
  <sheetViews>
    <sheetView topLeftCell="A67" workbookViewId="0">
      <selection activeCell="N101" sqref="N101"/>
    </sheetView>
  </sheetViews>
  <sheetFormatPr defaultColWidth="9" defaultRowHeight="13.5"/>
  <cols>
    <col min="1" max="1" width="11.625" style="4323" customWidth="1"/>
    <col min="2" max="2" width="9.5" style="4323" customWidth="1"/>
    <col min="3" max="3" width="13.875" style="4323" customWidth="1"/>
    <col min="4" max="8" width="7.5" style="4323" customWidth="1"/>
    <col min="9" max="9" width="37.125" style="4323" customWidth="1"/>
    <col min="10" max="10" width="10.5" style="4323" customWidth="1"/>
    <col min="11" max="11" width="5.5" style="4323" customWidth="1"/>
    <col min="12" max="13" width="13.875" style="4323" customWidth="1"/>
    <col min="14" max="14" width="16.125" style="4323" customWidth="1"/>
    <col min="15" max="15" width="17.25" style="4323" customWidth="1"/>
    <col min="16" max="16384" width="9" style="4323"/>
  </cols>
  <sheetData>
    <row r="1" spans="1:15" ht="14.25">
      <c r="A1" s="4322" t="s">
        <v>4168</v>
      </c>
      <c r="B1" s="4322" t="s">
        <v>4187</v>
      </c>
      <c r="C1" s="4322" t="s">
        <v>4188</v>
      </c>
      <c r="D1" s="4322" t="s">
        <v>4169</v>
      </c>
      <c r="E1" s="4322" t="s">
        <v>4031</v>
      </c>
      <c r="F1" s="4322" t="s">
        <v>4189</v>
      </c>
      <c r="G1" s="4322" t="s">
        <v>4170</v>
      </c>
      <c r="H1" s="4322" t="s">
        <v>4171</v>
      </c>
      <c r="I1" s="4322" t="s">
        <v>4172</v>
      </c>
      <c r="J1" s="4322" t="s">
        <v>4173</v>
      </c>
      <c r="K1" s="4322" t="s">
        <v>4174</v>
      </c>
      <c r="L1" s="4322" t="s">
        <v>4175</v>
      </c>
      <c r="M1" s="4322" t="s">
        <v>4176</v>
      </c>
      <c r="N1" s="4322" t="s">
        <v>4177</v>
      </c>
      <c r="O1" s="4322" t="s">
        <v>4178</v>
      </c>
    </row>
    <row r="2" spans="1:15" ht="14.25">
      <c r="A2" s="4324">
        <v>45602.333831018499</v>
      </c>
      <c r="B2" s="4322" t="s">
        <v>4045</v>
      </c>
      <c r="C2" s="4322" t="s">
        <v>4045</v>
      </c>
      <c r="D2" s="4322" t="s">
        <v>3998</v>
      </c>
      <c r="E2" s="4322" t="s">
        <v>4045</v>
      </c>
      <c r="F2" s="4322" t="s">
        <v>4045</v>
      </c>
      <c r="G2" s="4322">
        <v>-2</v>
      </c>
      <c r="H2" s="4322" t="s">
        <v>4190</v>
      </c>
      <c r="I2" s="4322" t="s">
        <v>4191</v>
      </c>
      <c r="J2" s="4322" t="s">
        <v>4192</v>
      </c>
      <c r="K2" s="4322" t="s">
        <v>4181</v>
      </c>
      <c r="L2" s="4322">
        <v>1</v>
      </c>
      <c r="M2" s="4322">
        <v>46.43</v>
      </c>
      <c r="N2" s="4322">
        <v>16</v>
      </c>
      <c r="O2" s="4322">
        <v>3446</v>
      </c>
    </row>
    <row r="3" spans="1:15" ht="14.25">
      <c r="A3" s="4324">
        <v>45602.333831018499</v>
      </c>
      <c r="B3" s="4322" t="s">
        <v>4045</v>
      </c>
      <c r="C3" s="4322" t="s">
        <v>4045</v>
      </c>
      <c r="D3" s="4322" t="s">
        <v>3998</v>
      </c>
      <c r="E3" s="4322" t="s">
        <v>4045</v>
      </c>
      <c r="F3" s="4322" t="s">
        <v>4045</v>
      </c>
      <c r="G3" s="4322">
        <v>-3</v>
      </c>
      <c r="H3" s="4322" t="s">
        <v>4193</v>
      </c>
      <c r="I3" s="4322" t="s">
        <v>4191</v>
      </c>
      <c r="J3" s="4322" t="s">
        <v>4192</v>
      </c>
      <c r="K3" s="4322" t="s">
        <v>4181</v>
      </c>
      <c r="L3" s="4322">
        <v>1</v>
      </c>
      <c r="M3" s="4322">
        <v>46.43</v>
      </c>
      <c r="N3" s="4322">
        <v>15</v>
      </c>
      <c r="O3" s="4322">
        <v>3231</v>
      </c>
    </row>
    <row r="4" spans="1:15" ht="14.25">
      <c r="A4" s="4324">
        <v>45602.333831018499</v>
      </c>
      <c r="B4" s="4322" t="s">
        <v>4045</v>
      </c>
      <c r="C4" s="4322" t="s">
        <v>4045</v>
      </c>
      <c r="D4" s="4322" t="s">
        <v>3998</v>
      </c>
      <c r="E4" s="4322" t="s">
        <v>4045</v>
      </c>
      <c r="F4" s="4322" t="s">
        <v>4045</v>
      </c>
      <c r="G4" s="4322">
        <v>-2</v>
      </c>
      <c r="H4" s="4322" t="s">
        <v>4194</v>
      </c>
      <c r="I4" s="4322" t="s">
        <v>4191</v>
      </c>
      <c r="J4" s="4322" t="s">
        <v>4192</v>
      </c>
      <c r="K4" s="4322" t="s">
        <v>4181</v>
      </c>
      <c r="L4" s="4322">
        <v>1</v>
      </c>
      <c r="M4" s="4322">
        <v>46.43</v>
      </c>
      <c r="N4" s="4322">
        <v>16</v>
      </c>
      <c r="O4" s="4322">
        <v>3446</v>
      </c>
    </row>
    <row r="5" spans="1:15" ht="14.25">
      <c r="A5" s="4324">
        <v>45602.333831018499</v>
      </c>
      <c r="B5" s="4322" t="s">
        <v>4045</v>
      </c>
      <c r="C5" s="4322" t="s">
        <v>4045</v>
      </c>
      <c r="D5" s="4322" t="s">
        <v>3998</v>
      </c>
      <c r="E5" s="4322" t="s">
        <v>4045</v>
      </c>
      <c r="F5" s="4322" t="s">
        <v>4045</v>
      </c>
      <c r="G5" s="4322">
        <v>-2</v>
      </c>
      <c r="H5" s="4322" t="s">
        <v>4195</v>
      </c>
      <c r="I5" s="4322" t="s">
        <v>4191</v>
      </c>
      <c r="J5" s="4322" t="s">
        <v>4192</v>
      </c>
      <c r="K5" s="4322" t="s">
        <v>4181</v>
      </c>
      <c r="L5" s="4322">
        <v>1</v>
      </c>
      <c r="M5" s="4322">
        <v>46.43</v>
      </c>
      <c r="N5" s="4322">
        <v>16</v>
      </c>
      <c r="O5" s="4322">
        <v>3446</v>
      </c>
    </row>
    <row r="6" spans="1:15" ht="14.25">
      <c r="A6" s="4324">
        <v>45602.333831018499</v>
      </c>
      <c r="B6" s="4322" t="s">
        <v>4045</v>
      </c>
      <c r="C6" s="4322" t="s">
        <v>4045</v>
      </c>
      <c r="D6" s="4322" t="s">
        <v>3998</v>
      </c>
      <c r="E6" s="4322" t="s">
        <v>4045</v>
      </c>
      <c r="F6" s="4322" t="s">
        <v>4045</v>
      </c>
      <c r="G6" s="4322">
        <v>-2</v>
      </c>
      <c r="H6" s="4322" t="s">
        <v>4196</v>
      </c>
      <c r="I6" s="4322" t="s">
        <v>4191</v>
      </c>
      <c r="J6" s="4322" t="s">
        <v>4192</v>
      </c>
      <c r="K6" s="4322" t="s">
        <v>4181</v>
      </c>
      <c r="L6" s="4322">
        <v>1</v>
      </c>
      <c r="M6" s="4322">
        <v>46.43</v>
      </c>
      <c r="N6" s="4322">
        <v>16</v>
      </c>
      <c r="O6" s="4322">
        <v>3446</v>
      </c>
    </row>
    <row r="7" spans="1:15" ht="14.25">
      <c r="A7" s="4324">
        <v>45602.333831018499</v>
      </c>
      <c r="B7" s="4322" t="s">
        <v>4045</v>
      </c>
      <c r="C7" s="4322" t="s">
        <v>4045</v>
      </c>
      <c r="D7" s="4322" t="s">
        <v>3998</v>
      </c>
      <c r="E7" s="4322" t="s">
        <v>4045</v>
      </c>
      <c r="F7" s="4322" t="s">
        <v>4045</v>
      </c>
      <c r="G7" s="4322">
        <v>7</v>
      </c>
      <c r="H7" s="4322">
        <v>702</v>
      </c>
      <c r="I7" s="4322" t="s">
        <v>4191</v>
      </c>
      <c r="J7" s="4322" t="s">
        <v>19</v>
      </c>
      <c r="K7" s="4322" t="s">
        <v>4181</v>
      </c>
      <c r="L7" s="4322">
        <v>1</v>
      </c>
      <c r="M7" s="4322">
        <v>869.47</v>
      </c>
      <c r="N7" s="4322">
        <v>4043.04</v>
      </c>
      <c r="O7" s="4322">
        <v>46500</v>
      </c>
    </row>
    <row r="8" spans="1:15" ht="14.25">
      <c r="A8" s="4324">
        <v>45602.333831018499</v>
      </c>
      <c r="B8" s="4322" t="s">
        <v>4045</v>
      </c>
      <c r="C8" s="4322" t="s">
        <v>4045</v>
      </c>
      <c r="D8" s="4322" t="s">
        <v>3998</v>
      </c>
      <c r="E8" s="4322" t="s">
        <v>4045</v>
      </c>
      <c r="F8" s="4322" t="s">
        <v>4045</v>
      </c>
      <c r="G8" s="4322">
        <v>-3</v>
      </c>
      <c r="H8" s="4322" t="s">
        <v>4197</v>
      </c>
      <c r="I8" s="4322" t="s">
        <v>4191</v>
      </c>
      <c r="J8" s="4322" t="s">
        <v>4192</v>
      </c>
      <c r="K8" s="4322" t="s">
        <v>4181</v>
      </c>
      <c r="L8" s="4322">
        <v>1</v>
      </c>
      <c r="M8" s="4322">
        <v>46.43</v>
      </c>
      <c r="N8" s="4322">
        <v>15</v>
      </c>
      <c r="O8" s="4322">
        <v>3231</v>
      </c>
    </row>
    <row r="9" spans="1:15" ht="14.25">
      <c r="A9" s="4324">
        <v>45602.333831018499</v>
      </c>
      <c r="B9" s="4322" t="s">
        <v>4045</v>
      </c>
      <c r="C9" s="4322" t="s">
        <v>4045</v>
      </c>
      <c r="D9" s="4322" t="s">
        <v>3998</v>
      </c>
      <c r="E9" s="4322" t="s">
        <v>4045</v>
      </c>
      <c r="F9" s="4322" t="s">
        <v>4045</v>
      </c>
      <c r="G9" s="4322">
        <v>-3</v>
      </c>
      <c r="H9" s="4322" t="s">
        <v>4198</v>
      </c>
      <c r="I9" s="4322" t="s">
        <v>4191</v>
      </c>
      <c r="J9" s="4322" t="s">
        <v>4192</v>
      </c>
      <c r="K9" s="4322" t="s">
        <v>4181</v>
      </c>
      <c r="L9" s="4322">
        <v>1</v>
      </c>
      <c r="M9" s="4322">
        <v>46.43</v>
      </c>
      <c r="N9" s="4322">
        <v>15</v>
      </c>
      <c r="O9" s="4322">
        <v>3231</v>
      </c>
    </row>
    <row r="10" spans="1:15" ht="14.25">
      <c r="A10" s="4324">
        <v>45602.333831018499</v>
      </c>
      <c r="B10" s="4322" t="s">
        <v>4045</v>
      </c>
      <c r="C10" s="4322" t="s">
        <v>4045</v>
      </c>
      <c r="D10" s="4322" t="s">
        <v>3998</v>
      </c>
      <c r="E10" s="4322" t="s">
        <v>4045</v>
      </c>
      <c r="F10" s="4322" t="s">
        <v>4045</v>
      </c>
      <c r="G10" s="4322">
        <v>5</v>
      </c>
      <c r="H10" s="4322">
        <v>502</v>
      </c>
      <c r="I10" s="4322" t="s">
        <v>4191</v>
      </c>
      <c r="J10" s="4322" t="s">
        <v>19</v>
      </c>
      <c r="K10" s="4322" t="s">
        <v>4181</v>
      </c>
      <c r="L10" s="4322">
        <v>1</v>
      </c>
      <c r="M10" s="4322">
        <v>869.47</v>
      </c>
      <c r="N10" s="4322">
        <v>4043.04</v>
      </c>
      <c r="O10" s="4322">
        <v>46500</v>
      </c>
    </row>
    <row r="11" spans="1:15" ht="14.25">
      <c r="A11" s="4324">
        <v>45602.333831018499</v>
      </c>
      <c r="B11" s="4322" t="s">
        <v>4045</v>
      </c>
      <c r="C11" s="4322" t="s">
        <v>4045</v>
      </c>
      <c r="D11" s="4322" t="s">
        <v>3998</v>
      </c>
      <c r="E11" s="4322" t="s">
        <v>4045</v>
      </c>
      <c r="F11" s="4322" t="s">
        <v>4045</v>
      </c>
      <c r="G11" s="4322">
        <v>-3</v>
      </c>
      <c r="H11" s="4322" t="s">
        <v>4199</v>
      </c>
      <c r="I11" s="4322" t="s">
        <v>4191</v>
      </c>
      <c r="J11" s="4322" t="s">
        <v>4192</v>
      </c>
      <c r="K11" s="4322" t="s">
        <v>4181</v>
      </c>
      <c r="L11" s="4322">
        <v>1</v>
      </c>
      <c r="M11" s="4322">
        <v>46.43</v>
      </c>
      <c r="N11" s="4322">
        <v>15</v>
      </c>
      <c r="O11" s="4322">
        <v>3231</v>
      </c>
    </row>
    <row r="12" spans="1:15" ht="14.25">
      <c r="A12" s="4324">
        <v>45602.333831018499</v>
      </c>
      <c r="B12" s="4322" t="s">
        <v>4045</v>
      </c>
      <c r="C12" s="4322" t="s">
        <v>4045</v>
      </c>
      <c r="D12" s="4322" t="s">
        <v>3998</v>
      </c>
      <c r="E12" s="4322" t="s">
        <v>4045</v>
      </c>
      <c r="F12" s="4322" t="s">
        <v>4045</v>
      </c>
      <c r="G12" s="4322">
        <v>-3</v>
      </c>
      <c r="H12" s="4322" t="s">
        <v>4200</v>
      </c>
      <c r="I12" s="4322" t="s">
        <v>4191</v>
      </c>
      <c r="J12" s="4322" t="s">
        <v>4192</v>
      </c>
      <c r="K12" s="4322" t="s">
        <v>4181</v>
      </c>
      <c r="L12" s="4322">
        <v>1</v>
      </c>
      <c r="M12" s="4322">
        <v>46.43</v>
      </c>
      <c r="N12" s="4322">
        <v>15</v>
      </c>
      <c r="O12" s="4322">
        <v>3231</v>
      </c>
    </row>
    <row r="13" spans="1:15" ht="14.25">
      <c r="A13" s="4324">
        <v>45602.333831018499</v>
      </c>
      <c r="B13" s="4322" t="s">
        <v>4045</v>
      </c>
      <c r="C13" s="4322" t="s">
        <v>4045</v>
      </c>
      <c r="D13" s="4322" t="s">
        <v>3998</v>
      </c>
      <c r="E13" s="4322" t="s">
        <v>4045</v>
      </c>
      <c r="F13" s="4322" t="s">
        <v>4045</v>
      </c>
      <c r="G13" s="4322">
        <v>11</v>
      </c>
      <c r="H13" s="4322">
        <v>1101</v>
      </c>
      <c r="I13" s="4322" t="s">
        <v>4191</v>
      </c>
      <c r="J13" s="4322" t="s">
        <v>19</v>
      </c>
      <c r="K13" s="4322" t="s">
        <v>4181</v>
      </c>
      <c r="L13" s="4322">
        <v>1</v>
      </c>
      <c r="M13" s="4322">
        <v>775.66</v>
      </c>
      <c r="N13" s="4322">
        <v>3606.82</v>
      </c>
      <c r="O13" s="4322">
        <v>46500</v>
      </c>
    </row>
    <row r="14" spans="1:15" ht="14.25">
      <c r="A14" s="4324">
        <v>45602.333831018499</v>
      </c>
      <c r="B14" s="4322" t="s">
        <v>4045</v>
      </c>
      <c r="C14" s="4322" t="s">
        <v>4045</v>
      </c>
      <c r="D14" s="4322" t="s">
        <v>3998</v>
      </c>
      <c r="E14" s="4322" t="s">
        <v>4045</v>
      </c>
      <c r="F14" s="4322" t="s">
        <v>4045</v>
      </c>
      <c r="G14" s="4322">
        <v>-3</v>
      </c>
      <c r="H14" s="4322" t="s">
        <v>4201</v>
      </c>
      <c r="I14" s="4322" t="s">
        <v>4191</v>
      </c>
      <c r="J14" s="4322" t="s">
        <v>4192</v>
      </c>
      <c r="K14" s="4322" t="s">
        <v>4181</v>
      </c>
      <c r="L14" s="4322">
        <v>1</v>
      </c>
      <c r="M14" s="4322">
        <v>46.43</v>
      </c>
      <c r="N14" s="4322">
        <v>15</v>
      </c>
      <c r="O14" s="4322">
        <v>3231</v>
      </c>
    </row>
    <row r="15" spans="1:15" ht="14.25">
      <c r="A15" s="4324">
        <v>45602.333831018499</v>
      </c>
      <c r="B15" s="4322" t="s">
        <v>4045</v>
      </c>
      <c r="C15" s="4322" t="s">
        <v>4045</v>
      </c>
      <c r="D15" s="4322" t="s">
        <v>3998</v>
      </c>
      <c r="E15" s="4322" t="s">
        <v>4045</v>
      </c>
      <c r="F15" s="4322" t="s">
        <v>4045</v>
      </c>
      <c r="G15" s="4322">
        <v>-3</v>
      </c>
      <c r="H15" s="4322" t="s">
        <v>4202</v>
      </c>
      <c r="I15" s="4322" t="s">
        <v>4191</v>
      </c>
      <c r="J15" s="4322" t="s">
        <v>4192</v>
      </c>
      <c r="K15" s="4322" t="s">
        <v>4181</v>
      </c>
      <c r="L15" s="4322">
        <v>1</v>
      </c>
      <c r="M15" s="4322">
        <v>46.43</v>
      </c>
      <c r="N15" s="4322">
        <v>15</v>
      </c>
      <c r="O15" s="4322">
        <v>3231</v>
      </c>
    </row>
    <row r="16" spans="1:15" ht="14.25">
      <c r="A16" s="4324">
        <v>45602.333831018499</v>
      </c>
      <c r="B16" s="4322" t="s">
        <v>4045</v>
      </c>
      <c r="C16" s="4322" t="s">
        <v>4045</v>
      </c>
      <c r="D16" s="4322" t="s">
        <v>3998</v>
      </c>
      <c r="E16" s="4322" t="s">
        <v>4045</v>
      </c>
      <c r="F16" s="4322" t="s">
        <v>4045</v>
      </c>
      <c r="G16" s="4322">
        <v>-2</v>
      </c>
      <c r="H16" s="4322" t="s">
        <v>4203</v>
      </c>
      <c r="I16" s="4322" t="s">
        <v>4191</v>
      </c>
      <c r="J16" s="4322" t="s">
        <v>4192</v>
      </c>
      <c r="K16" s="4322" t="s">
        <v>4181</v>
      </c>
      <c r="L16" s="4322">
        <v>1</v>
      </c>
      <c r="M16" s="4322">
        <v>46.43</v>
      </c>
      <c r="N16" s="4322">
        <v>16</v>
      </c>
      <c r="O16" s="4322">
        <v>3446</v>
      </c>
    </row>
    <row r="17" spans="1:15" ht="14.25">
      <c r="A17" s="4324">
        <v>45602.333831018499</v>
      </c>
      <c r="B17" s="4322" t="s">
        <v>4045</v>
      </c>
      <c r="C17" s="4322" t="s">
        <v>4045</v>
      </c>
      <c r="D17" s="4322" t="s">
        <v>3998</v>
      </c>
      <c r="E17" s="4322" t="s">
        <v>4045</v>
      </c>
      <c r="F17" s="4322" t="s">
        <v>4045</v>
      </c>
      <c r="G17" s="4322">
        <v>-3</v>
      </c>
      <c r="H17" s="4322" t="s">
        <v>4204</v>
      </c>
      <c r="I17" s="4322" t="s">
        <v>4191</v>
      </c>
      <c r="J17" s="4322" t="s">
        <v>4192</v>
      </c>
      <c r="K17" s="4322" t="s">
        <v>4181</v>
      </c>
      <c r="L17" s="4322">
        <v>1</v>
      </c>
      <c r="M17" s="4322">
        <v>46.43</v>
      </c>
      <c r="N17" s="4322">
        <v>15</v>
      </c>
      <c r="O17" s="4322">
        <v>3231</v>
      </c>
    </row>
    <row r="18" spans="1:15" ht="14.25">
      <c r="A18" s="4324">
        <v>45602.333831018499</v>
      </c>
      <c r="B18" s="4322" t="s">
        <v>4045</v>
      </c>
      <c r="C18" s="4322" t="s">
        <v>4045</v>
      </c>
      <c r="D18" s="4322" t="s">
        <v>3998</v>
      </c>
      <c r="E18" s="4322" t="s">
        <v>4045</v>
      </c>
      <c r="F18" s="4322" t="s">
        <v>4045</v>
      </c>
      <c r="G18" s="4322">
        <v>7</v>
      </c>
      <c r="H18" s="4322">
        <v>701</v>
      </c>
      <c r="I18" s="4322" t="s">
        <v>4191</v>
      </c>
      <c r="J18" s="4322" t="s">
        <v>19</v>
      </c>
      <c r="K18" s="4322" t="s">
        <v>4181</v>
      </c>
      <c r="L18" s="4322">
        <v>1</v>
      </c>
      <c r="M18" s="4322">
        <v>775.66</v>
      </c>
      <c r="N18" s="4322">
        <v>3606.82</v>
      </c>
      <c r="O18" s="4322">
        <v>46500</v>
      </c>
    </row>
    <row r="19" spans="1:15" ht="14.25">
      <c r="A19" s="4324">
        <v>45602.333831018499</v>
      </c>
      <c r="B19" s="4322" t="s">
        <v>4045</v>
      </c>
      <c r="C19" s="4322" t="s">
        <v>4045</v>
      </c>
      <c r="D19" s="4322" t="s">
        <v>3998</v>
      </c>
      <c r="E19" s="4322" t="s">
        <v>4045</v>
      </c>
      <c r="F19" s="4322" t="s">
        <v>4045</v>
      </c>
      <c r="G19" s="4322">
        <v>-3</v>
      </c>
      <c r="H19" s="4322" t="s">
        <v>4205</v>
      </c>
      <c r="I19" s="4322" t="s">
        <v>4191</v>
      </c>
      <c r="J19" s="4322" t="s">
        <v>4192</v>
      </c>
      <c r="K19" s="4322" t="s">
        <v>4181</v>
      </c>
      <c r="L19" s="4322">
        <v>1</v>
      </c>
      <c r="M19" s="4322">
        <v>46.43</v>
      </c>
      <c r="N19" s="4322">
        <v>15</v>
      </c>
      <c r="O19" s="4322">
        <v>3231</v>
      </c>
    </row>
    <row r="20" spans="1:15" ht="14.25">
      <c r="A20" s="4324">
        <v>45602.333831018499</v>
      </c>
      <c r="B20" s="4322" t="s">
        <v>4045</v>
      </c>
      <c r="C20" s="4322" t="s">
        <v>4045</v>
      </c>
      <c r="D20" s="4322" t="s">
        <v>3998</v>
      </c>
      <c r="E20" s="4322" t="s">
        <v>4045</v>
      </c>
      <c r="F20" s="4322" t="s">
        <v>4045</v>
      </c>
      <c r="G20" s="4322">
        <v>-2</v>
      </c>
      <c r="H20" s="4322" t="s">
        <v>4206</v>
      </c>
      <c r="I20" s="4322" t="s">
        <v>4191</v>
      </c>
      <c r="J20" s="4322" t="s">
        <v>4192</v>
      </c>
      <c r="K20" s="4322" t="s">
        <v>4181</v>
      </c>
      <c r="L20" s="4322">
        <v>1</v>
      </c>
      <c r="M20" s="4322">
        <v>46.43</v>
      </c>
      <c r="N20" s="4322">
        <v>16</v>
      </c>
      <c r="O20" s="4322">
        <v>3446</v>
      </c>
    </row>
    <row r="21" spans="1:15" ht="14.25">
      <c r="A21" s="4324">
        <v>45602.333831018499</v>
      </c>
      <c r="B21" s="4322" t="s">
        <v>4045</v>
      </c>
      <c r="C21" s="4322" t="s">
        <v>4045</v>
      </c>
      <c r="D21" s="4322" t="s">
        <v>3998</v>
      </c>
      <c r="E21" s="4322" t="s">
        <v>4045</v>
      </c>
      <c r="F21" s="4322" t="s">
        <v>4045</v>
      </c>
      <c r="G21" s="4322">
        <v>6</v>
      </c>
      <c r="H21" s="4322">
        <v>602</v>
      </c>
      <c r="I21" s="4322" t="s">
        <v>4191</v>
      </c>
      <c r="J21" s="4322" t="s">
        <v>19</v>
      </c>
      <c r="K21" s="4322" t="s">
        <v>4181</v>
      </c>
      <c r="L21" s="4322">
        <v>1</v>
      </c>
      <c r="M21" s="4322">
        <v>869.47</v>
      </c>
      <c r="N21" s="4322">
        <v>4043.04</v>
      </c>
      <c r="O21" s="4322">
        <v>46500</v>
      </c>
    </row>
    <row r="22" spans="1:15" ht="14.25">
      <c r="A22" s="4324">
        <v>45602.333831018499</v>
      </c>
      <c r="B22" s="4322" t="s">
        <v>4045</v>
      </c>
      <c r="C22" s="4322" t="s">
        <v>4045</v>
      </c>
      <c r="D22" s="4322" t="s">
        <v>3998</v>
      </c>
      <c r="E22" s="4322" t="s">
        <v>4045</v>
      </c>
      <c r="F22" s="4322" t="s">
        <v>4045</v>
      </c>
      <c r="G22" s="4322">
        <v>-3</v>
      </c>
      <c r="H22" s="4322" t="s">
        <v>4207</v>
      </c>
      <c r="I22" s="4322" t="s">
        <v>4191</v>
      </c>
      <c r="J22" s="4322" t="s">
        <v>4192</v>
      </c>
      <c r="K22" s="4322" t="s">
        <v>4181</v>
      </c>
      <c r="L22" s="4322">
        <v>1</v>
      </c>
      <c r="M22" s="4322">
        <v>46.43</v>
      </c>
      <c r="N22" s="4322">
        <v>15</v>
      </c>
      <c r="O22" s="4322">
        <v>3231</v>
      </c>
    </row>
    <row r="23" spans="1:15" ht="14.25">
      <c r="A23" s="4324">
        <v>45602.333831018499</v>
      </c>
      <c r="B23" s="4322" t="s">
        <v>4045</v>
      </c>
      <c r="C23" s="4322" t="s">
        <v>4045</v>
      </c>
      <c r="D23" s="4322" t="s">
        <v>3998</v>
      </c>
      <c r="E23" s="4322" t="s">
        <v>4045</v>
      </c>
      <c r="F23" s="4322" t="s">
        <v>4045</v>
      </c>
      <c r="G23" s="4322">
        <v>-3</v>
      </c>
      <c r="H23" s="4322" t="s">
        <v>4208</v>
      </c>
      <c r="I23" s="4322" t="s">
        <v>4191</v>
      </c>
      <c r="J23" s="4322" t="s">
        <v>4192</v>
      </c>
      <c r="K23" s="4322" t="s">
        <v>4181</v>
      </c>
      <c r="L23" s="4322">
        <v>1</v>
      </c>
      <c r="M23" s="4322">
        <v>46.43</v>
      </c>
      <c r="N23" s="4322">
        <v>15</v>
      </c>
      <c r="O23" s="4322">
        <v>3231</v>
      </c>
    </row>
    <row r="24" spans="1:15" ht="14.25">
      <c r="A24" s="4324">
        <v>45602.333831018499</v>
      </c>
      <c r="B24" s="4322" t="s">
        <v>4045</v>
      </c>
      <c r="C24" s="4322" t="s">
        <v>4045</v>
      </c>
      <c r="D24" s="4322" t="s">
        <v>3998</v>
      </c>
      <c r="E24" s="4322" t="s">
        <v>4045</v>
      </c>
      <c r="F24" s="4322" t="s">
        <v>4045</v>
      </c>
      <c r="G24" s="4322">
        <v>-2</v>
      </c>
      <c r="H24" s="4322" t="s">
        <v>4209</v>
      </c>
      <c r="I24" s="4322" t="s">
        <v>4191</v>
      </c>
      <c r="J24" s="4322" t="s">
        <v>4192</v>
      </c>
      <c r="K24" s="4322" t="s">
        <v>4181</v>
      </c>
      <c r="L24" s="4322">
        <v>1</v>
      </c>
      <c r="M24" s="4322">
        <v>46.43</v>
      </c>
      <c r="N24" s="4322">
        <v>16</v>
      </c>
      <c r="O24" s="4322">
        <v>3446</v>
      </c>
    </row>
    <row r="25" spans="1:15" ht="14.25">
      <c r="A25" s="4324">
        <v>45602.333831018499</v>
      </c>
      <c r="B25" s="4322" t="s">
        <v>4045</v>
      </c>
      <c r="C25" s="4322" t="s">
        <v>4045</v>
      </c>
      <c r="D25" s="4322" t="s">
        <v>3998</v>
      </c>
      <c r="E25" s="4322" t="s">
        <v>4045</v>
      </c>
      <c r="F25" s="4322" t="s">
        <v>4045</v>
      </c>
      <c r="G25" s="4322">
        <v>-2</v>
      </c>
      <c r="H25" s="4322" t="s">
        <v>4210</v>
      </c>
      <c r="I25" s="4322" t="s">
        <v>4191</v>
      </c>
      <c r="J25" s="4322" t="s">
        <v>4192</v>
      </c>
      <c r="K25" s="4322" t="s">
        <v>4181</v>
      </c>
      <c r="L25" s="4322">
        <v>1</v>
      </c>
      <c r="M25" s="4322">
        <v>43.73</v>
      </c>
      <c r="N25" s="4322">
        <v>16</v>
      </c>
      <c r="O25" s="4322">
        <v>3659</v>
      </c>
    </row>
    <row r="26" spans="1:15" ht="14.25">
      <c r="A26" s="4324">
        <v>45602.333831018499</v>
      </c>
      <c r="B26" s="4322" t="s">
        <v>4045</v>
      </c>
      <c r="C26" s="4322" t="s">
        <v>4045</v>
      </c>
      <c r="D26" s="4322" t="s">
        <v>3998</v>
      </c>
      <c r="E26" s="4322" t="s">
        <v>4045</v>
      </c>
      <c r="F26" s="4322" t="s">
        <v>4045</v>
      </c>
      <c r="G26" s="4322">
        <v>8</v>
      </c>
      <c r="H26" s="4322">
        <v>802</v>
      </c>
      <c r="I26" s="4322" t="s">
        <v>4191</v>
      </c>
      <c r="J26" s="4322" t="s">
        <v>19</v>
      </c>
      <c r="K26" s="4322" t="s">
        <v>4181</v>
      </c>
      <c r="L26" s="4322">
        <v>1</v>
      </c>
      <c r="M26" s="4322">
        <v>869.47</v>
      </c>
      <c r="N26" s="4322">
        <v>4043.04</v>
      </c>
      <c r="O26" s="4322">
        <v>46500</v>
      </c>
    </row>
    <row r="27" spans="1:15" ht="14.25">
      <c r="A27" s="4324">
        <v>45602.333831018499</v>
      </c>
      <c r="B27" s="4322" t="s">
        <v>4045</v>
      </c>
      <c r="C27" s="4322" t="s">
        <v>4045</v>
      </c>
      <c r="D27" s="4322" t="s">
        <v>3998</v>
      </c>
      <c r="E27" s="4322" t="s">
        <v>4045</v>
      </c>
      <c r="F27" s="4322" t="s">
        <v>4045</v>
      </c>
      <c r="G27" s="4322">
        <v>9</v>
      </c>
      <c r="H27" s="4322">
        <v>902</v>
      </c>
      <c r="I27" s="4322" t="s">
        <v>4191</v>
      </c>
      <c r="J27" s="4322" t="s">
        <v>19</v>
      </c>
      <c r="K27" s="4322" t="s">
        <v>4181</v>
      </c>
      <c r="L27" s="4322">
        <v>1</v>
      </c>
      <c r="M27" s="4322">
        <v>869.47</v>
      </c>
      <c r="N27" s="4322">
        <v>4043.04</v>
      </c>
      <c r="O27" s="4322">
        <v>46500</v>
      </c>
    </row>
    <row r="28" spans="1:15" ht="14.25">
      <c r="A28" s="4324">
        <v>45602.333831018499</v>
      </c>
      <c r="B28" s="4322" t="s">
        <v>4045</v>
      </c>
      <c r="C28" s="4322" t="s">
        <v>4045</v>
      </c>
      <c r="D28" s="4322" t="s">
        <v>3998</v>
      </c>
      <c r="E28" s="4322" t="s">
        <v>4045</v>
      </c>
      <c r="F28" s="4322" t="s">
        <v>4045</v>
      </c>
      <c r="G28" s="4322">
        <v>5</v>
      </c>
      <c r="H28" s="4322">
        <v>501</v>
      </c>
      <c r="I28" s="4322" t="s">
        <v>4191</v>
      </c>
      <c r="J28" s="4322" t="s">
        <v>19</v>
      </c>
      <c r="K28" s="4322" t="s">
        <v>4181</v>
      </c>
      <c r="L28" s="4322">
        <v>1</v>
      </c>
      <c r="M28" s="4322">
        <v>775.66</v>
      </c>
      <c r="N28" s="4322">
        <v>3606.82</v>
      </c>
      <c r="O28" s="4322">
        <v>46500</v>
      </c>
    </row>
    <row r="29" spans="1:15" ht="14.25">
      <c r="A29" s="4324">
        <v>45602.333831018499</v>
      </c>
      <c r="B29" s="4322" t="s">
        <v>4045</v>
      </c>
      <c r="C29" s="4322" t="s">
        <v>4045</v>
      </c>
      <c r="D29" s="4322" t="s">
        <v>3998</v>
      </c>
      <c r="E29" s="4322" t="s">
        <v>4045</v>
      </c>
      <c r="F29" s="4322" t="s">
        <v>4045</v>
      </c>
      <c r="G29" s="4322">
        <v>-3</v>
      </c>
      <c r="H29" s="4322" t="s">
        <v>4211</v>
      </c>
      <c r="I29" s="4322" t="s">
        <v>4191</v>
      </c>
      <c r="J29" s="4322" t="s">
        <v>4192</v>
      </c>
      <c r="K29" s="4322" t="s">
        <v>4181</v>
      </c>
      <c r="L29" s="4322">
        <v>1</v>
      </c>
      <c r="M29" s="4322">
        <v>46.43</v>
      </c>
      <c r="N29" s="4322">
        <v>15</v>
      </c>
      <c r="O29" s="4322">
        <v>3231</v>
      </c>
    </row>
    <row r="30" spans="1:15" ht="14.25">
      <c r="A30" s="4324">
        <v>45602.333831018499</v>
      </c>
      <c r="B30" s="4322" t="s">
        <v>4045</v>
      </c>
      <c r="C30" s="4322" t="s">
        <v>4045</v>
      </c>
      <c r="D30" s="4322" t="s">
        <v>3998</v>
      </c>
      <c r="E30" s="4322" t="s">
        <v>4045</v>
      </c>
      <c r="F30" s="4322" t="s">
        <v>4045</v>
      </c>
      <c r="G30" s="4322">
        <v>-2</v>
      </c>
      <c r="H30" s="4322" t="s">
        <v>4212</v>
      </c>
      <c r="I30" s="4322" t="s">
        <v>4191</v>
      </c>
      <c r="J30" s="4322" t="s">
        <v>4192</v>
      </c>
      <c r="K30" s="4322" t="s">
        <v>4181</v>
      </c>
      <c r="L30" s="4322">
        <v>1</v>
      </c>
      <c r="M30" s="4322">
        <v>46.43</v>
      </c>
      <c r="N30" s="4322">
        <v>16</v>
      </c>
      <c r="O30" s="4322">
        <v>3446</v>
      </c>
    </row>
    <row r="31" spans="1:15" ht="14.25">
      <c r="A31" s="4324">
        <v>45602.333831018499</v>
      </c>
      <c r="B31" s="4322" t="s">
        <v>4045</v>
      </c>
      <c r="C31" s="4322" t="s">
        <v>4045</v>
      </c>
      <c r="D31" s="4322" t="s">
        <v>3998</v>
      </c>
      <c r="E31" s="4322" t="s">
        <v>4045</v>
      </c>
      <c r="F31" s="4322" t="s">
        <v>4045</v>
      </c>
      <c r="G31" s="4322">
        <v>-3</v>
      </c>
      <c r="H31" s="4322" t="s">
        <v>4213</v>
      </c>
      <c r="I31" s="4322" t="s">
        <v>4191</v>
      </c>
      <c r="J31" s="4322" t="s">
        <v>4192</v>
      </c>
      <c r="K31" s="4322" t="s">
        <v>4181</v>
      </c>
      <c r="L31" s="4322">
        <v>1</v>
      </c>
      <c r="M31" s="4322">
        <v>46.43</v>
      </c>
      <c r="N31" s="4322">
        <v>15</v>
      </c>
      <c r="O31" s="4322">
        <v>3231</v>
      </c>
    </row>
    <row r="32" spans="1:15" ht="14.25">
      <c r="A32" s="4324">
        <v>45602.333831018499</v>
      </c>
      <c r="B32" s="4322" t="s">
        <v>4045</v>
      </c>
      <c r="C32" s="4322" t="s">
        <v>4045</v>
      </c>
      <c r="D32" s="4322" t="s">
        <v>3998</v>
      </c>
      <c r="E32" s="4322" t="s">
        <v>4045</v>
      </c>
      <c r="F32" s="4322" t="s">
        <v>4045</v>
      </c>
      <c r="G32" s="4322">
        <v>-3</v>
      </c>
      <c r="H32" s="4322" t="s">
        <v>4214</v>
      </c>
      <c r="I32" s="4322" t="s">
        <v>4191</v>
      </c>
      <c r="J32" s="4322" t="s">
        <v>4192</v>
      </c>
      <c r="K32" s="4322" t="s">
        <v>4181</v>
      </c>
      <c r="L32" s="4322">
        <v>1</v>
      </c>
      <c r="M32" s="4322">
        <v>46.43</v>
      </c>
      <c r="N32" s="4322">
        <v>15</v>
      </c>
      <c r="O32" s="4322">
        <v>3231</v>
      </c>
    </row>
    <row r="33" spans="1:15" ht="14.25">
      <c r="A33" s="4324">
        <v>45602.333831018499</v>
      </c>
      <c r="B33" s="4322" t="s">
        <v>4045</v>
      </c>
      <c r="C33" s="4322" t="s">
        <v>4045</v>
      </c>
      <c r="D33" s="4322" t="s">
        <v>3998</v>
      </c>
      <c r="E33" s="4322" t="s">
        <v>4045</v>
      </c>
      <c r="F33" s="4322" t="s">
        <v>4045</v>
      </c>
      <c r="G33" s="4322">
        <v>-3</v>
      </c>
      <c r="H33" s="4322" t="s">
        <v>4215</v>
      </c>
      <c r="I33" s="4322" t="s">
        <v>4191</v>
      </c>
      <c r="J33" s="4322" t="s">
        <v>4192</v>
      </c>
      <c r="K33" s="4322" t="s">
        <v>4181</v>
      </c>
      <c r="L33" s="4322">
        <v>1</v>
      </c>
      <c r="M33" s="4322">
        <v>46.43</v>
      </c>
      <c r="N33" s="4322">
        <v>15</v>
      </c>
      <c r="O33" s="4322">
        <v>3231</v>
      </c>
    </row>
    <row r="34" spans="1:15" ht="14.25">
      <c r="A34" s="4324">
        <v>45602.333831018499</v>
      </c>
      <c r="B34" s="4322" t="s">
        <v>4045</v>
      </c>
      <c r="C34" s="4322" t="s">
        <v>4045</v>
      </c>
      <c r="D34" s="4322" t="s">
        <v>3998</v>
      </c>
      <c r="E34" s="4322" t="s">
        <v>4045</v>
      </c>
      <c r="F34" s="4322" t="s">
        <v>4045</v>
      </c>
      <c r="G34" s="4322">
        <v>-3</v>
      </c>
      <c r="H34" s="4322" t="s">
        <v>4216</v>
      </c>
      <c r="I34" s="4322" t="s">
        <v>4191</v>
      </c>
      <c r="J34" s="4322" t="s">
        <v>4192</v>
      </c>
      <c r="K34" s="4322" t="s">
        <v>4181</v>
      </c>
      <c r="L34" s="4322">
        <v>1</v>
      </c>
      <c r="M34" s="4322">
        <v>46.43</v>
      </c>
      <c r="N34" s="4322">
        <v>15</v>
      </c>
      <c r="O34" s="4322">
        <v>3231</v>
      </c>
    </row>
    <row r="35" spans="1:15" ht="14.25">
      <c r="A35" s="4324">
        <v>45602.333831018499</v>
      </c>
      <c r="B35" s="4322" t="s">
        <v>4045</v>
      </c>
      <c r="C35" s="4322" t="s">
        <v>4045</v>
      </c>
      <c r="D35" s="4322" t="s">
        <v>3998</v>
      </c>
      <c r="E35" s="4322" t="s">
        <v>4045</v>
      </c>
      <c r="F35" s="4322" t="s">
        <v>4045</v>
      </c>
      <c r="G35" s="4322">
        <v>-3</v>
      </c>
      <c r="H35" s="4322" t="s">
        <v>4217</v>
      </c>
      <c r="I35" s="4322" t="s">
        <v>4191</v>
      </c>
      <c r="J35" s="4322" t="s">
        <v>4192</v>
      </c>
      <c r="K35" s="4322" t="s">
        <v>4181</v>
      </c>
      <c r="L35" s="4322">
        <v>1</v>
      </c>
      <c r="M35" s="4322">
        <v>46.43</v>
      </c>
      <c r="N35" s="4322">
        <v>15</v>
      </c>
      <c r="O35" s="4322">
        <v>3231</v>
      </c>
    </row>
    <row r="36" spans="1:15" ht="14.25">
      <c r="A36" s="4324">
        <v>45602.333831018499</v>
      </c>
      <c r="B36" s="4322" t="s">
        <v>4045</v>
      </c>
      <c r="C36" s="4322" t="s">
        <v>4045</v>
      </c>
      <c r="D36" s="4322" t="s">
        <v>3998</v>
      </c>
      <c r="E36" s="4322" t="s">
        <v>4045</v>
      </c>
      <c r="F36" s="4322" t="s">
        <v>4045</v>
      </c>
      <c r="G36" s="4322">
        <v>9</v>
      </c>
      <c r="H36" s="4322">
        <v>901</v>
      </c>
      <c r="I36" s="4322" t="s">
        <v>4191</v>
      </c>
      <c r="J36" s="4322" t="s">
        <v>19</v>
      </c>
      <c r="K36" s="4322" t="s">
        <v>4181</v>
      </c>
      <c r="L36" s="4322">
        <v>1</v>
      </c>
      <c r="M36" s="4322">
        <v>775.66</v>
      </c>
      <c r="N36" s="4322">
        <v>3606.82</v>
      </c>
      <c r="O36" s="4322">
        <v>46500</v>
      </c>
    </row>
    <row r="37" spans="1:15" ht="14.25">
      <c r="A37" s="4324">
        <v>45602.333831018499</v>
      </c>
      <c r="B37" s="4322" t="s">
        <v>4045</v>
      </c>
      <c r="C37" s="4322" t="s">
        <v>4045</v>
      </c>
      <c r="D37" s="4322" t="s">
        <v>3998</v>
      </c>
      <c r="E37" s="4322" t="s">
        <v>4045</v>
      </c>
      <c r="F37" s="4322" t="s">
        <v>4045</v>
      </c>
      <c r="G37" s="4322">
        <v>-2</v>
      </c>
      <c r="H37" s="4322" t="s">
        <v>4218</v>
      </c>
      <c r="I37" s="4322" t="s">
        <v>4191</v>
      </c>
      <c r="J37" s="4322" t="s">
        <v>4192</v>
      </c>
      <c r="K37" s="4322" t="s">
        <v>4181</v>
      </c>
      <c r="L37" s="4322">
        <v>1</v>
      </c>
      <c r="M37" s="4322">
        <v>46.43</v>
      </c>
      <c r="N37" s="4322">
        <v>16</v>
      </c>
      <c r="O37" s="4322">
        <v>3446</v>
      </c>
    </row>
    <row r="38" spans="1:15" ht="14.25">
      <c r="A38" s="4324">
        <v>45602.333831018499</v>
      </c>
      <c r="B38" s="4322" t="s">
        <v>4045</v>
      </c>
      <c r="C38" s="4322" t="s">
        <v>4045</v>
      </c>
      <c r="D38" s="4322" t="s">
        <v>3998</v>
      </c>
      <c r="E38" s="4322" t="s">
        <v>4045</v>
      </c>
      <c r="F38" s="4322" t="s">
        <v>4045</v>
      </c>
      <c r="G38" s="4322">
        <v>-2</v>
      </c>
      <c r="H38" s="4322" t="s">
        <v>4219</v>
      </c>
      <c r="I38" s="4322" t="s">
        <v>4191</v>
      </c>
      <c r="J38" s="4322" t="s">
        <v>4192</v>
      </c>
      <c r="K38" s="4322" t="s">
        <v>4181</v>
      </c>
      <c r="L38" s="4322">
        <v>1</v>
      </c>
      <c r="M38" s="4322">
        <v>46.43</v>
      </c>
      <c r="N38" s="4322">
        <v>16</v>
      </c>
      <c r="O38" s="4322">
        <v>3446</v>
      </c>
    </row>
    <row r="39" spans="1:15" ht="14.25">
      <c r="A39" s="4324">
        <v>45602.333831018499</v>
      </c>
      <c r="B39" s="4322" t="s">
        <v>4045</v>
      </c>
      <c r="C39" s="4322" t="s">
        <v>4045</v>
      </c>
      <c r="D39" s="4322" t="s">
        <v>3998</v>
      </c>
      <c r="E39" s="4322" t="s">
        <v>4045</v>
      </c>
      <c r="F39" s="4322" t="s">
        <v>4045</v>
      </c>
      <c r="G39" s="4322">
        <v>-3</v>
      </c>
      <c r="H39" s="4322" t="s">
        <v>4220</v>
      </c>
      <c r="I39" s="4322" t="s">
        <v>4191</v>
      </c>
      <c r="J39" s="4322" t="s">
        <v>4192</v>
      </c>
      <c r="K39" s="4322" t="s">
        <v>4181</v>
      </c>
      <c r="L39" s="4322">
        <v>1</v>
      </c>
      <c r="M39" s="4322">
        <v>46.43</v>
      </c>
      <c r="N39" s="4322">
        <v>15</v>
      </c>
      <c r="O39" s="4322">
        <v>3231</v>
      </c>
    </row>
    <row r="40" spans="1:15" ht="14.25">
      <c r="A40" s="4324">
        <v>45602.333831018499</v>
      </c>
      <c r="B40" s="4322" t="s">
        <v>4045</v>
      </c>
      <c r="C40" s="4322" t="s">
        <v>4045</v>
      </c>
      <c r="D40" s="4322" t="s">
        <v>3998</v>
      </c>
      <c r="E40" s="4322" t="s">
        <v>4045</v>
      </c>
      <c r="F40" s="4322" t="s">
        <v>4045</v>
      </c>
      <c r="G40" s="4322">
        <v>-3</v>
      </c>
      <c r="H40" s="4322" t="s">
        <v>4221</v>
      </c>
      <c r="I40" s="4322" t="s">
        <v>4191</v>
      </c>
      <c r="J40" s="4322" t="s">
        <v>4192</v>
      </c>
      <c r="K40" s="4322" t="s">
        <v>4181</v>
      </c>
      <c r="L40" s="4322">
        <v>1</v>
      </c>
      <c r="M40" s="4322">
        <v>46.43</v>
      </c>
      <c r="N40" s="4322">
        <v>15</v>
      </c>
      <c r="O40" s="4322">
        <v>3231</v>
      </c>
    </row>
    <row r="41" spans="1:15" ht="14.25">
      <c r="A41" s="4324">
        <v>45602.333831018499</v>
      </c>
      <c r="B41" s="4322" t="s">
        <v>4045</v>
      </c>
      <c r="C41" s="4322" t="s">
        <v>4045</v>
      </c>
      <c r="D41" s="4322" t="s">
        <v>3998</v>
      </c>
      <c r="E41" s="4322" t="s">
        <v>4045</v>
      </c>
      <c r="F41" s="4322" t="s">
        <v>4045</v>
      </c>
      <c r="G41" s="4322">
        <v>-3</v>
      </c>
      <c r="H41" s="4322" t="s">
        <v>4222</v>
      </c>
      <c r="I41" s="4322" t="s">
        <v>4191</v>
      </c>
      <c r="J41" s="4322" t="s">
        <v>4192</v>
      </c>
      <c r="K41" s="4322" t="s">
        <v>4181</v>
      </c>
      <c r="L41" s="4322">
        <v>1</v>
      </c>
      <c r="M41" s="4322">
        <v>46.43</v>
      </c>
      <c r="N41" s="4322">
        <v>16</v>
      </c>
      <c r="O41" s="4322">
        <v>3446</v>
      </c>
    </row>
    <row r="42" spans="1:15" ht="14.25">
      <c r="A42" s="4324">
        <v>45602.333831018499</v>
      </c>
      <c r="B42" s="4322" t="s">
        <v>4045</v>
      </c>
      <c r="C42" s="4322" t="s">
        <v>4045</v>
      </c>
      <c r="D42" s="4322" t="s">
        <v>3998</v>
      </c>
      <c r="E42" s="4322" t="s">
        <v>4045</v>
      </c>
      <c r="F42" s="4322" t="s">
        <v>4045</v>
      </c>
      <c r="G42" s="4322">
        <v>-2</v>
      </c>
      <c r="H42" s="4322" t="s">
        <v>4223</v>
      </c>
      <c r="I42" s="4322" t="s">
        <v>4191</v>
      </c>
      <c r="J42" s="4322" t="s">
        <v>4192</v>
      </c>
      <c r="K42" s="4322" t="s">
        <v>4181</v>
      </c>
      <c r="L42" s="4322">
        <v>1</v>
      </c>
      <c r="M42" s="4322">
        <v>46.43</v>
      </c>
      <c r="N42" s="4322">
        <v>16</v>
      </c>
      <c r="O42" s="4322">
        <v>3446</v>
      </c>
    </row>
    <row r="43" spans="1:15" ht="14.25">
      <c r="A43" s="4324">
        <v>45602.333831018499</v>
      </c>
      <c r="B43" s="4322" t="s">
        <v>4045</v>
      </c>
      <c r="C43" s="4322" t="s">
        <v>4045</v>
      </c>
      <c r="D43" s="4322" t="s">
        <v>3998</v>
      </c>
      <c r="E43" s="4322" t="s">
        <v>4045</v>
      </c>
      <c r="F43" s="4322" t="s">
        <v>4045</v>
      </c>
      <c r="G43" s="4322">
        <v>3</v>
      </c>
      <c r="H43" s="4322">
        <v>302</v>
      </c>
      <c r="I43" s="4322" t="s">
        <v>4191</v>
      </c>
      <c r="J43" s="4322" t="s">
        <v>19</v>
      </c>
      <c r="K43" s="4322" t="s">
        <v>4181</v>
      </c>
      <c r="L43" s="4322">
        <v>1</v>
      </c>
      <c r="M43" s="4322">
        <v>869.47</v>
      </c>
      <c r="N43" s="4322">
        <v>4043.04</v>
      </c>
      <c r="O43" s="4322">
        <v>46500</v>
      </c>
    </row>
    <row r="44" spans="1:15" ht="14.25">
      <c r="A44" s="4324">
        <v>45602.333831018499</v>
      </c>
      <c r="B44" s="4322" t="s">
        <v>4045</v>
      </c>
      <c r="C44" s="4322" t="s">
        <v>4045</v>
      </c>
      <c r="D44" s="4322" t="s">
        <v>3998</v>
      </c>
      <c r="E44" s="4322" t="s">
        <v>4045</v>
      </c>
      <c r="F44" s="4322" t="s">
        <v>4045</v>
      </c>
      <c r="G44" s="4322">
        <v>-1</v>
      </c>
      <c r="H44" s="4322">
        <v>-102</v>
      </c>
      <c r="I44" s="4322" t="s">
        <v>4191</v>
      </c>
      <c r="J44" s="4322" t="s">
        <v>660</v>
      </c>
      <c r="K44" s="4322" t="s">
        <v>4181</v>
      </c>
      <c r="L44" s="4322">
        <v>1</v>
      </c>
      <c r="M44" s="4322">
        <v>22.23</v>
      </c>
      <c r="N44" s="4322">
        <v>33.35</v>
      </c>
      <c r="O44" s="4322">
        <v>15000</v>
      </c>
    </row>
    <row r="45" spans="1:15" ht="14.25">
      <c r="A45" s="4324">
        <v>45602.333831018499</v>
      </c>
      <c r="B45" s="4322" t="s">
        <v>4045</v>
      </c>
      <c r="C45" s="4322" t="s">
        <v>4045</v>
      </c>
      <c r="D45" s="4322" t="s">
        <v>3998</v>
      </c>
      <c r="E45" s="4322" t="s">
        <v>4045</v>
      </c>
      <c r="F45" s="4322" t="s">
        <v>4045</v>
      </c>
      <c r="G45" s="4322">
        <v>-3</v>
      </c>
      <c r="H45" s="4322" t="s">
        <v>4224</v>
      </c>
      <c r="I45" s="4322" t="s">
        <v>4191</v>
      </c>
      <c r="J45" s="4322" t="s">
        <v>4192</v>
      </c>
      <c r="K45" s="4322" t="s">
        <v>4181</v>
      </c>
      <c r="L45" s="4322">
        <v>1</v>
      </c>
      <c r="M45" s="4322">
        <v>46.43</v>
      </c>
      <c r="N45" s="4322">
        <v>15</v>
      </c>
      <c r="O45" s="4322">
        <v>3231</v>
      </c>
    </row>
    <row r="46" spans="1:15" ht="14.25">
      <c r="A46" s="4324">
        <v>45602.333831018499</v>
      </c>
      <c r="B46" s="4322" t="s">
        <v>4045</v>
      </c>
      <c r="C46" s="4322" t="s">
        <v>4045</v>
      </c>
      <c r="D46" s="4322" t="s">
        <v>3998</v>
      </c>
      <c r="E46" s="4322" t="s">
        <v>4045</v>
      </c>
      <c r="F46" s="4322" t="s">
        <v>4045</v>
      </c>
      <c r="G46" s="4322">
        <v>-3</v>
      </c>
      <c r="H46" s="4322" t="s">
        <v>4225</v>
      </c>
      <c r="I46" s="4322" t="s">
        <v>4191</v>
      </c>
      <c r="J46" s="4322" t="s">
        <v>4192</v>
      </c>
      <c r="K46" s="4322" t="s">
        <v>4181</v>
      </c>
      <c r="L46" s="4322">
        <v>1</v>
      </c>
      <c r="M46" s="4322">
        <v>46.43</v>
      </c>
      <c r="N46" s="4322">
        <v>15</v>
      </c>
      <c r="O46" s="4322">
        <v>3231</v>
      </c>
    </row>
    <row r="47" spans="1:15" ht="14.25">
      <c r="A47" s="4324">
        <v>45602.333831018499</v>
      </c>
      <c r="B47" s="4322" t="s">
        <v>4045</v>
      </c>
      <c r="C47" s="4322" t="s">
        <v>4045</v>
      </c>
      <c r="D47" s="4322" t="s">
        <v>3998</v>
      </c>
      <c r="E47" s="4322" t="s">
        <v>4045</v>
      </c>
      <c r="F47" s="4322" t="s">
        <v>4045</v>
      </c>
      <c r="G47" s="4322">
        <v>-3</v>
      </c>
      <c r="H47" s="4322" t="s">
        <v>4226</v>
      </c>
      <c r="I47" s="4322" t="s">
        <v>4191</v>
      </c>
      <c r="J47" s="4322" t="s">
        <v>4192</v>
      </c>
      <c r="K47" s="4322" t="s">
        <v>4181</v>
      </c>
      <c r="L47" s="4322">
        <v>1</v>
      </c>
      <c r="M47" s="4322">
        <v>46.43</v>
      </c>
      <c r="N47" s="4322">
        <v>15</v>
      </c>
      <c r="O47" s="4322">
        <v>3231</v>
      </c>
    </row>
    <row r="48" spans="1:15" ht="14.25">
      <c r="A48" s="4324">
        <v>45602.333831018499</v>
      </c>
      <c r="B48" s="4322" t="s">
        <v>4045</v>
      </c>
      <c r="C48" s="4322" t="s">
        <v>4045</v>
      </c>
      <c r="D48" s="4322" t="s">
        <v>3998</v>
      </c>
      <c r="E48" s="4322" t="s">
        <v>4045</v>
      </c>
      <c r="F48" s="4322" t="s">
        <v>4045</v>
      </c>
      <c r="G48" s="4322">
        <v>3</v>
      </c>
      <c r="H48" s="4322">
        <v>301</v>
      </c>
      <c r="I48" s="4322" t="s">
        <v>4191</v>
      </c>
      <c r="J48" s="4322" t="s">
        <v>19</v>
      </c>
      <c r="K48" s="4322" t="s">
        <v>4181</v>
      </c>
      <c r="L48" s="4322">
        <v>1</v>
      </c>
      <c r="M48" s="4322">
        <v>775.66</v>
      </c>
      <c r="N48" s="4322">
        <v>3606.82</v>
      </c>
      <c r="O48" s="4322">
        <v>46500</v>
      </c>
    </row>
    <row r="49" spans="1:15" ht="14.25">
      <c r="A49" s="4324">
        <v>45602.333831018499</v>
      </c>
      <c r="B49" s="4322" t="s">
        <v>4045</v>
      </c>
      <c r="C49" s="4322" t="s">
        <v>4045</v>
      </c>
      <c r="D49" s="4322" t="s">
        <v>3998</v>
      </c>
      <c r="E49" s="4322" t="s">
        <v>4045</v>
      </c>
      <c r="F49" s="4322" t="s">
        <v>4045</v>
      </c>
      <c r="G49" s="4322">
        <v>-3</v>
      </c>
      <c r="H49" s="4322" t="s">
        <v>4227</v>
      </c>
      <c r="I49" s="4322" t="s">
        <v>4191</v>
      </c>
      <c r="J49" s="4322" t="s">
        <v>4192</v>
      </c>
      <c r="K49" s="4322" t="s">
        <v>4181</v>
      </c>
      <c r="L49" s="4322">
        <v>1</v>
      </c>
      <c r="M49" s="4322">
        <v>46.43</v>
      </c>
      <c r="N49" s="4322">
        <v>15</v>
      </c>
      <c r="O49" s="4322">
        <v>3231</v>
      </c>
    </row>
    <row r="50" spans="1:15" ht="14.25">
      <c r="A50" s="4324">
        <v>45602.333831018499</v>
      </c>
      <c r="B50" s="4322" t="s">
        <v>4045</v>
      </c>
      <c r="C50" s="4322" t="s">
        <v>4045</v>
      </c>
      <c r="D50" s="4322" t="s">
        <v>3998</v>
      </c>
      <c r="E50" s="4322" t="s">
        <v>4045</v>
      </c>
      <c r="F50" s="4322" t="s">
        <v>4045</v>
      </c>
      <c r="G50" s="4322">
        <v>4</v>
      </c>
      <c r="H50" s="4322">
        <v>402</v>
      </c>
      <c r="I50" s="4322" t="s">
        <v>4191</v>
      </c>
      <c r="J50" s="4322" t="s">
        <v>19</v>
      </c>
      <c r="K50" s="4322" t="s">
        <v>4181</v>
      </c>
      <c r="L50" s="4322">
        <v>1</v>
      </c>
      <c r="M50" s="4322">
        <v>869.47</v>
      </c>
      <c r="N50" s="4322">
        <v>4043.04</v>
      </c>
      <c r="O50" s="4322">
        <v>46500</v>
      </c>
    </row>
    <row r="51" spans="1:15" ht="14.25">
      <c r="A51" s="4324">
        <v>45602.333831018499</v>
      </c>
      <c r="B51" s="4322" t="s">
        <v>4045</v>
      </c>
      <c r="C51" s="4322" t="s">
        <v>4045</v>
      </c>
      <c r="D51" s="4322" t="s">
        <v>3998</v>
      </c>
      <c r="E51" s="4322" t="s">
        <v>4045</v>
      </c>
      <c r="F51" s="4322" t="s">
        <v>4045</v>
      </c>
      <c r="G51" s="4322">
        <v>8</v>
      </c>
      <c r="H51" s="4322">
        <v>801</v>
      </c>
      <c r="I51" s="4322" t="s">
        <v>4191</v>
      </c>
      <c r="J51" s="4322" t="s">
        <v>19</v>
      </c>
      <c r="K51" s="4322" t="s">
        <v>4181</v>
      </c>
      <c r="L51" s="4322">
        <v>1</v>
      </c>
      <c r="M51" s="4322">
        <v>775.66</v>
      </c>
      <c r="N51" s="4322">
        <v>3606.82</v>
      </c>
      <c r="O51" s="4322">
        <v>46500</v>
      </c>
    </row>
    <row r="52" spans="1:15" ht="14.25">
      <c r="A52" s="4324">
        <v>45602.333831018499</v>
      </c>
      <c r="B52" s="4322" t="s">
        <v>4045</v>
      </c>
      <c r="C52" s="4322" t="s">
        <v>4045</v>
      </c>
      <c r="D52" s="4322" t="s">
        <v>3998</v>
      </c>
      <c r="E52" s="4322" t="s">
        <v>4045</v>
      </c>
      <c r="F52" s="4322" t="s">
        <v>4045</v>
      </c>
      <c r="G52" s="4322">
        <v>-3</v>
      </c>
      <c r="H52" s="4322" t="s">
        <v>4228</v>
      </c>
      <c r="I52" s="4322" t="s">
        <v>4191</v>
      </c>
      <c r="J52" s="4322" t="s">
        <v>4192</v>
      </c>
      <c r="K52" s="4322" t="s">
        <v>4181</v>
      </c>
      <c r="L52" s="4322">
        <v>1</v>
      </c>
      <c r="M52" s="4322">
        <v>46.43</v>
      </c>
      <c r="N52" s="4322">
        <v>15</v>
      </c>
      <c r="O52" s="4322">
        <v>3231</v>
      </c>
    </row>
    <row r="53" spans="1:15" ht="14.25">
      <c r="A53" s="4324">
        <v>45602.333831018499</v>
      </c>
      <c r="B53" s="4322" t="s">
        <v>4045</v>
      </c>
      <c r="C53" s="4322" t="s">
        <v>4045</v>
      </c>
      <c r="D53" s="4322" t="s">
        <v>3998</v>
      </c>
      <c r="E53" s="4322" t="s">
        <v>4045</v>
      </c>
      <c r="F53" s="4322" t="s">
        <v>4045</v>
      </c>
      <c r="G53" s="4322">
        <v>-2</v>
      </c>
      <c r="H53" s="4322" t="s">
        <v>4229</v>
      </c>
      <c r="I53" s="4322" t="s">
        <v>4191</v>
      </c>
      <c r="J53" s="4322" t="s">
        <v>4192</v>
      </c>
      <c r="K53" s="4322" t="s">
        <v>4181</v>
      </c>
      <c r="L53" s="4322">
        <v>1</v>
      </c>
      <c r="M53" s="4322">
        <v>46.43</v>
      </c>
      <c r="N53" s="4322">
        <v>16</v>
      </c>
      <c r="O53" s="4322">
        <v>3446</v>
      </c>
    </row>
    <row r="54" spans="1:15" ht="14.25">
      <c r="A54" s="4324">
        <v>45602.333831018499</v>
      </c>
      <c r="B54" s="4322" t="s">
        <v>4045</v>
      </c>
      <c r="C54" s="4322" t="s">
        <v>4045</v>
      </c>
      <c r="D54" s="4322" t="s">
        <v>3998</v>
      </c>
      <c r="E54" s="4322" t="s">
        <v>4045</v>
      </c>
      <c r="F54" s="4322" t="s">
        <v>4045</v>
      </c>
      <c r="G54" s="4322">
        <v>-3</v>
      </c>
      <c r="H54" s="4322" t="s">
        <v>4230</v>
      </c>
      <c r="I54" s="4322" t="s">
        <v>4191</v>
      </c>
      <c r="J54" s="4322" t="s">
        <v>4192</v>
      </c>
      <c r="K54" s="4322" t="s">
        <v>4181</v>
      </c>
      <c r="L54" s="4322">
        <v>1</v>
      </c>
      <c r="M54" s="4322">
        <v>46.43</v>
      </c>
      <c r="N54" s="4322">
        <v>16</v>
      </c>
      <c r="O54" s="4322">
        <v>3446</v>
      </c>
    </row>
    <row r="55" spans="1:15" ht="14.25">
      <c r="A55" s="4324">
        <v>45602.333831018499</v>
      </c>
      <c r="B55" s="4322" t="s">
        <v>4045</v>
      </c>
      <c r="C55" s="4322" t="s">
        <v>4045</v>
      </c>
      <c r="D55" s="4322" t="s">
        <v>3998</v>
      </c>
      <c r="E55" s="4322" t="s">
        <v>4045</v>
      </c>
      <c r="F55" s="4322" t="s">
        <v>4045</v>
      </c>
      <c r="G55" s="4322">
        <v>-3</v>
      </c>
      <c r="H55" s="4322" t="s">
        <v>4231</v>
      </c>
      <c r="I55" s="4322" t="s">
        <v>4191</v>
      </c>
      <c r="J55" s="4322" t="s">
        <v>4192</v>
      </c>
      <c r="K55" s="4322" t="s">
        <v>4181</v>
      </c>
      <c r="L55" s="4322">
        <v>1</v>
      </c>
      <c r="M55" s="4322">
        <v>46.43</v>
      </c>
      <c r="N55" s="4322">
        <v>15</v>
      </c>
      <c r="O55" s="4322">
        <v>3231</v>
      </c>
    </row>
    <row r="56" spans="1:15" ht="14.25">
      <c r="A56" s="4324">
        <v>45602.333831018499</v>
      </c>
      <c r="B56" s="4322" t="s">
        <v>4045</v>
      </c>
      <c r="C56" s="4322" t="s">
        <v>4045</v>
      </c>
      <c r="D56" s="4322" t="s">
        <v>3998</v>
      </c>
      <c r="E56" s="4322" t="s">
        <v>4045</v>
      </c>
      <c r="F56" s="4322" t="s">
        <v>4045</v>
      </c>
      <c r="G56" s="4322">
        <v>11</v>
      </c>
      <c r="H56" s="4322">
        <v>1102</v>
      </c>
      <c r="I56" s="4322" t="s">
        <v>4191</v>
      </c>
      <c r="J56" s="4322" t="s">
        <v>19</v>
      </c>
      <c r="K56" s="4322" t="s">
        <v>4181</v>
      </c>
      <c r="L56" s="4322">
        <v>1</v>
      </c>
      <c r="M56" s="4322">
        <v>869.47</v>
      </c>
      <c r="N56" s="4322">
        <v>4043.04</v>
      </c>
      <c r="O56" s="4322">
        <v>46500</v>
      </c>
    </row>
    <row r="57" spans="1:15" ht="14.25">
      <c r="A57" s="4324">
        <v>45602.333831018499</v>
      </c>
      <c r="B57" s="4322" t="s">
        <v>4045</v>
      </c>
      <c r="C57" s="4322" t="s">
        <v>4045</v>
      </c>
      <c r="D57" s="4322" t="s">
        <v>3998</v>
      </c>
      <c r="E57" s="4322" t="s">
        <v>4045</v>
      </c>
      <c r="F57" s="4322" t="s">
        <v>4045</v>
      </c>
      <c r="G57" s="4322">
        <v>-2</v>
      </c>
      <c r="H57" s="4322" t="s">
        <v>4232</v>
      </c>
      <c r="I57" s="4322" t="s">
        <v>4191</v>
      </c>
      <c r="J57" s="4322" t="s">
        <v>4192</v>
      </c>
      <c r="K57" s="4322" t="s">
        <v>4181</v>
      </c>
      <c r="L57" s="4322">
        <v>1</v>
      </c>
      <c r="M57" s="4322">
        <v>46.43</v>
      </c>
      <c r="N57" s="4322">
        <v>16</v>
      </c>
      <c r="O57" s="4322">
        <v>3446</v>
      </c>
    </row>
    <row r="58" spans="1:15" ht="14.25">
      <c r="A58" s="4324">
        <v>45602.333831018499</v>
      </c>
      <c r="B58" s="4322" t="s">
        <v>4045</v>
      </c>
      <c r="C58" s="4322" t="s">
        <v>4045</v>
      </c>
      <c r="D58" s="4322" t="s">
        <v>3998</v>
      </c>
      <c r="E58" s="4322" t="s">
        <v>4045</v>
      </c>
      <c r="F58" s="4322" t="s">
        <v>4045</v>
      </c>
      <c r="G58" s="4322">
        <v>-2</v>
      </c>
      <c r="H58" s="4322" t="s">
        <v>4233</v>
      </c>
      <c r="I58" s="4322" t="s">
        <v>4191</v>
      </c>
      <c r="J58" s="4322" t="s">
        <v>4192</v>
      </c>
      <c r="K58" s="4322" t="s">
        <v>4181</v>
      </c>
      <c r="L58" s="4322">
        <v>1</v>
      </c>
      <c r="M58" s="4322">
        <v>46.43</v>
      </c>
      <c r="N58" s="4322">
        <v>14.91</v>
      </c>
      <c r="O58" s="4322">
        <v>3210</v>
      </c>
    </row>
    <row r="59" spans="1:15" ht="14.25">
      <c r="A59" s="4324">
        <v>45602.333831018499</v>
      </c>
      <c r="B59" s="4322" t="s">
        <v>4045</v>
      </c>
      <c r="C59" s="4322" t="s">
        <v>4045</v>
      </c>
      <c r="D59" s="4322" t="s">
        <v>3998</v>
      </c>
      <c r="E59" s="4322" t="s">
        <v>4045</v>
      </c>
      <c r="F59" s="4322" t="s">
        <v>4045</v>
      </c>
      <c r="G59" s="4322">
        <v>-3</v>
      </c>
      <c r="H59" s="4322" t="s">
        <v>4234</v>
      </c>
      <c r="I59" s="4322" t="s">
        <v>4191</v>
      </c>
      <c r="J59" s="4322" t="s">
        <v>4192</v>
      </c>
      <c r="K59" s="4322" t="s">
        <v>4181</v>
      </c>
      <c r="L59" s="4322">
        <v>1</v>
      </c>
      <c r="M59" s="4322">
        <v>46.43</v>
      </c>
      <c r="N59" s="4322">
        <v>15</v>
      </c>
      <c r="O59" s="4322">
        <v>3231</v>
      </c>
    </row>
    <row r="60" spans="1:15" ht="14.25">
      <c r="A60" s="4324">
        <v>45602.333831018499</v>
      </c>
      <c r="B60" s="4322" t="s">
        <v>4045</v>
      </c>
      <c r="C60" s="4322" t="s">
        <v>4045</v>
      </c>
      <c r="D60" s="4322" t="s">
        <v>3998</v>
      </c>
      <c r="E60" s="4322" t="s">
        <v>4045</v>
      </c>
      <c r="F60" s="4322" t="s">
        <v>4045</v>
      </c>
      <c r="G60" s="4322">
        <v>-2</v>
      </c>
      <c r="H60" s="4322" t="s">
        <v>4235</v>
      </c>
      <c r="I60" s="4322" t="s">
        <v>4191</v>
      </c>
      <c r="J60" s="4322" t="s">
        <v>4192</v>
      </c>
      <c r="K60" s="4322" t="s">
        <v>4181</v>
      </c>
      <c r="L60" s="4322">
        <v>1</v>
      </c>
      <c r="M60" s="4322">
        <v>46.43</v>
      </c>
      <c r="N60" s="4322">
        <v>16</v>
      </c>
      <c r="O60" s="4322">
        <v>3446</v>
      </c>
    </row>
    <row r="61" spans="1:15" ht="14.25">
      <c r="A61" s="4324">
        <v>45602.333831018499</v>
      </c>
      <c r="B61" s="4322" t="s">
        <v>4045</v>
      </c>
      <c r="C61" s="4322" t="s">
        <v>4045</v>
      </c>
      <c r="D61" s="4322" t="s">
        <v>3998</v>
      </c>
      <c r="E61" s="4322" t="s">
        <v>4045</v>
      </c>
      <c r="F61" s="4322" t="s">
        <v>4045</v>
      </c>
      <c r="G61" s="4322">
        <v>10</v>
      </c>
      <c r="H61" s="4322">
        <v>1002</v>
      </c>
      <c r="I61" s="4322" t="s">
        <v>4191</v>
      </c>
      <c r="J61" s="4322" t="s">
        <v>19</v>
      </c>
      <c r="K61" s="4322" t="s">
        <v>4181</v>
      </c>
      <c r="L61" s="4322">
        <v>1</v>
      </c>
      <c r="M61" s="4322">
        <v>869.47</v>
      </c>
      <c r="N61" s="4322">
        <v>4043.04</v>
      </c>
      <c r="O61" s="4322">
        <v>46500</v>
      </c>
    </row>
    <row r="62" spans="1:15" ht="14.25">
      <c r="A62" s="4324">
        <v>45602.333831018499</v>
      </c>
      <c r="B62" s="4322" t="s">
        <v>4045</v>
      </c>
      <c r="C62" s="4322" t="s">
        <v>4045</v>
      </c>
      <c r="D62" s="4322" t="s">
        <v>3998</v>
      </c>
      <c r="E62" s="4322" t="s">
        <v>4045</v>
      </c>
      <c r="F62" s="4322" t="s">
        <v>4045</v>
      </c>
      <c r="G62" s="4322">
        <v>-2</v>
      </c>
      <c r="H62" s="4322" t="s">
        <v>4236</v>
      </c>
      <c r="I62" s="4322" t="s">
        <v>4191</v>
      </c>
      <c r="J62" s="4322" t="s">
        <v>4192</v>
      </c>
      <c r="K62" s="4322" t="s">
        <v>4181</v>
      </c>
      <c r="L62" s="4322">
        <v>1</v>
      </c>
      <c r="M62" s="4322">
        <v>46.43</v>
      </c>
      <c r="N62" s="4322">
        <v>16</v>
      </c>
      <c r="O62" s="4322">
        <v>3446</v>
      </c>
    </row>
    <row r="63" spans="1:15" ht="14.25">
      <c r="A63" s="4324">
        <v>45602.333831018499</v>
      </c>
      <c r="B63" s="4322" t="s">
        <v>4045</v>
      </c>
      <c r="C63" s="4322" t="s">
        <v>4045</v>
      </c>
      <c r="D63" s="4322" t="s">
        <v>3998</v>
      </c>
      <c r="E63" s="4322" t="s">
        <v>4045</v>
      </c>
      <c r="F63" s="4322" t="s">
        <v>4045</v>
      </c>
      <c r="G63" s="4322">
        <v>12</v>
      </c>
      <c r="H63" s="4322">
        <v>1201</v>
      </c>
      <c r="I63" s="4322" t="s">
        <v>4191</v>
      </c>
      <c r="J63" s="4322" t="s">
        <v>19</v>
      </c>
      <c r="K63" s="4322" t="s">
        <v>4181</v>
      </c>
      <c r="L63" s="4322">
        <v>1</v>
      </c>
      <c r="M63" s="4322">
        <v>1176.73</v>
      </c>
      <c r="N63" s="4322">
        <v>5471.79</v>
      </c>
      <c r="O63" s="4322">
        <v>46500</v>
      </c>
    </row>
    <row r="64" spans="1:15" ht="14.25">
      <c r="A64" s="4324">
        <v>45602.333831018499</v>
      </c>
      <c r="B64" s="4322" t="s">
        <v>4045</v>
      </c>
      <c r="C64" s="4322" t="s">
        <v>4045</v>
      </c>
      <c r="D64" s="4322" t="s">
        <v>3998</v>
      </c>
      <c r="E64" s="4322" t="s">
        <v>4045</v>
      </c>
      <c r="F64" s="4322" t="s">
        <v>4045</v>
      </c>
      <c r="G64" s="4322">
        <v>-2</v>
      </c>
      <c r="H64" s="4322" t="s">
        <v>4237</v>
      </c>
      <c r="I64" s="4322" t="s">
        <v>4191</v>
      </c>
      <c r="J64" s="4322" t="s">
        <v>4192</v>
      </c>
      <c r="K64" s="4322" t="s">
        <v>4181</v>
      </c>
      <c r="L64" s="4322">
        <v>1</v>
      </c>
      <c r="M64" s="4322">
        <v>46.43</v>
      </c>
      <c r="N64" s="4322">
        <v>16</v>
      </c>
      <c r="O64" s="4322">
        <v>3446</v>
      </c>
    </row>
    <row r="65" spans="1:15" ht="14.25">
      <c r="A65" s="4324">
        <v>45602.333831018499</v>
      </c>
      <c r="B65" s="4322" t="s">
        <v>4045</v>
      </c>
      <c r="C65" s="4322" t="s">
        <v>4045</v>
      </c>
      <c r="D65" s="4322" t="s">
        <v>3998</v>
      </c>
      <c r="E65" s="4322" t="s">
        <v>4045</v>
      </c>
      <c r="F65" s="4322" t="s">
        <v>4045</v>
      </c>
      <c r="G65" s="4322">
        <v>-2</v>
      </c>
      <c r="H65" s="4322" t="s">
        <v>4238</v>
      </c>
      <c r="I65" s="4322" t="s">
        <v>4191</v>
      </c>
      <c r="J65" s="4322" t="s">
        <v>4192</v>
      </c>
      <c r="K65" s="4322" t="s">
        <v>4181</v>
      </c>
      <c r="L65" s="4322">
        <v>1</v>
      </c>
      <c r="M65" s="4322">
        <v>46.43</v>
      </c>
      <c r="N65" s="4322">
        <v>16</v>
      </c>
      <c r="O65" s="4322">
        <v>3446</v>
      </c>
    </row>
    <row r="66" spans="1:15" ht="14.25">
      <c r="A66" s="4324">
        <v>45602.333831018499</v>
      </c>
      <c r="B66" s="4322" t="s">
        <v>4045</v>
      </c>
      <c r="C66" s="4322" t="s">
        <v>4045</v>
      </c>
      <c r="D66" s="4322" t="s">
        <v>3998</v>
      </c>
      <c r="E66" s="4322" t="s">
        <v>4045</v>
      </c>
      <c r="F66" s="4322" t="s">
        <v>4045</v>
      </c>
      <c r="G66" s="4322">
        <v>-1</v>
      </c>
      <c r="H66" s="4322">
        <v>-101</v>
      </c>
      <c r="I66" s="4322" t="s">
        <v>4191</v>
      </c>
      <c r="J66" s="4322" t="s">
        <v>660</v>
      </c>
      <c r="K66" s="4322" t="s">
        <v>4181</v>
      </c>
      <c r="L66" s="4322">
        <v>1</v>
      </c>
      <c r="M66" s="4322">
        <v>1604.25</v>
      </c>
      <c r="N66" s="4322">
        <v>2406.38</v>
      </c>
      <c r="O66" s="4322">
        <v>15000</v>
      </c>
    </row>
    <row r="67" spans="1:15" ht="14.25">
      <c r="A67" s="4324">
        <v>45602.333831018499</v>
      </c>
      <c r="B67" s="4322" t="s">
        <v>4045</v>
      </c>
      <c r="C67" s="4322" t="s">
        <v>4045</v>
      </c>
      <c r="D67" s="4322" t="s">
        <v>3998</v>
      </c>
      <c r="E67" s="4322" t="s">
        <v>4045</v>
      </c>
      <c r="F67" s="4322" t="s">
        <v>4045</v>
      </c>
      <c r="G67" s="4322">
        <v>6</v>
      </c>
      <c r="H67" s="4322">
        <v>601</v>
      </c>
      <c r="I67" s="4322" t="s">
        <v>4191</v>
      </c>
      <c r="J67" s="4322" t="s">
        <v>19</v>
      </c>
      <c r="K67" s="4322" t="s">
        <v>4181</v>
      </c>
      <c r="L67" s="4322">
        <v>1</v>
      </c>
      <c r="M67" s="4322">
        <v>775.66</v>
      </c>
      <c r="N67" s="4322">
        <v>3606.82</v>
      </c>
      <c r="O67" s="4322">
        <v>46500</v>
      </c>
    </row>
    <row r="68" spans="1:15" ht="14.25">
      <c r="A68" s="4324">
        <v>45602.333831018499</v>
      </c>
      <c r="B68" s="4322" t="s">
        <v>4045</v>
      </c>
      <c r="C68" s="4322" t="s">
        <v>4045</v>
      </c>
      <c r="D68" s="4322" t="s">
        <v>3998</v>
      </c>
      <c r="E68" s="4322" t="s">
        <v>4045</v>
      </c>
      <c r="F68" s="4322" t="s">
        <v>4045</v>
      </c>
      <c r="G68" s="4322">
        <v>2</v>
      </c>
      <c r="H68" s="4322">
        <v>201</v>
      </c>
      <c r="I68" s="4322" t="s">
        <v>4191</v>
      </c>
      <c r="J68" s="4322" t="s">
        <v>19</v>
      </c>
      <c r="K68" s="4322" t="s">
        <v>4181</v>
      </c>
      <c r="L68" s="4322">
        <v>1</v>
      </c>
      <c r="M68" s="4322">
        <v>894.6</v>
      </c>
      <c r="N68" s="4322">
        <v>4159.8900000000003</v>
      </c>
      <c r="O68" s="4322">
        <v>46500</v>
      </c>
    </row>
    <row r="69" spans="1:15" ht="14.25">
      <c r="A69" s="4324">
        <v>45602.333831018499</v>
      </c>
      <c r="B69" s="4322" t="s">
        <v>4045</v>
      </c>
      <c r="C69" s="4322" t="s">
        <v>4045</v>
      </c>
      <c r="D69" s="4322" t="s">
        <v>3998</v>
      </c>
      <c r="E69" s="4322" t="s">
        <v>4045</v>
      </c>
      <c r="F69" s="4322" t="s">
        <v>4045</v>
      </c>
      <c r="G69" s="4322">
        <v>-3</v>
      </c>
      <c r="H69" s="4322" t="s">
        <v>4239</v>
      </c>
      <c r="I69" s="4322" t="s">
        <v>4191</v>
      </c>
      <c r="J69" s="4322" t="s">
        <v>4192</v>
      </c>
      <c r="K69" s="4322" t="s">
        <v>4181</v>
      </c>
      <c r="L69" s="4322">
        <v>1</v>
      </c>
      <c r="M69" s="4322">
        <v>46.43</v>
      </c>
      <c r="N69" s="4322">
        <v>15</v>
      </c>
      <c r="O69" s="4322">
        <v>3231</v>
      </c>
    </row>
    <row r="70" spans="1:15" ht="14.25">
      <c r="A70" s="4324">
        <v>45602.333831018499</v>
      </c>
      <c r="B70" s="4322" t="s">
        <v>4045</v>
      </c>
      <c r="C70" s="4322" t="s">
        <v>4045</v>
      </c>
      <c r="D70" s="4322" t="s">
        <v>3998</v>
      </c>
      <c r="E70" s="4322" t="s">
        <v>4045</v>
      </c>
      <c r="F70" s="4322" t="s">
        <v>4045</v>
      </c>
      <c r="G70" s="4322">
        <v>-2</v>
      </c>
      <c r="H70" s="4322" t="s">
        <v>4240</v>
      </c>
      <c r="I70" s="4322" t="s">
        <v>4191</v>
      </c>
      <c r="J70" s="4322" t="s">
        <v>4192</v>
      </c>
      <c r="K70" s="4322" t="s">
        <v>4181</v>
      </c>
      <c r="L70" s="4322">
        <v>1</v>
      </c>
      <c r="M70" s="4322">
        <v>46.43</v>
      </c>
      <c r="N70" s="4322">
        <v>16</v>
      </c>
      <c r="O70" s="4322">
        <v>3446</v>
      </c>
    </row>
    <row r="71" spans="1:15" ht="14.25">
      <c r="A71" s="4324">
        <v>45602.333831018499</v>
      </c>
      <c r="B71" s="4322" t="s">
        <v>4045</v>
      </c>
      <c r="C71" s="4322" t="s">
        <v>4045</v>
      </c>
      <c r="D71" s="4322" t="s">
        <v>3998</v>
      </c>
      <c r="E71" s="4322" t="s">
        <v>4045</v>
      </c>
      <c r="F71" s="4322" t="s">
        <v>4045</v>
      </c>
      <c r="G71" s="4322">
        <v>-2</v>
      </c>
      <c r="H71" s="4322" t="s">
        <v>4241</v>
      </c>
      <c r="I71" s="4322" t="s">
        <v>4191</v>
      </c>
      <c r="J71" s="4322" t="s">
        <v>4192</v>
      </c>
      <c r="K71" s="4322" t="s">
        <v>4181</v>
      </c>
      <c r="L71" s="4322">
        <v>1</v>
      </c>
      <c r="M71" s="4322">
        <v>46.43</v>
      </c>
      <c r="N71" s="4322">
        <v>16</v>
      </c>
      <c r="O71" s="4322">
        <v>3446</v>
      </c>
    </row>
    <row r="72" spans="1:15" ht="14.25">
      <c r="A72" s="4324">
        <v>45602.333831018499</v>
      </c>
      <c r="B72" s="4322" t="s">
        <v>4045</v>
      </c>
      <c r="C72" s="4322" t="s">
        <v>4045</v>
      </c>
      <c r="D72" s="4322" t="s">
        <v>3998</v>
      </c>
      <c r="E72" s="4322" t="s">
        <v>4045</v>
      </c>
      <c r="F72" s="4322" t="s">
        <v>4045</v>
      </c>
      <c r="G72" s="4322">
        <v>4</v>
      </c>
      <c r="H72" s="4322">
        <v>401</v>
      </c>
      <c r="I72" s="4322" t="s">
        <v>4191</v>
      </c>
      <c r="J72" s="4322" t="s">
        <v>19</v>
      </c>
      <c r="K72" s="4322" t="s">
        <v>4181</v>
      </c>
      <c r="L72" s="4322">
        <v>1</v>
      </c>
      <c r="M72" s="4322">
        <v>775.66</v>
      </c>
      <c r="N72" s="4322">
        <v>3606.82</v>
      </c>
      <c r="O72" s="4322">
        <v>46500</v>
      </c>
    </row>
    <row r="73" spans="1:15" ht="14.25">
      <c r="A73" s="4324">
        <v>45602.333831018499</v>
      </c>
      <c r="B73" s="4322" t="s">
        <v>4045</v>
      </c>
      <c r="C73" s="4322" t="s">
        <v>4045</v>
      </c>
      <c r="D73" s="4322" t="s">
        <v>3998</v>
      </c>
      <c r="E73" s="4322" t="s">
        <v>4045</v>
      </c>
      <c r="F73" s="4322" t="s">
        <v>4045</v>
      </c>
      <c r="G73" s="4322">
        <v>-3</v>
      </c>
      <c r="H73" s="4322" t="s">
        <v>4242</v>
      </c>
      <c r="I73" s="4322" t="s">
        <v>4191</v>
      </c>
      <c r="J73" s="4322" t="s">
        <v>4192</v>
      </c>
      <c r="K73" s="4322" t="s">
        <v>4181</v>
      </c>
      <c r="L73" s="4322">
        <v>1</v>
      </c>
      <c r="M73" s="4322">
        <v>46.43</v>
      </c>
      <c r="N73" s="4322">
        <v>15</v>
      </c>
      <c r="O73" s="4322">
        <v>3231</v>
      </c>
    </row>
    <row r="74" spans="1:15" ht="14.25">
      <c r="A74" s="4324">
        <v>45602.333831018499</v>
      </c>
      <c r="B74" s="4322" t="s">
        <v>4045</v>
      </c>
      <c r="C74" s="4322" t="s">
        <v>4045</v>
      </c>
      <c r="D74" s="4322" t="s">
        <v>3998</v>
      </c>
      <c r="E74" s="4322" t="s">
        <v>4045</v>
      </c>
      <c r="F74" s="4322" t="s">
        <v>4045</v>
      </c>
      <c r="G74" s="4322">
        <v>-3</v>
      </c>
      <c r="H74" s="4322" t="s">
        <v>4243</v>
      </c>
      <c r="I74" s="4322" t="s">
        <v>4191</v>
      </c>
      <c r="J74" s="4322" t="s">
        <v>4192</v>
      </c>
      <c r="K74" s="4322" t="s">
        <v>4181</v>
      </c>
      <c r="L74" s="4322">
        <v>1</v>
      </c>
      <c r="M74" s="4322">
        <v>46.43</v>
      </c>
      <c r="N74" s="4322">
        <v>15</v>
      </c>
      <c r="O74" s="4322">
        <v>3231</v>
      </c>
    </row>
    <row r="75" spans="1:15" ht="14.25">
      <c r="A75" s="4324">
        <v>45602.333831018499</v>
      </c>
      <c r="B75" s="4322" t="s">
        <v>4045</v>
      </c>
      <c r="C75" s="4322" t="s">
        <v>4045</v>
      </c>
      <c r="D75" s="4322" t="s">
        <v>3998</v>
      </c>
      <c r="E75" s="4322" t="s">
        <v>4045</v>
      </c>
      <c r="F75" s="4322" t="s">
        <v>4045</v>
      </c>
      <c r="G75" s="4322">
        <v>-3</v>
      </c>
      <c r="H75" s="4322" t="s">
        <v>4244</v>
      </c>
      <c r="I75" s="4322" t="s">
        <v>4191</v>
      </c>
      <c r="J75" s="4322" t="s">
        <v>4192</v>
      </c>
      <c r="K75" s="4322" t="s">
        <v>4181</v>
      </c>
      <c r="L75" s="4322">
        <v>1</v>
      </c>
      <c r="M75" s="4322">
        <v>46.43</v>
      </c>
      <c r="N75" s="4322">
        <v>15</v>
      </c>
      <c r="O75" s="4322">
        <v>3231</v>
      </c>
    </row>
    <row r="76" spans="1:15" ht="14.25">
      <c r="A76" s="4324">
        <v>45602.333831018499</v>
      </c>
      <c r="B76" s="4322" t="s">
        <v>4045</v>
      </c>
      <c r="C76" s="4322" t="s">
        <v>4045</v>
      </c>
      <c r="D76" s="4322" t="s">
        <v>3998</v>
      </c>
      <c r="E76" s="4322" t="s">
        <v>4045</v>
      </c>
      <c r="F76" s="4322" t="s">
        <v>4045</v>
      </c>
      <c r="G76" s="4322">
        <v>-3</v>
      </c>
      <c r="H76" s="4322" t="s">
        <v>4245</v>
      </c>
      <c r="I76" s="4322" t="s">
        <v>4191</v>
      </c>
      <c r="J76" s="4322" t="s">
        <v>4192</v>
      </c>
      <c r="K76" s="4322" t="s">
        <v>4181</v>
      </c>
      <c r="L76" s="4322">
        <v>1</v>
      </c>
      <c r="M76" s="4322">
        <v>46.43</v>
      </c>
      <c r="N76" s="4322">
        <v>16</v>
      </c>
      <c r="O76" s="4322">
        <v>3446</v>
      </c>
    </row>
    <row r="77" spans="1:15" ht="14.25">
      <c r="A77" s="4324">
        <v>45602.333831018499</v>
      </c>
      <c r="B77" s="4322" t="s">
        <v>4045</v>
      </c>
      <c r="C77" s="4322" t="s">
        <v>4045</v>
      </c>
      <c r="D77" s="4322" t="s">
        <v>3998</v>
      </c>
      <c r="E77" s="4322" t="s">
        <v>4045</v>
      </c>
      <c r="F77" s="4322" t="s">
        <v>4045</v>
      </c>
      <c r="G77" s="4322">
        <v>-2</v>
      </c>
      <c r="H77" s="4322" t="s">
        <v>4246</v>
      </c>
      <c r="I77" s="4322" t="s">
        <v>4191</v>
      </c>
      <c r="J77" s="4322" t="s">
        <v>4192</v>
      </c>
      <c r="K77" s="4322" t="s">
        <v>4181</v>
      </c>
      <c r="L77" s="4322">
        <v>1</v>
      </c>
      <c r="M77" s="4322">
        <v>46.43</v>
      </c>
      <c r="N77" s="4322">
        <v>16</v>
      </c>
      <c r="O77" s="4322">
        <v>3446</v>
      </c>
    </row>
    <row r="78" spans="1:15" ht="14.25">
      <c r="A78" s="4324">
        <v>45602.333831018499</v>
      </c>
      <c r="B78" s="4322" t="s">
        <v>4045</v>
      </c>
      <c r="C78" s="4322" t="s">
        <v>4045</v>
      </c>
      <c r="D78" s="4322" t="s">
        <v>3998</v>
      </c>
      <c r="E78" s="4322" t="s">
        <v>4045</v>
      </c>
      <c r="F78" s="4322" t="s">
        <v>4045</v>
      </c>
      <c r="G78" s="4322">
        <v>10</v>
      </c>
      <c r="H78" s="4322">
        <v>1001</v>
      </c>
      <c r="I78" s="4322" t="s">
        <v>4191</v>
      </c>
      <c r="J78" s="4322" t="s">
        <v>19</v>
      </c>
      <c r="K78" s="4322" t="s">
        <v>4181</v>
      </c>
      <c r="L78" s="4322">
        <v>1</v>
      </c>
      <c r="M78" s="4322">
        <v>775.66</v>
      </c>
      <c r="N78" s="4322">
        <v>3606.82</v>
      </c>
      <c r="O78" s="4322">
        <v>46500</v>
      </c>
    </row>
    <row r="79" spans="1:15" ht="14.25">
      <c r="A79" s="4324">
        <v>45602.333831018499</v>
      </c>
      <c r="B79" s="4322" t="s">
        <v>4045</v>
      </c>
      <c r="C79" s="4322" t="s">
        <v>4045</v>
      </c>
      <c r="D79" s="4322" t="s">
        <v>3998</v>
      </c>
      <c r="E79" s="4322" t="s">
        <v>4045</v>
      </c>
      <c r="F79" s="4322" t="s">
        <v>4045</v>
      </c>
      <c r="G79" s="4322">
        <v>-3</v>
      </c>
      <c r="H79" s="4322" t="s">
        <v>4247</v>
      </c>
      <c r="I79" s="4322" t="s">
        <v>4191</v>
      </c>
      <c r="J79" s="4322" t="s">
        <v>4192</v>
      </c>
      <c r="K79" s="4322" t="s">
        <v>4181</v>
      </c>
      <c r="L79" s="4322">
        <v>1</v>
      </c>
      <c r="M79" s="4322">
        <v>46.43</v>
      </c>
      <c r="N79" s="4322">
        <v>15</v>
      </c>
      <c r="O79" s="4322">
        <v>3231</v>
      </c>
    </row>
    <row r="80" spans="1:15" ht="14.25">
      <c r="A80" s="4324">
        <v>45602.333831018499</v>
      </c>
      <c r="B80" s="4322" t="s">
        <v>4045</v>
      </c>
      <c r="C80" s="4322" t="s">
        <v>4045</v>
      </c>
      <c r="D80" s="4322" t="s">
        <v>3998</v>
      </c>
      <c r="E80" s="4322" t="s">
        <v>4045</v>
      </c>
      <c r="F80" s="4322" t="s">
        <v>4045</v>
      </c>
      <c r="G80" s="4322">
        <v>-3</v>
      </c>
      <c r="H80" s="4322" t="s">
        <v>4248</v>
      </c>
      <c r="I80" s="4322" t="s">
        <v>4191</v>
      </c>
      <c r="J80" s="4322" t="s">
        <v>4192</v>
      </c>
      <c r="K80" s="4322" t="s">
        <v>4181</v>
      </c>
      <c r="L80" s="4322">
        <v>1</v>
      </c>
      <c r="M80" s="4322">
        <v>46.43</v>
      </c>
      <c r="N80" s="4322">
        <v>15</v>
      </c>
      <c r="O80" s="4322">
        <v>3231</v>
      </c>
    </row>
    <row r="81" spans="1:15" ht="14.25">
      <c r="A81" s="4324">
        <v>45602.333831018499</v>
      </c>
      <c r="B81" s="4322" t="s">
        <v>4045</v>
      </c>
      <c r="C81" s="4322" t="s">
        <v>4045</v>
      </c>
      <c r="D81" s="4322" t="s">
        <v>3998</v>
      </c>
      <c r="E81" s="4322" t="s">
        <v>4045</v>
      </c>
      <c r="F81" s="4322" t="s">
        <v>4045</v>
      </c>
      <c r="G81" s="4322">
        <v>-2</v>
      </c>
      <c r="H81" s="4322" t="s">
        <v>4249</v>
      </c>
      <c r="I81" s="4322" t="s">
        <v>4191</v>
      </c>
      <c r="J81" s="4322" t="s">
        <v>4192</v>
      </c>
      <c r="K81" s="4322" t="s">
        <v>4181</v>
      </c>
      <c r="L81" s="4322">
        <v>1</v>
      </c>
      <c r="M81" s="4322">
        <v>46.43</v>
      </c>
      <c r="N81" s="4322">
        <v>16</v>
      </c>
      <c r="O81" s="4322">
        <v>3446</v>
      </c>
    </row>
    <row r="82" spans="1:15" ht="14.25">
      <c r="A82" s="4324">
        <v>45602.333831018499</v>
      </c>
      <c r="B82" s="4322" t="s">
        <v>4045</v>
      </c>
      <c r="C82" s="4322" t="s">
        <v>4045</v>
      </c>
      <c r="D82" s="4322" t="s">
        <v>3998</v>
      </c>
      <c r="E82" s="4322" t="s">
        <v>4045</v>
      </c>
      <c r="F82" s="4322" t="s">
        <v>4045</v>
      </c>
      <c r="G82" s="4322">
        <v>-3</v>
      </c>
      <c r="H82" s="4322" t="s">
        <v>4250</v>
      </c>
      <c r="I82" s="4322" t="s">
        <v>4191</v>
      </c>
      <c r="J82" s="4322" t="s">
        <v>4192</v>
      </c>
      <c r="K82" s="4322" t="s">
        <v>4181</v>
      </c>
      <c r="L82" s="4322">
        <v>1</v>
      </c>
      <c r="M82" s="4322">
        <v>46.43</v>
      </c>
      <c r="N82" s="4322">
        <v>15</v>
      </c>
      <c r="O82" s="4322">
        <v>3231</v>
      </c>
    </row>
    <row r="83" spans="1:15" ht="14.25">
      <c r="A83" s="4324">
        <v>45602.333831018499</v>
      </c>
      <c r="B83" s="4322" t="s">
        <v>4045</v>
      </c>
      <c r="C83" s="4322" t="s">
        <v>4045</v>
      </c>
      <c r="D83" s="4322" t="s">
        <v>3998</v>
      </c>
      <c r="E83" s="4322" t="s">
        <v>4045</v>
      </c>
      <c r="F83" s="4322" t="s">
        <v>4045</v>
      </c>
      <c r="G83" s="4322">
        <v>-3</v>
      </c>
      <c r="H83" s="4322" t="s">
        <v>4251</v>
      </c>
      <c r="I83" s="4322" t="s">
        <v>4191</v>
      </c>
      <c r="J83" s="4322" t="s">
        <v>4192</v>
      </c>
      <c r="K83" s="4322" t="s">
        <v>4181</v>
      </c>
      <c r="L83" s="4322">
        <v>1</v>
      </c>
      <c r="M83" s="4322">
        <v>46.43</v>
      </c>
      <c r="N83" s="4322">
        <v>15</v>
      </c>
      <c r="O83" s="4322">
        <v>3231</v>
      </c>
    </row>
    <row r="84" spans="1:15" ht="14.25">
      <c r="A84" s="4324">
        <v>45602.333831018499</v>
      </c>
      <c r="B84" s="4322" t="s">
        <v>4045</v>
      </c>
      <c r="C84" s="4322" t="s">
        <v>4045</v>
      </c>
      <c r="D84" s="4322" t="s">
        <v>3998</v>
      </c>
      <c r="E84" s="4322" t="s">
        <v>4045</v>
      </c>
      <c r="F84" s="4322" t="s">
        <v>4045</v>
      </c>
      <c r="G84" s="4322">
        <v>-3</v>
      </c>
      <c r="H84" s="4322" t="s">
        <v>4252</v>
      </c>
      <c r="I84" s="4322" t="s">
        <v>4191</v>
      </c>
      <c r="J84" s="4322" t="s">
        <v>4192</v>
      </c>
      <c r="K84" s="4322" t="s">
        <v>4181</v>
      </c>
      <c r="L84" s="4322">
        <v>1</v>
      </c>
      <c r="M84" s="4322">
        <v>46.43</v>
      </c>
      <c r="N84" s="4322">
        <v>15</v>
      </c>
      <c r="O84" s="4322">
        <v>3231</v>
      </c>
    </row>
    <row r="85" spans="1:15" ht="14.25">
      <c r="A85" s="4324">
        <v>45602.333831018499</v>
      </c>
      <c r="B85" s="4322" t="s">
        <v>4045</v>
      </c>
      <c r="C85" s="4322" t="s">
        <v>4045</v>
      </c>
      <c r="D85" s="4322" t="s">
        <v>3998</v>
      </c>
      <c r="E85" s="4322" t="s">
        <v>4045</v>
      </c>
      <c r="F85" s="4322" t="s">
        <v>4045</v>
      </c>
      <c r="G85" s="4322">
        <v>-3</v>
      </c>
      <c r="H85" s="4322" t="s">
        <v>4253</v>
      </c>
      <c r="I85" s="4322" t="s">
        <v>4191</v>
      </c>
      <c r="J85" s="4322" t="s">
        <v>4192</v>
      </c>
      <c r="K85" s="4322" t="s">
        <v>4181</v>
      </c>
      <c r="L85" s="4322">
        <v>1</v>
      </c>
      <c r="M85" s="4322">
        <v>46.43</v>
      </c>
      <c r="N85" s="4322">
        <v>15</v>
      </c>
      <c r="O85" s="4322">
        <v>3231</v>
      </c>
    </row>
    <row r="86" spans="1:15" ht="14.25">
      <c r="A86" s="4324">
        <v>45602.333831018499</v>
      </c>
      <c r="B86" s="4322" t="s">
        <v>4045</v>
      </c>
      <c r="C86" s="4322" t="s">
        <v>4045</v>
      </c>
      <c r="D86" s="4322" t="s">
        <v>3998</v>
      </c>
      <c r="E86" s="4322" t="s">
        <v>4045</v>
      </c>
      <c r="F86" s="4322" t="s">
        <v>4045</v>
      </c>
      <c r="G86" s="4322">
        <v>-2</v>
      </c>
      <c r="H86" s="4322" t="s">
        <v>4254</v>
      </c>
      <c r="I86" s="4322" t="s">
        <v>4191</v>
      </c>
      <c r="J86" s="4322" t="s">
        <v>4192</v>
      </c>
      <c r="K86" s="4322" t="s">
        <v>4181</v>
      </c>
      <c r="L86" s="4322">
        <v>1</v>
      </c>
      <c r="M86" s="4322">
        <v>46.43</v>
      </c>
      <c r="N86" s="4322">
        <v>16</v>
      </c>
      <c r="O86" s="4322">
        <v>3446</v>
      </c>
    </row>
    <row r="87" spans="1:15" ht="14.25">
      <c r="A87" s="4324">
        <v>45602.333831018499</v>
      </c>
      <c r="B87" s="4322" t="s">
        <v>4045</v>
      </c>
      <c r="C87" s="4322" t="s">
        <v>4045</v>
      </c>
      <c r="D87" s="4322" t="s">
        <v>3998</v>
      </c>
      <c r="E87" s="4322" t="s">
        <v>4045</v>
      </c>
      <c r="F87" s="4322" t="s">
        <v>4045</v>
      </c>
      <c r="G87" s="4322">
        <v>-3</v>
      </c>
      <c r="H87" s="4322" t="s">
        <v>4255</v>
      </c>
      <c r="I87" s="4322" t="s">
        <v>4191</v>
      </c>
      <c r="J87" s="4322" t="s">
        <v>4192</v>
      </c>
      <c r="K87" s="4322" t="s">
        <v>4181</v>
      </c>
      <c r="L87" s="4322">
        <v>1</v>
      </c>
      <c r="M87" s="4322">
        <v>45.52</v>
      </c>
      <c r="N87" s="4322">
        <v>15</v>
      </c>
      <c r="O87" s="4322">
        <v>3295</v>
      </c>
    </row>
    <row r="88" spans="1:15" ht="14.25">
      <c r="A88" s="4324">
        <v>45602.333831018499</v>
      </c>
      <c r="B88" s="4322" t="s">
        <v>4045</v>
      </c>
      <c r="C88" s="4322" t="s">
        <v>4045</v>
      </c>
      <c r="D88" s="4322" t="s">
        <v>3998</v>
      </c>
      <c r="E88" s="4322" t="s">
        <v>4045</v>
      </c>
      <c r="F88" s="4322" t="s">
        <v>4045</v>
      </c>
      <c r="G88" s="4322">
        <v>-3</v>
      </c>
      <c r="H88" s="4322" t="s">
        <v>4256</v>
      </c>
      <c r="I88" s="4322" t="s">
        <v>4191</v>
      </c>
      <c r="J88" s="4322" t="s">
        <v>4192</v>
      </c>
      <c r="K88" s="4322" t="s">
        <v>4181</v>
      </c>
      <c r="L88" s="4322">
        <v>1</v>
      </c>
      <c r="M88" s="4322">
        <v>46.43</v>
      </c>
      <c r="N88" s="4322">
        <v>15</v>
      </c>
      <c r="O88" s="4322">
        <v>3231</v>
      </c>
    </row>
    <row r="89" spans="1:15" ht="14.25">
      <c r="A89" s="4324">
        <v>45602.333831018499</v>
      </c>
      <c r="B89" s="4322" t="s">
        <v>4045</v>
      </c>
      <c r="C89" s="4322" t="s">
        <v>4045</v>
      </c>
      <c r="D89" s="4322" t="s">
        <v>3998</v>
      </c>
      <c r="E89" s="4322" t="s">
        <v>4045</v>
      </c>
      <c r="F89" s="4322" t="s">
        <v>4045</v>
      </c>
      <c r="G89" s="4322">
        <v>-2</v>
      </c>
      <c r="H89" s="4322" t="s">
        <v>4257</v>
      </c>
      <c r="I89" s="4322" t="s">
        <v>4191</v>
      </c>
      <c r="J89" s="4322" t="s">
        <v>4192</v>
      </c>
      <c r="K89" s="4322" t="s">
        <v>4181</v>
      </c>
      <c r="L89" s="4322">
        <v>1</v>
      </c>
      <c r="M89" s="4322">
        <v>46.43</v>
      </c>
      <c r="N89" s="4322">
        <v>16</v>
      </c>
      <c r="O89" s="4322">
        <v>3446</v>
      </c>
    </row>
    <row r="90" spans="1:15" ht="14.25">
      <c r="A90" s="4324">
        <v>45602.333831018499</v>
      </c>
      <c r="B90" s="4322" t="s">
        <v>4045</v>
      </c>
      <c r="C90" s="4322" t="s">
        <v>4045</v>
      </c>
      <c r="D90" s="4322" t="s">
        <v>3998</v>
      </c>
      <c r="E90" s="4322" t="s">
        <v>4045</v>
      </c>
      <c r="F90" s="4322" t="s">
        <v>4045</v>
      </c>
      <c r="G90" s="4322">
        <v>-3</v>
      </c>
      <c r="H90" s="4322" t="s">
        <v>4258</v>
      </c>
      <c r="I90" s="4322" t="s">
        <v>4191</v>
      </c>
      <c r="J90" s="4322" t="s">
        <v>4192</v>
      </c>
      <c r="K90" s="4322" t="s">
        <v>4181</v>
      </c>
      <c r="L90" s="4322">
        <v>1</v>
      </c>
      <c r="M90" s="4322">
        <v>46.43</v>
      </c>
      <c r="N90" s="4322">
        <v>15</v>
      </c>
      <c r="O90" s="4322">
        <v>3231</v>
      </c>
    </row>
    <row r="91" spans="1:15" ht="14.25">
      <c r="A91" s="4324">
        <v>45602.333831018499</v>
      </c>
      <c r="B91" s="4322" t="s">
        <v>4045</v>
      </c>
      <c r="C91" s="4322" t="s">
        <v>4045</v>
      </c>
      <c r="D91" s="4322" t="s">
        <v>3998</v>
      </c>
      <c r="E91" s="4322" t="s">
        <v>4045</v>
      </c>
      <c r="F91" s="4322" t="s">
        <v>4045</v>
      </c>
      <c r="G91" s="4322">
        <v>-2</v>
      </c>
      <c r="H91" s="4322" t="s">
        <v>4259</v>
      </c>
      <c r="I91" s="4322" t="s">
        <v>4191</v>
      </c>
      <c r="J91" s="4322" t="s">
        <v>4192</v>
      </c>
      <c r="K91" s="4322" t="s">
        <v>4181</v>
      </c>
      <c r="L91" s="4322">
        <v>1</v>
      </c>
      <c r="M91" s="4322">
        <v>46.43</v>
      </c>
      <c r="N91" s="4322">
        <v>16</v>
      </c>
      <c r="O91" s="4322">
        <v>3446</v>
      </c>
    </row>
    <row r="92" spans="1:15" ht="14.25">
      <c r="A92" s="4324">
        <v>45602.333831018499</v>
      </c>
      <c r="B92" s="4322" t="s">
        <v>4045</v>
      </c>
      <c r="C92" s="4322" t="s">
        <v>4045</v>
      </c>
      <c r="D92" s="4322" t="s">
        <v>3998</v>
      </c>
      <c r="E92" s="4322" t="s">
        <v>4045</v>
      </c>
      <c r="F92" s="4322" t="s">
        <v>4045</v>
      </c>
      <c r="G92" s="4322">
        <v>-2</v>
      </c>
      <c r="H92" s="4322" t="s">
        <v>4260</v>
      </c>
      <c r="I92" s="4322" t="s">
        <v>4191</v>
      </c>
      <c r="J92" s="4322" t="s">
        <v>4192</v>
      </c>
      <c r="K92" s="4322" t="s">
        <v>4181</v>
      </c>
      <c r="L92" s="4322">
        <v>1</v>
      </c>
      <c r="M92" s="4322">
        <v>46.43</v>
      </c>
      <c r="N92" s="4322">
        <v>16</v>
      </c>
      <c r="O92" s="4322">
        <v>3446</v>
      </c>
    </row>
    <row r="93" spans="1:15" ht="14.25">
      <c r="A93" s="4324">
        <v>45602.333831018499</v>
      </c>
      <c r="B93" s="4322" t="s">
        <v>4045</v>
      </c>
      <c r="C93" s="4322" t="s">
        <v>4045</v>
      </c>
      <c r="D93" s="4322" t="s">
        <v>3998</v>
      </c>
      <c r="E93" s="4322" t="s">
        <v>4045</v>
      </c>
      <c r="F93" s="4322" t="s">
        <v>4045</v>
      </c>
      <c r="G93" s="4322">
        <v>-2</v>
      </c>
      <c r="H93" s="4322" t="s">
        <v>4261</v>
      </c>
      <c r="I93" s="4322" t="s">
        <v>4191</v>
      </c>
      <c r="J93" s="4322" t="s">
        <v>4192</v>
      </c>
      <c r="K93" s="4322" t="s">
        <v>4181</v>
      </c>
      <c r="L93" s="4322">
        <v>1</v>
      </c>
      <c r="M93" s="4322">
        <v>46.43</v>
      </c>
      <c r="N93" s="4322">
        <v>16</v>
      </c>
      <c r="O93" s="4322">
        <v>3446</v>
      </c>
    </row>
    <row r="94" spans="1:15" ht="14.25">
      <c r="M94" s="4323">
        <f>SUM(M2:M93)</f>
        <v>21750.470000000008</v>
      </c>
      <c r="N94" s="4323">
        <f>SUM(N2:N93)</f>
        <v>82000.060000000027</v>
      </c>
      <c r="O94" s="4322">
        <f>ROUND(N94/M94*10000,0)</f>
        <v>37700</v>
      </c>
    </row>
    <row r="95" spans="1:15" ht="14.25">
      <c r="L95" s="4322" t="s">
        <v>4262</v>
      </c>
      <c r="M95" s="4322">
        <f>M7+M10+M13+M18+M21+M26+M27+M28+M36+M43+M48+M50+M51+M56+M61+M63+M67+M68+M72+M78</f>
        <v>16877.499999999996</v>
      </c>
    </row>
    <row r="96" spans="1:15" ht="14.25">
      <c r="L96" s="4322" t="s">
        <v>4263</v>
      </c>
      <c r="M96" s="4322">
        <f>M94-M95</f>
        <v>4872.9700000000121</v>
      </c>
    </row>
    <row r="97" spans="12:13" ht="14.25">
      <c r="L97" s="4322" t="s">
        <v>4264</v>
      </c>
      <c r="M97" s="4325">
        <f>M96/M94</f>
        <v>0.22403975638227636</v>
      </c>
    </row>
  </sheetData>
  <phoneticPr fontId="134" type="noConversion"/>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FCB10-5944-40D2-9598-7EDE3E09F81B}">
  <sheetPr>
    <tabColor rgb="FF7030A0"/>
  </sheetPr>
  <dimension ref="A1:K17"/>
  <sheetViews>
    <sheetView workbookViewId="0">
      <selection activeCell="K20" sqref="K20"/>
    </sheetView>
  </sheetViews>
  <sheetFormatPr defaultColWidth="9" defaultRowHeight="14.25"/>
  <cols>
    <col min="1" max="1" width="10.5" style="4327" customWidth="1"/>
    <col min="2" max="4" width="7.5" style="4327" customWidth="1"/>
    <col min="5" max="5" width="37.125" style="4327" customWidth="1"/>
    <col min="6" max="6" width="9.5" style="4327" customWidth="1"/>
    <col min="7" max="7" width="5.5" style="4327" customWidth="1"/>
    <col min="8" max="9" width="13.875" style="4327" customWidth="1"/>
    <col min="10" max="10" width="16.125" style="4327" customWidth="1"/>
    <col min="11" max="11" width="17.25" style="4327" customWidth="1"/>
    <col min="12" max="12" width="20" style="4327" customWidth="1"/>
    <col min="13" max="16384" width="9" style="4327"/>
  </cols>
  <sheetData>
    <row r="1" spans="1:11">
      <c r="A1" s="4327" t="s">
        <v>4168</v>
      </c>
      <c r="B1" s="4327" t="s">
        <v>4169</v>
      </c>
      <c r="C1" s="4327" t="s">
        <v>4170</v>
      </c>
      <c r="D1" s="4327" t="s">
        <v>4171</v>
      </c>
      <c r="E1" s="4327" t="s">
        <v>4172</v>
      </c>
      <c r="F1" s="4327" t="s">
        <v>4173</v>
      </c>
      <c r="G1" s="4327" t="s">
        <v>4174</v>
      </c>
      <c r="H1" s="4327" t="s">
        <v>4175</v>
      </c>
      <c r="I1" s="4327" t="s">
        <v>4176</v>
      </c>
      <c r="J1" s="4327" t="s">
        <v>4177</v>
      </c>
      <c r="K1" s="4327" t="s">
        <v>4178</v>
      </c>
    </row>
    <row r="2" spans="1:11">
      <c r="A2" s="4328">
        <v>45195.333831018499</v>
      </c>
      <c r="B2" s="4327" t="s">
        <v>3998</v>
      </c>
      <c r="C2" s="4327">
        <v>8</v>
      </c>
      <c r="D2" s="4327">
        <v>801</v>
      </c>
      <c r="E2" s="4327" t="s">
        <v>4265</v>
      </c>
      <c r="F2" s="4327" t="s">
        <v>19</v>
      </c>
      <c r="G2" s="4327" t="s">
        <v>4181</v>
      </c>
      <c r="H2" s="4327">
        <v>1</v>
      </c>
      <c r="I2" s="4327">
        <v>897.54</v>
      </c>
      <c r="J2" s="4327">
        <v>4487.7</v>
      </c>
      <c r="K2" s="4327">
        <v>50000</v>
      </c>
    </row>
    <row r="3" spans="1:11">
      <c r="A3" s="4328">
        <v>45195.333831018499</v>
      </c>
      <c r="B3" s="4327" t="s">
        <v>3998</v>
      </c>
      <c r="C3" s="4327">
        <v>6</v>
      </c>
      <c r="D3" s="4327">
        <v>601</v>
      </c>
      <c r="E3" s="4327" t="s">
        <v>4265</v>
      </c>
      <c r="F3" s="4327" t="s">
        <v>19</v>
      </c>
      <c r="G3" s="4327" t="s">
        <v>4181</v>
      </c>
      <c r="H3" s="4327">
        <v>1</v>
      </c>
      <c r="I3" s="4327">
        <v>897.54</v>
      </c>
      <c r="J3" s="4327">
        <v>4487.7</v>
      </c>
      <c r="K3" s="4327">
        <v>50000</v>
      </c>
    </row>
    <row r="4" spans="1:11">
      <c r="A4" s="4328">
        <v>45195.333831018499</v>
      </c>
      <c r="B4" s="4327" t="s">
        <v>3998</v>
      </c>
      <c r="C4" s="4327">
        <v>5</v>
      </c>
      <c r="D4" s="4327">
        <v>501</v>
      </c>
      <c r="E4" s="4327" t="s">
        <v>4265</v>
      </c>
      <c r="F4" s="4327" t="s">
        <v>19</v>
      </c>
      <c r="G4" s="4327" t="s">
        <v>4181</v>
      </c>
      <c r="H4" s="4327">
        <v>1</v>
      </c>
      <c r="I4" s="4327">
        <v>897.54</v>
      </c>
      <c r="J4" s="4327">
        <v>4487.7</v>
      </c>
      <c r="K4" s="4327">
        <v>50000</v>
      </c>
    </row>
    <row r="5" spans="1:11">
      <c r="A5" s="4328">
        <v>45195.333831018499</v>
      </c>
      <c r="B5" s="4327" t="s">
        <v>3998</v>
      </c>
      <c r="C5" s="4327">
        <v>4</v>
      </c>
      <c r="D5" s="4327">
        <v>401</v>
      </c>
      <c r="E5" s="4327" t="s">
        <v>4265</v>
      </c>
      <c r="F5" s="4327" t="s">
        <v>19</v>
      </c>
      <c r="G5" s="4327" t="s">
        <v>4181</v>
      </c>
      <c r="H5" s="4327">
        <v>1</v>
      </c>
      <c r="I5" s="4327">
        <v>897.54</v>
      </c>
      <c r="J5" s="4327">
        <v>4487.7</v>
      </c>
      <c r="K5" s="4327">
        <v>50000</v>
      </c>
    </row>
    <row r="6" spans="1:11">
      <c r="A6" s="4328">
        <v>45195.333831018499</v>
      </c>
      <c r="B6" s="4327" t="s">
        <v>3998</v>
      </c>
      <c r="C6" s="4327">
        <v>10</v>
      </c>
      <c r="D6" s="4327">
        <v>1001</v>
      </c>
      <c r="E6" s="4327" t="s">
        <v>4265</v>
      </c>
      <c r="F6" s="4327" t="s">
        <v>19</v>
      </c>
      <c r="G6" s="4327" t="s">
        <v>4181</v>
      </c>
      <c r="H6" s="4327">
        <v>1</v>
      </c>
      <c r="I6" s="4327">
        <v>897.54</v>
      </c>
      <c r="J6" s="4327">
        <v>4487.7</v>
      </c>
      <c r="K6" s="4327">
        <v>50000</v>
      </c>
    </row>
    <row r="7" spans="1:11">
      <c r="A7" s="4328">
        <v>45195.333831018499</v>
      </c>
      <c r="B7" s="4327" t="s">
        <v>3998</v>
      </c>
      <c r="C7" s="4327">
        <v>9</v>
      </c>
      <c r="D7" s="4327">
        <v>901</v>
      </c>
      <c r="E7" s="4327" t="s">
        <v>4265</v>
      </c>
      <c r="F7" s="4327" t="s">
        <v>19</v>
      </c>
      <c r="G7" s="4327" t="s">
        <v>4181</v>
      </c>
      <c r="H7" s="4327">
        <v>1</v>
      </c>
      <c r="I7" s="4327">
        <v>897.54</v>
      </c>
      <c r="J7" s="4327">
        <v>4487.7</v>
      </c>
      <c r="K7" s="4327">
        <v>50000</v>
      </c>
    </row>
    <row r="8" spans="1:11">
      <c r="A8" s="4328">
        <v>45195.333831018499</v>
      </c>
      <c r="B8" s="4327" t="s">
        <v>3998</v>
      </c>
      <c r="C8" s="4327">
        <v>1</v>
      </c>
      <c r="D8" s="4327">
        <v>101</v>
      </c>
      <c r="E8" s="4327" t="s">
        <v>4265</v>
      </c>
      <c r="F8" s="4327" t="s">
        <v>660</v>
      </c>
      <c r="G8" s="4327" t="s">
        <v>4181</v>
      </c>
      <c r="H8" s="4327">
        <v>1</v>
      </c>
      <c r="I8" s="4327">
        <v>801.28</v>
      </c>
      <c r="J8" s="4327">
        <v>4006.4</v>
      </c>
      <c r="K8" s="4327">
        <v>50000</v>
      </c>
    </row>
    <row r="9" spans="1:11">
      <c r="A9" s="4328">
        <v>45195.333831018499</v>
      </c>
      <c r="B9" s="4327" t="s">
        <v>3998</v>
      </c>
      <c r="C9" s="4327">
        <v>-1</v>
      </c>
      <c r="D9" s="4327">
        <v>-102</v>
      </c>
      <c r="E9" s="4327" t="s">
        <v>4265</v>
      </c>
      <c r="F9" s="4327" t="s">
        <v>660</v>
      </c>
      <c r="G9" s="4327" t="s">
        <v>4181</v>
      </c>
      <c r="H9" s="4327">
        <v>1</v>
      </c>
      <c r="I9" s="4327">
        <v>857.83</v>
      </c>
      <c r="J9" s="4327">
        <v>1286.75</v>
      </c>
      <c r="K9" s="4327">
        <v>15000</v>
      </c>
    </row>
    <row r="10" spans="1:11">
      <c r="A10" s="4328">
        <v>45195.333831018499</v>
      </c>
      <c r="B10" s="4327" t="s">
        <v>3998</v>
      </c>
      <c r="C10" s="4327">
        <v>3</v>
      </c>
      <c r="D10" s="4327">
        <v>301</v>
      </c>
      <c r="E10" s="4327" t="s">
        <v>4265</v>
      </c>
      <c r="F10" s="4327" t="s">
        <v>19</v>
      </c>
      <c r="G10" s="4327" t="s">
        <v>4181</v>
      </c>
      <c r="H10" s="4327">
        <v>1</v>
      </c>
      <c r="I10" s="4327">
        <v>897.54</v>
      </c>
      <c r="J10" s="4327">
        <v>4487.7</v>
      </c>
      <c r="K10" s="4327">
        <v>50000</v>
      </c>
    </row>
    <row r="11" spans="1:11">
      <c r="A11" s="4328">
        <v>45195.333831018499</v>
      </c>
      <c r="B11" s="4327" t="s">
        <v>3998</v>
      </c>
      <c r="C11" s="4327">
        <v>7</v>
      </c>
      <c r="D11" s="4327">
        <v>701</v>
      </c>
      <c r="E11" s="4327" t="s">
        <v>4265</v>
      </c>
      <c r="F11" s="4327" t="s">
        <v>19</v>
      </c>
      <c r="G11" s="4327" t="s">
        <v>4181</v>
      </c>
      <c r="H11" s="4327">
        <v>1</v>
      </c>
      <c r="I11" s="4327">
        <v>897.54</v>
      </c>
      <c r="J11" s="4327">
        <v>4487.7</v>
      </c>
      <c r="K11" s="4327">
        <v>50000</v>
      </c>
    </row>
    <row r="12" spans="1:11">
      <c r="A12" s="4328">
        <v>45195.333831018499</v>
      </c>
      <c r="B12" s="4327" t="s">
        <v>3998</v>
      </c>
      <c r="C12" s="4327">
        <v>2</v>
      </c>
      <c r="D12" s="4327">
        <v>201</v>
      </c>
      <c r="E12" s="4327" t="s">
        <v>4265</v>
      </c>
      <c r="F12" s="4327" t="s">
        <v>19</v>
      </c>
      <c r="G12" s="4327" t="s">
        <v>4181</v>
      </c>
      <c r="H12" s="4327">
        <v>1</v>
      </c>
      <c r="I12" s="4327">
        <v>897.54</v>
      </c>
      <c r="J12" s="4327">
        <v>4487.7</v>
      </c>
      <c r="K12" s="4327">
        <v>50000</v>
      </c>
    </row>
    <row r="13" spans="1:11">
      <c r="A13" s="4328">
        <v>45181.333831018499</v>
      </c>
      <c r="B13" s="4327" t="s">
        <v>3998</v>
      </c>
      <c r="C13" s="4327">
        <v>-1</v>
      </c>
      <c r="D13" s="4327">
        <v>-101</v>
      </c>
      <c r="E13" s="4327" t="s">
        <v>4265</v>
      </c>
      <c r="F13" s="4327" t="s">
        <v>660</v>
      </c>
      <c r="G13" s="4327" t="s">
        <v>4181</v>
      </c>
      <c r="H13" s="4327">
        <v>1</v>
      </c>
      <c r="I13" s="4327">
        <v>838.45</v>
      </c>
      <c r="J13" s="4327">
        <v>1257.68</v>
      </c>
      <c r="K13" s="4327">
        <v>15000</v>
      </c>
    </row>
    <row r="14" spans="1:11">
      <c r="I14" s="4327">
        <f>SUM(I2:I13)</f>
        <v>10575.420000000002</v>
      </c>
      <c r="J14" s="4327">
        <f>SUM(J2:J13)</f>
        <v>46940.13</v>
      </c>
      <c r="K14" s="4322">
        <f>ROUND(J14/I14*10000,0)</f>
        <v>44386</v>
      </c>
    </row>
    <row r="15" spans="1:11">
      <c r="H15" s="4322" t="s">
        <v>4262</v>
      </c>
      <c r="I15" s="4322">
        <f>I2+I3+I4+I5+I6+I7+I8+I10+I11+I12</f>
        <v>8879.14</v>
      </c>
    </row>
    <row r="16" spans="1:11">
      <c r="H16" s="4322" t="s">
        <v>4263</v>
      </c>
      <c r="I16" s="4322">
        <f>I14-I15</f>
        <v>1696.2800000000025</v>
      </c>
    </row>
    <row r="17" spans="8:9">
      <c r="H17" s="4322" t="s">
        <v>4264</v>
      </c>
      <c r="I17" s="4325">
        <f>I16/I14</f>
        <v>0.16039835770116007</v>
      </c>
    </row>
  </sheetData>
  <phoneticPr fontId="134" type="noConversion"/>
  <pageMargins left="0.75" right="0.75" top="1" bottom="1" header="0.5" footer="0.5"/>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E18" sqref="E18"/>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961" customWidth="1"/>
    <col min="18" max="18" width="20.5" style="961" customWidth="1"/>
    <col min="19" max="19" width="13.25" style="961" customWidth="1"/>
    <col min="20" max="37" width="9" style="961"/>
    <col min="38" max="16384" width="9" style="153"/>
  </cols>
  <sheetData>
    <row r="1" spans="1:37" s="178" customFormat="1" ht="21">
      <c r="A1" s="952" t="s">
        <v>862</v>
      </c>
      <c r="B1" s="481"/>
      <c r="C1" s="2859" t="s">
        <v>19</v>
      </c>
      <c r="D1" s="940" t="s">
        <v>41</v>
      </c>
      <c r="E1" s="941" t="s">
        <v>665</v>
      </c>
      <c r="F1" s="3519">
        <f ca="1">J62</f>
        <v>28.51</v>
      </c>
      <c r="G1" s="955">
        <f>MATCH(C1,'数据-取费表'!A6:A16,0)+5</f>
        <v>6</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7">
        <f ca="1">IF(D2="含税",ROUND((C28+J31+L55)*(1+F31),0),C28+J31+L55)</f>
        <v>66416</v>
      </c>
      <c r="C2" s="958" t="s">
        <v>791</v>
      </c>
      <c r="D2" s="3429" t="s">
        <v>3994</v>
      </c>
      <c r="E2" s="963"/>
      <c r="F2" s="964"/>
      <c r="G2" s="1999"/>
      <c r="H2" s="1989"/>
      <c r="I2" s="1989"/>
      <c r="J2" s="1989"/>
      <c r="K2" s="1990"/>
      <c r="L2" s="1989"/>
      <c r="M2" s="1989"/>
    </row>
    <row r="3" spans="1:37" ht="18" customHeight="1" thickBot="1">
      <c r="A3" s="965" t="s">
        <v>792</v>
      </c>
      <c r="B3" s="2828">
        <f ca="1">IF(ISERROR(B2*10000/F32),0,ROUND(B2*10000/F32,0))</f>
        <v>16833</v>
      </c>
      <c r="C3" s="958" t="s">
        <v>793</v>
      </c>
      <c r="D3" s="958"/>
      <c r="E3" s="963"/>
      <c r="F3" s="964"/>
      <c r="G3" s="1999"/>
      <c r="H3" s="467" t="s">
        <v>861</v>
      </c>
      <c r="I3" s="959"/>
      <c r="J3" s="959"/>
      <c r="K3" s="960"/>
      <c r="L3" s="959"/>
      <c r="M3" s="959"/>
    </row>
    <row r="4" spans="1:37" s="118" customFormat="1" ht="18" customHeight="1">
      <c r="A4" s="2797" t="s">
        <v>3885</v>
      </c>
      <c r="B4" s="2798" t="s">
        <v>3886</v>
      </c>
      <c r="C4" s="3684" t="s">
        <v>3824</v>
      </c>
      <c r="D4" s="2798" t="s">
        <v>3887</v>
      </c>
      <c r="E4" s="4121" t="s">
        <v>3888</v>
      </c>
      <c r="F4" s="4122"/>
      <c r="G4" s="4123"/>
      <c r="H4" s="2797" t="s">
        <v>3885</v>
      </c>
      <c r="I4" s="2798" t="s">
        <v>3886</v>
      </c>
      <c r="J4" s="3684" t="s">
        <v>3824</v>
      </c>
      <c r="K4" s="2798" t="s">
        <v>3887</v>
      </c>
      <c r="L4" s="4121" t="s">
        <v>3888</v>
      </c>
      <c r="M4" s="4122"/>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3"/>
    </row>
    <row r="5" spans="1:37" s="118" customFormat="1" ht="18" customHeight="1">
      <c r="A5" s="183">
        <v>1</v>
      </c>
      <c r="B5" s="4033" t="s">
        <v>3402</v>
      </c>
      <c r="C5" s="3517">
        <f ca="1">ROUND(C6+C10+C12,0)</f>
        <v>4023</v>
      </c>
      <c r="D5" s="4124" t="s">
        <v>3891</v>
      </c>
      <c r="E5" s="4125"/>
      <c r="F5" s="4126"/>
      <c r="G5" s="4123"/>
      <c r="H5" s="183">
        <v>1</v>
      </c>
      <c r="I5" s="4033" t="s">
        <v>3402</v>
      </c>
      <c r="J5" s="3517">
        <f ca="1">ROUND(J6+J10+J12,0)</f>
        <v>0</v>
      </c>
      <c r="K5" s="4124" t="s">
        <v>3891</v>
      </c>
      <c r="L5" s="4125"/>
      <c r="M5" s="4126"/>
      <c r="N5" s="4123"/>
      <c r="O5" s="4123"/>
      <c r="P5" s="4123"/>
      <c r="Q5" s="4123"/>
      <c r="R5" s="4123"/>
      <c r="S5" s="4123"/>
      <c r="T5" s="4123"/>
      <c r="U5" s="4123"/>
      <c r="V5" s="4123"/>
      <c r="W5" s="4123"/>
      <c r="X5" s="4123"/>
      <c r="Y5" s="4123"/>
      <c r="Z5" s="4123"/>
      <c r="AA5" s="4123"/>
      <c r="AB5" s="4123"/>
      <c r="AC5" s="4123"/>
      <c r="AD5" s="4123"/>
      <c r="AE5" s="4123"/>
      <c r="AF5" s="4123"/>
      <c r="AG5" s="4123"/>
      <c r="AH5" s="4123"/>
      <c r="AI5" s="4123"/>
      <c r="AJ5" s="4123"/>
      <c r="AK5" s="4123"/>
    </row>
    <row r="6" spans="1:37" ht="18" customHeight="1">
      <c r="A6" s="729" t="s">
        <v>392</v>
      </c>
      <c r="B6" s="2786" t="s">
        <v>3801</v>
      </c>
      <c r="C6" s="3974">
        <f ca="1">C7-C9</f>
        <v>4018.0299999999997</v>
      </c>
      <c r="D6" s="2787" t="s">
        <v>3805</v>
      </c>
      <c r="E6" s="2785" t="s">
        <v>3400</v>
      </c>
      <c r="F6" s="3133">
        <f ca="1">INDIRECT("'数据-取费表'!u"&amp;$G$1)</f>
        <v>3.1</v>
      </c>
      <c r="G6" s="961"/>
      <c r="H6" s="729" t="s">
        <v>392</v>
      </c>
      <c r="I6" s="2786" t="s">
        <v>3801</v>
      </c>
      <c r="J6" s="2773">
        <f ca="1">J7-J9</f>
        <v>0</v>
      </c>
      <c r="K6" s="2787" t="s">
        <v>3805</v>
      </c>
      <c r="L6" s="2785" t="s">
        <v>3400</v>
      </c>
      <c r="M6" s="3133">
        <f ca="1">INDIRECT("'数据-取费表'!z"&amp;$G$1)</f>
        <v>0</v>
      </c>
    </row>
    <row r="7" spans="1:37" ht="18" customHeight="1">
      <c r="A7" s="4622" t="s">
        <v>391</v>
      </c>
      <c r="B7" s="4613" t="s">
        <v>3799</v>
      </c>
      <c r="C7" s="4615">
        <f ca="1">ROUND(F6*F7*F8/10000,2)</f>
        <v>4464.4799999999996</v>
      </c>
      <c r="D7" s="4616" t="s">
        <v>3474</v>
      </c>
      <c r="E7" s="736" t="s">
        <v>683</v>
      </c>
      <c r="F7" s="3520">
        <f ca="1">IF(INDIRECT("'数据-取费表'!ah"&amp;$G$1)="",INDIRECT("'数据-取费表'!k"&amp;$G$1),INDIRECT("'数据-取费表'!ah"&amp;$G$1))</f>
        <v>39456.269999999997</v>
      </c>
      <c r="G7" s="961"/>
      <c r="H7" s="4622" t="s">
        <v>391</v>
      </c>
      <c r="I7" s="4613" t="s">
        <v>3799</v>
      </c>
      <c r="J7" s="4610">
        <f ca="1">ROUND(M6*M8*M7/10000,2)</f>
        <v>0</v>
      </c>
      <c r="K7" s="4616" t="s">
        <v>3474</v>
      </c>
      <c r="L7" s="186" t="s">
        <v>683</v>
      </c>
      <c r="M7" s="3520">
        <f ca="1">F7</f>
        <v>39456.269999999997</v>
      </c>
    </row>
    <row r="8" spans="1:37" ht="18" customHeight="1">
      <c r="A8" s="4623"/>
      <c r="B8" s="4614"/>
      <c r="C8" s="4615"/>
      <c r="D8" s="4616"/>
      <c r="E8" s="186" t="s">
        <v>684</v>
      </c>
      <c r="F8" s="3520">
        <f ca="1">INDIRECT("'数据-取费表'!ai"&amp;$G$1)</f>
        <v>365</v>
      </c>
      <c r="G8" s="961"/>
      <c r="H8" s="4623"/>
      <c r="I8" s="4614"/>
      <c r="J8" s="4610"/>
      <c r="K8" s="4616"/>
      <c r="L8" s="186" t="s">
        <v>684</v>
      </c>
      <c r="M8" s="3520">
        <f ca="1">INDIRECT("'数据-取费表'!ai"&amp;$G$1)</f>
        <v>365</v>
      </c>
    </row>
    <row r="9" spans="1:37" ht="18" customHeight="1">
      <c r="A9" s="2771" t="s">
        <v>3401</v>
      </c>
      <c r="B9" s="3140" t="s">
        <v>3800</v>
      </c>
      <c r="C9" s="3975">
        <f ca="1">ROUND(C7*F9,2)</f>
        <v>446.45</v>
      </c>
      <c r="D9" s="2787" t="s">
        <v>3804</v>
      </c>
      <c r="E9" s="186" t="s">
        <v>685</v>
      </c>
      <c r="F9" s="2843">
        <f ca="1">INDIRECT("'数据-取费表'!w"&amp;$G$1)</f>
        <v>0.1</v>
      </c>
      <c r="G9" s="961"/>
      <c r="H9" s="2771" t="s">
        <v>3401</v>
      </c>
      <c r="I9" s="3140" t="s">
        <v>3800</v>
      </c>
      <c r="J9" s="2773">
        <f ca="1">ROUND(J7*M9,2)</f>
        <v>0</v>
      </c>
      <c r="K9" s="2787" t="s">
        <v>3804</v>
      </c>
      <c r="L9" s="197" t="s">
        <v>685</v>
      </c>
      <c r="M9" s="2906">
        <f ca="1">INDIRECT("'数据-取费表'!ab"&amp;$G$1)</f>
        <v>0</v>
      </c>
    </row>
    <row r="10" spans="1:37" ht="18" customHeight="1">
      <c r="A10" s="729" t="s">
        <v>396</v>
      </c>
      <c r="B10" s="943" t="s">
        <v>686</v>
      </c>
      <c r="C10" s="2773">
        <f ca="1">ROUND(IF(F10="押一",C6/12*F11,IF(F10="押二",C6/12*2*F11,IF(F10="押三",C6/12*3*F11,C11*F11))),2)</f>
        <v>5.0199999999999996</v>
      </c>
      <c r="D10" s="59" t="s">
        <v>2026</v>
      </c>
      <c r="E10" s="197" t="s">
        <v>687</v>
      </c>
      <c r="F10" s="771" t="s">
        <v>4153</v>
      </c>
      <c r="G10" s="961"/>
      <c r="H10" s="729" t="s">
        <v>396</v>
      </c>
      <c r="I10" s="943" t="s">
        <v>686</v>
      </c>
      <c r="J10" s="2791">
        <f ca="1">ROUND(IF(M10="押一",J6/12*M11,IF(M10="押二",J6/12*2*M11,IF(M10="押三",J6/12*3*M11,J11*M11))),2)</f>
        <v>0</v>
      </c>
      <c r="K10" s="59" t="s">
        <v>2025</v>
      </c>
      <c r="L10" s="197" t="s">
        <v>687</v>
      </c>
      <c r="M10" s="4005"/>
    </row>
    <row r="11" spans="1:37" ht="18" customHeight="1">
      <c r="A11" s="192"/>
      <c r="B11" s="3128" t="s">
        <v>3479</v>
      </c>
      <c r="C11" s="2790"/>
      <c r="D11" s="945"/>
      <c r="E11" s="197" t="s">
        <v>688</v>
      </c>
      <c r="F11" s="2906">
        <f ca="1">'数据-取费表'!B40</f>
        <v>1.4999999999999999E-2</v>
      </c>
      <c r="G11" s="961"/>
      <c r="H11" s="737"/>
      <c r="I11" s="3128" t="s">
        <v>3926</v>
      </c>
      <c r="J11" s="2790"/>
      <c r="K11" s="464"/>
      <c r="L11" s="197" t="s">
        <v>688</v>
      </c>
      <c r="M11" s="3543">
        <f ca="1">'数据-取费表'!B40</f>
        <v>1.4999999999999999E-2</v>
      </c>
    </row>
    <row r="12" spans="1:37" ht="18" customHeight="1" thickBot="1">
      <c r="A12" s="742" t="s">
        <v>431</v>
      </c>
      <c r="B12" s="946" t="s">
        <v>689</v>
      </c>
      <c r="C12" s="2818"/>
      <c r="D12" s="744"/>
      <c r="E12" s="749"/>
      <c r="F12" s="745"/>
      <c r="G12" s="961"/>
      <c r="H12" s="742" t="s">
        <v>431</v>
      </c>
      <c r="I12" s="946" t="s">
        <v>689</v>
      </c>
      <c r="J12" s="2818"/>
      <c r="K12" s="757"/>
      <c r="L12" s="749"/>
      <c r="M12" s="2907"/>
    </row>
    <row r="13" spans="1:37" s="118" customFormat="1" ht="18" customHeight="1" thickTop="1">
      <c r="A13" s="738" t="s">
        <v>3682</v>
      </c>
      <c r="B13" s="739" t="s">
        <v>3892</v>
      </c>
      <c r="C13" s="3968">
        <f ca="1">ROUND(C14+C22+C24+C26,0)</f>
        <v>658</v>
      </c>
      <c r="D13" s="4127" t="s">
        <v>3893</v>
      </c>
      <c r="E13" s="4128"/>
      <c r="F13" s="4126"/>
      <c r="G13" s="4123"/>
      <c r="H13" s="738" t="s">
        <v>3682</v>
      </c>
      <c r="I13" s="739" t="s">
        <v>3892</v>
      </c>
      <c r="J13" s="3968">
        <f ca="1">ROUND(J14+J22+J24+J26,0)</f>
        <v>297</v>
      </c>
      <c r="K13" s="4129" t="s">
        <v>3894</v>
      </c>
      <c r="L13" s="4128"/>
      <c r="M13" s="4130"/>
      <c r="N13" s="4123"/>
      <c r="O13" s="4123"/>
      <c r="P13" s="4123"/>
      <c r="Q13" s="4123"/>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3982</v>
      </c>
      <c r="C14" s="2773">
        <f ca="1">ROUND(IF(AND(项目基本情况!B11="自然人",项目基本情况!B10="北京市",M56="住宅"),C6*F14,C15+C19+C20),2)</f>
        <v>538.05999999999995</v>
      </c>
      <c r="D14" s="926" t="s">
        <v>3446</v>
      </c>
      <c r="E14" s="925" t="str">
        <f>IF(M56="非住宅","","综合税率")</f>
        <v/>
      </c>
      <c r="F14" s="3951" t="str">
        <f>IF(M56="非住宅","",IF(F6*F7*F8/12/(1+'数据-取费表'!F30)&gt;100000,4%,2.5%))</f>
        <v/>
      </c>
      <c r="G14" s="961"/>
      <c r="H14" s="676" t="s">
        <v>392</v>
      </c>
      <c r="I14" s="2785" t="s">
        <v>3982</v>
      </c>
      <c r="J14" s="2773">
        <f ca="1">ROUND(IF(AND(项目基本情况!B11="自然人",项目基本情况!B10="北京市",M56="住宅"),J6*M14/(1+'数据-取费表'!C43),J15+J19+J20),2)</f>
        <v>242.03</v>
      </c>
      <c r="K14" s="2814" t="s">
        <v>3445</v>
      </c>
      <c r="L14" s="925" t="str">
        <f>E14</f>
        <v/>
      </c>
      <c r="M14" s="3951" t="str">
        <f>IF(M56="非住宅","",IF(M6*M7*M8/12/(1+'数据-取费表'!F30)&gt;100000,4%,2.5%))</f>
        <v/>
      </c>
    </row>
    <row r="15" spans="1:37" s="972" customFormat="1" ht="18" customHeight="1">
      <c r="A15" s="2771" t="s">
        <v>3403</v>
      </c>
      <c r="B15" s="2785" t="s">
        <v>3978</v>
      </c>
      <c r="C15" s="2773">
        <f ca="1">C18</f>
        <v>42.33</v>
      </c>
      <c r="D15" s="4620" t="s">
        <v>3987</v>
      </c>
      <c r="E15" s="4621"/>
      <c r="F15" s="4621"/>
      <c r="G15" s="971"/>
      <c r="H15" s="2771" t="s">
        <v>391</v>
      </c>
      <c r="I15" s="2785" t="s">
        <v>3978</v>
      </c>
      <c r="J15" s="2773">
        <f ca="1">J18</f>
        <v>-0.59</v>
      </c>
      <c r="K15" s="4620" t="s">
        <v>3977</v>
      </c>
      <c r="L15" s="4621"/>
      <c r="M15" s="462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94">
        <f ca="1">ROUND(C6*F16,2)</f>
        <v>361.62</v>
      </c>
      <c r="D16" s="1020" t="s">
        <v>3863</v>
      </c>
      <c r="E16" s="2795" t="s">
        <v>3406</v>
      </c>
      <c r="F16" s="2841">
        <v>0.09</v>
      </c>
      <c r="G16" s="961"/>
      <c r="H16" s="2570" t="s">
        <v>3285</v>
      </c>
      <c r="I16" s="2789" t="s">
        <v>3404</v>
      </c>
      <c r="J16" s="2794">
        <f ca="1">ROUND(J6*M16,2)</f>
        <v>0</v>
      </c>
      <c r="K16" s="4102" t="s">
        <v>3869</v>
      </c>
      <c r="L16" s="2795" t="s">
        <v>3406</v>
      </c>
      <c r="M16" s="2841">
        <v>0.09</v>
      </c>
    </row>
    <row r="17" spans="1:37" s="972" customFormat="1" ht="18" customHeight="1">
      <c r="A17" s="2570" t="s">
        <v>3286</v>
      </c>
      <c r="B17" s="2789" t="s">
        <v>3405</v>
      </c>
      <c r="C17" s="2815">
        <f ca="1">ROUND(C22*F16+((C24+C26)*F17),2)</f>
        <v>8.83</v>
      </c>
      <c r="D17" s="4101" t="s">
        <v>3864</v>
      </c>
      <c r="E17" s="2796"/>
      <c r="F17" s="2841">
        <v>0.06</v>
      </c>
      <c r="G17" s="971"/>
      <c r="H17" s="2570" t="s">
        <v>3286</v>
      </c>
      <c r="I17" s="2789" t="s">
        <v>3405</v>
      </c>
      <c r="J17" s="2815">
        <f ca="1">ROUND(J22*M16+((J24+J26)*M17),2)</f>
        <v>4.91</v>
      </c>
      <c r="K17" s="4101" t="s">
        <v>3864</v>
      </c>
      <c r="L17" s="2796"/>
      <c r="M17" s="2841">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3975</v>
      </c>
      <c r="B18" s="2789" t="s">
        <v>3973</v>
      </c>
      <c r="C18" s="2815">
        <f ca="1">ROUND((C16-C17)*F18,2)</f>
        <v>42.33</v>
      </c>
      <c r="D18" s="2814" t="s">
        <v>3974</v>
      </c>
      <c r="E18" s="186" t="s">
        <v>3439</v>
      </c>
      <c r="F18" s="2841">
        <f>'数据-取费表'!B44</f>
        <v>0.12000000000000001</v>
      </c>
      <c r="G18" s="971"/>
      <c r="H18" s="2570" t="s">
        <v>3975</v>
      </c>
      <c r="I18" s="2789" t="s">
        <v>3973</v>
      </c>
      <c r="J18" s="2815">
        <f ca="1">ROUND((J16-J17)*M18,2)</f>
        <v>-0.59</v>
      </c>
      <c r="K18" s="2814" t="s">
        <v>3974</v>
      </c>
      <c r="L18" s="186" t="s">
        <v>3439</v>
      </c>
      <c r="M18" s="2841">
        <f>'数据-取费表'!B44</f>
        <v>0.12000000000000001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3983</v>
      </c>
      <c r="C19" s="2773">
        <f ca="1">IF(AND(项目基本情况!B11="自然人",M56="住宅"),"——",IF(D19="按不含税租金收入（有效毛租金收入）计税",ROUND(C6*F19,2),IF(D19="按房产原值计税",ROUND(C51*F19*0.7,2),INDIRECT("'数据-取费表'!Aj"&amp;$G$1))))</f>
        <v>482.16</v>
      </c>
      <c r="D19" s="2788" t="s">
        <v>4154</v>
      </c>
      <c r="E19" s="186" t="s">
        <v>698</v>
      </c>
      <c r="F19" s="2841">
        <f>IF(D19="按票据","——",IF(D19="按不含税租金收入（有效毛租金收入）计税",'数据-取费表'!B52,'数据-取费表'!B51))</f>
        <v>0.12</v>
      </c>
      <c r="G19" s="971"/>
      <c r="H19" s="2771" t="s">
        <v>393</v>
      </c>
      <c r="I19" s="2785" t="s">
        <v>3984</v>
      </c>
      <c r="J19" s="2773">
        <f ca="1">IF(K19="按不含税租金收入（有效毛租金收入）计税",ROUND(J6*M19,2),ROUND(C51*M19*0.7,2))</f>
        <v>229.05</v>
      </c>
      <c r="K19" s="947"/>
      <c r="L19" s="186" t="s">
        <v>698</v>
      </c>
      <c r="M19" s="2841">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953" t="s">
        <v>3980</v>
      </c>
      <c r="C20" s="2791">
        <f ca="1">IF(AND(项目基本情况!B11="自然人",M56="住宅"),"——",ROUND(F20*F21/10000,2))</f>
        <v>13.57</v>
      </c>
      <c r="D20" s="207" t="s">
        <v>717</v>
      </c>
      <c r="E20" s="186" t="s">
        <v>718</v>
      </c>
      <c r="F20" s="2842">
        <f>'数据-取费表'!B53</f>
        <v>12</v>
      </c>
      <c r="G20" s="961"/>
      <c r="H20" s="3966" t="s">
        <v>667</v>
      </c>
      <c r="I20" s="953" t="s">
        <v>3980</v>
      </c>
      <c r="J20" s="2791">
        <f ca="1">ROUND(M20*M21/10000,2)</f>
        <v>13.57</v>
      </c>
      <c r="K20" s="207" t="s">
        <v>717</v>
      </c>
      <c r="L20" s="186" t="s">
        <v>718</v>
      </c>
      <c r="M20" s="2842">
        <f>'数据-取费表'!B53</f>
        <v>12</v>
      </c>
    </row>
    <row r="21" spans="1:37" s="972" customFormat="1" ht="18" customHeight="1">
      <c r="A21" s="209"/>
      <c r="B21" s="760"/>
      <c r="C21" s="2792"/>
      <c r="D21" s="210"/>
      <c r="E21" s="186" t="s">
        <v>722</v>
      </c>
      <c r="F21" s="2837">
        <f ca="1">INDIRECT("'数据-取费表'!r"&amp;$G$1)</f>
        <v>11304.33</v>
      </c>
      <c r="G21" s="971"/>
      <c r="H21" s="209"/>
      <c r="I21" s="195"/>
      <c r="J21" s="2792"/>
      <c r="K21" s="210"/>
      <c r="L21" s="186" t="s">
        <v>722</v>
      </c>
      <c r="M21" s="2837">
        <f ca="1">INDIRECT("'数据-取费表'!r"&amp;$G$1)</f>
        <v>11304.33</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80">
        <f ca="1">ROUND(C51*F22,2)</f>
        <v>54.54</v>
      </c>
      <c r="D22" s="1809" t="s">
        <v>3825</v>
      </c>
      <c r="E22" s="186" t="s">
        <v>698</v>
      </c>
      <c r="F22" s="2843">
        <f ca="1">INDIRECT("'数据-取费表'!Ak"&amp;$G$1)</f>
        <v>2E-3</v>
      </c>
      <c r="G22" s="971"/>
      <c r="H22" s="3979" t="s">
        <v>396</v>
      </c>
      <c r="I22" s="56" t="s">
        <v>724</v>
      </c>
      <c r="J22" s="3980">
        <f ca="1">ROUND(J35*M22,2)</f>
        <v>54.54</v>
      </c>
      <c r="K22" s="1809" t="s">
        <v>725</v>
      </c>
      <c r="L22" s="186" t="s">
        <v>698</v>
      </c>
      <c r="M22" s="2843">
        <f ca="1">INDIRECT("'数据-取费表'!Ak"&amp;$G$1)</f>
        <v>2E-3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81"/>
      <c r="D23" s="4047"/>
      <c r="E23" s="2785" t="s">
        <v>3826</v>
      </c>
      <c r="F23" s="3520">
        <f ca="1">C51</f>
        <v>27268</v>
      </c>
      <c r="G23" s="971"/>
      <c r="H23" s="209"/>
      <c r="I23" s="195"/>
      <c r="J23" s="3981"/>
      <c r="K23" s="4047"/>
      <c r="L23" s="2785" t="s">
        <v>3826</v>
      </c>
      <c r="M23" s="3520">
        <f ca="1">J35</f>
        <v>27268</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80">
        <f ca="1">ROUND(C53*F24,2)</f>
        <v>25.09</v>
      </c>
      <c r="D24" s="1809" t="s">
        <v>3443</v>
      </c>
      <c r="E24" s="186" t="s">
        <v>730</v>
      </c>
      <c r="F24" s="2843">
        <f ca="1">INDIRECT("'数据-取费表'!Al"&amp;$G$1)</f>
        <v>1E-3</v>
      </c>
      <c r="G24" s="961"/>
      <c r="H24" s="3979" t="s">
        <v>431</v>
      </c>
      <c r="I24" s="56" t="s">
        <v>728</v>
      </c>
      <c r="J24" s="3980">
        <f ca="1">ROUND(J37*M24,2)</f>
        <v>0</v>
      </c>
      <c r="K24" s="1809" t="s">
        <v>3829</v>
      </c>
      <c r="L24" s="186" t="s">
        <v>730</v>
      </c>
      <c r="M24" s="2843">
        <f ca="1">INDIRECT("'数据-取费表'!Al"&amp;$G$1)</f>
        <v>1E-3</v>
      </c>
    </row>
    <row r="25" spans="1:37" ht="18" customHeight="1">
      <c r="A25" s="209"/>
      <c r="B25" s="195"/>
      <c r="C25" s="3981"/>
      <c r="D25" s="4047"/>
      <c r="E25" s="4046" t="s">
        <v>3827</v>
      </c>
      <c r="F25" s="3520">
        <f ca="1">C53</f>
        <v>25087</v>
      </c>
      <c r="G25" s="961"/>
      <c r="H25" s="209"/>
      <c r="I25" s="195"/>
      <c r="J25" s="3981"/>
      <c r="K25" s="4047"/>
      <c r="L25" s="4046" t="s">
        <v>3827</v>
      </c>
      <c r="M25" s="3520">
        <f ca="1">J37</f>
        <v>0</v>
      </c>
    </row>
    <row r="26" spans="1:37" s="972" customFormat="1" ht="18" customHeight="1" thickBot="1">
      <c r="A26" s="748" t="s">
        <v>671</v>
      </c>
      <c r="B26" s="749" t="s">
        <v>714</v>
      </c>
      <c r="C26" s="2793">
        <f ca="1">ROUND(C5*F26,2)</f>
        <v>40.229999999999997</v>
      </c>
      <c r="D26" s="751" t="s">
        <v>3870</v>
      </c>
      <c r="E26" s="749" t="s">
        <v>730</v>
      </c>
      <c r="F26" s="2907">
        <f ca="1">INDIRECT("'数据-取费表'!Am"&amp;$G$1)</f>
        <v>0.01</v>
      </c>
      <c r="G26" s="971"/>
      <c r="H26" s="748" t="s">
        <v>671</v>
      </c>
      <c r="I26" s="749" t="s">
        <v>714</v>
      </c>
      <c r="J26" s="2793">
        <f ca="1">ROUND(J5*M26,2)</f>
        <v>0</v>
      </c>
      <c r="K26" s="751" t="s">
        <v>3872</v>
      </c>
      <c r="L26" s="749" t="s">
        <v>730</v>
      </c>
      <c r="M26" s="2907">
        <f ca="1">INDIRECT("'数据-取费表'!Am"&amp;$G$1)</f>
        <v>0.01</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3683</v>
      </c>
      <c r="B27" s="753" t="s">
        <v>3895</v>
      </c>
      <c r="C27" s="3968">
        <f ca="1">C5-C13</f>
        <v>3365</v>
      </c>
      <c r="D27" s="4131" t="s">
        <v>3896</v>
      </c>
      <c r="E27" s="4132"/>
      <c r="F27" s="4133"/>
      <c r="G27" s="498"/>
      <c r="H27" s="738" t="s">
        <v>3297</v>
      </c>
      <c r="I27" s="753" t="s">
        <v>3895</v>
      </c>
      <c r="J27" s="3968">
        <f ca="1">J5-J13</f>
        <v>-297</v>
      </c>
      <c r="K27" s="4131" t="s">
        <v>3896</v>
      </c>
      <c r="L27" s="4132"/>
      <c r="M27" s="413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3684</v>
      </c>
      <c r="B28" s="184" t="s">
        <v>3897</v>
      </c>
      <c r="C28" s="4049">
        <f ca="1">IF(C5&lt;&gt;0,ROUND(C27*(1-((1+F30)/(1+F28))^F29)/(F28-F30),0),0)</f>
        <v>59399</v>
      </c>
      <c r="D28" s="4135" t="s">
        <v>3898</v>
      </c>
      <c r="E28" s="2799" t="s">
        <v>3899</v>
      </c>
      <c r="F28" s="2843">
        <f ca="1">INDIRECT("'数据-取费表'!I"&amp;$G$1)</f>
        <v>5.5E-2</v>
      </c>
      <c r="G28" s="4123"/>
      <c r="H28" s="183" t="s">
        <v>3684</v>
      </c>
      <c r="I28" s="184" t="s">
        <v>3900</v>
      </c>
      <c r="J28" s="4049">
        <f ca="1">IF(J5&lt;&gt;0,ROUND(J27*(1-((1+M30)/(1+M28))^M29)/(M28-M30),0),0)</f>
        <v>0</v>
      </c>
      <c r="K28" s="4135" t="s">
        <v>3898</v>
      </c>
      <c r="L28" s="4136" t="s">
        <v>3899</v>
      </c>
      <c r="M28" s="2906">
        <f ca="1">INDIRECT("'数据-取费表'!I"&amp;$G$1)</f>
        <v>5.5E-2</v>
      </c>
      <c r="N28" s="4123"/>
      <c r="O28" s="4123"/>
      <c r="P28" s="4123"/>
      <c r="Q28" s="4123"/>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21" customHeight="1">
      <c r="A29" s="188"/>
      <c r="B29" s="189"/>
      <c r="C29" s="4050"/>
      <c r="D29" s="4137" t="s">
        <v>3901</v>
      </c>
      <c r="E29" s="2799" t="s">
        <v>3902</v>
      </c>
      <c r="F29" s="2844">
        <f ca="1">IF(INDIRECT("'数据-取费表'!af"&amp;$G$1)=0,INDIRECT("'数据-取费表'!ae"&amp;$G$1),INDIRECT("'数据-取费表'!af"&amp;$G$1))</f>
        <v>28.51</v>
      </c>
      <c r="G29" s="4123"/>
      <c r="H29" s="188"/>
      <c r="I29" s="189"/>
      <c r="J29" s="4050"/>
      <c r="K29" s="64" t="s">
        <v>3903</v>
      </c>
      <c r="L29" s="2799" t="s">
        <v>3902</v>
      </c>
      <c r="M29" s="2844">
        <f ca="1">INDIRECT("'数据-取费表'!ag"&amp;$G$1)</f>
        <v>0</v>
      </c>
      <c r="N29" s="4123"/>
      <c r="O29" s="4123"/>
      <c r="P29" s="4123"/>
      <c r="Q29" s="4123"/>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0.02</v>
      </c>
      <c r="G30" s="4123"/>
      <c r="H30" s="192"/>
      <c r="I30" s="193"/>
      <c r="J30" s="4051"/>
      <c r="K30" s="64"/>
      <c r="L30" s="2799" t="s">
        <v>3904</v>
      </c>
      <c r="M30" s="2843">
        <f ca="1">INDIRECT("'数据-取费表'!aa"&amp;$G$1)</f>
        <v>0</v>
      </c>
      <c r="N30" s="4123"/>
      <c r="O30" s="4123"/>
      <c r="P30" s="4123"/>
      <c r="Q30" s="4123"/>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3685</v>
      </c>
      <c r="B31" s="3949" t="s">
        <v>3905</v>
      </c>
      <c r="C31" s="3952">
        <f ca="1">ROUND(C28*(1+F31),0)</f>
        <v>64745</v>
      </c>
      <c r="D31" s="4138" t="s">
        <v>3688</v>
      </c>
      <c r="E31" s="4139" t="str">
        <f>IF(D31="其他类型公式—收益价值×（1+9%）","销项税率","征收率")</f>
        <v>销项税率</v>
      </c>
      <c r="F31" s="2843">
        <f>IF(D31="其他类型公式—收益价值×（1+9%）",9%,3%)</f>
        <v>0.09</v>
      </c>
      <c r="G31" s="498"/>
      <c r="H31" s="199" t="s">
        <v>3685</v>
      </c>
      <c r="I31" s="2799" t="s">
        <v>3906</v>
      </c>
      <c r="J31" s="2817">
        <f ca="1">ROUND(J28/(1+F28)^F29,0)</f>
        <v>0</v>
      </c>
      <c r="K31" s="4043" t="s">
        <v>3819</v>
      </c>
      <c r="L31" s="2799"/>
      <c r="M31" s="2844">
        <f ca="1">INDIRECT("'数据-取费表'!k"&amp;$G$1)</f>
        <v>39456.269999999997</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ROUND(C31*10000/F32,0)</f>
        <v>16409</v>
      </c>
      <c r="D32" s="4140" t="s">
        <v>3907</v>
      </c>
      <c r="E32" s="217" t="s">
        <v>3908</v>
      </c>
      <c r="F32" s="2845">
        <f ca="1">INDIRECT("'数据-取费表'!k"&amp;$G$1)</f>
        <v>39456.269999999997</v>
      </c>
      <c r="G32" s="498"/>
      <c r="H32" s="3945" t="s">
        <v>3686</v>
      </c>
      <c r="I32" s="3946" t="s">
        <v>3909</v>
      </c>
      <c r="J32" s="3947">
        <f ca="1">ROUND(J31*(1+F31),0)</f>
        <v>0</v>
      </c>
      <c r="K32" s="4141" t="str">
        <f>D31</f>
        <v>其他类型公式—收益价值×（1+9%）</v>
      </c>
      <c r="L32" s="4142"/>
      <c r="M32" s="414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0.16355953268704948</v>
      </c>
      <c r="G33" s="961"/>
    </row>
    <row r="34" spans="1:37" s="118" customFormat="1" ht="18" customHeight="1">
      <c r="A34" s="4116" t="s">
        <v>3885</v>
      </c>
      <c r="B34" s="4117" t="s">
        <v>3886</v>
      </c>
      <c r="C34" s="4118" t="s">
        <v>3824</v>
      </c>
      <c r="D34" s="4117" t="s">
        <v>3887</v>
      </c>
      <c r="E34" s="4119" t="s">
        <v>3888</v>
      </c>
      <c r="F34" s="4120"/>
      <c r="G34" s="4123"/>
      <c r="H34" s="4116" t="s">
        <v>3885</v>
      </c>
      <c r="I34" s="4117" t="s">
        <v>3886</v>
      </c>
      <c r="J34" s="4118" t="s">
        <v>3824</v>
      </c>
      <c r="K34" s="4117" t="s">
        <v>3887</v>
      </c>
      <c r="L34" s="4119" t="s">
        <v>3888</v>
      </c>
      <c r="M34" s="4120"/>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199" t="s">
        <v>3407</v>
      </c>
      <c r="B35" s="2799" t="s">
        <v>3408</v>
      </c>
      <c r="C35" s="2817">
        <f ca="1">SUM(C36:C41)</f>
        <v>22095</v>
      </c>
      <c r="D35" s="4043" t="s">
        <v>3415</v>
      </c>
      <c r="E35" s="1020"/>
      <c r="F35" s="3383"/>
      <c r="G35" s="961"/>
      <c r="H35" s="4044" t="s">
        <v>3407</v>
      </c>
      <c r="I35" s="4045" t="s">
        <v>3448</v>
      </c>
      <c r="J35" s="2774">
        <f ca="1">C51</f>
        <v>27268</v>
      </c>
      <c r="K35" s="2813" t="s">
        <v>3444</v>
      </c>
      <c r="L35" s="55"/>
      <c r="M35" s="2751"/>
    </row>
    <row r="36" spans="1:37" ht="18" customHeight="1">
      <c r="A36" s="2771" t="s">
        <v>3403</v>
      </c>
      <c r="B36" s="2736" t="s">
        <v>693</v>
      </c>
      <c r="C36" s="2676">
        <f ca="1">INDIRECT("'数据-取费表'!m"&amp;$G$1)+INDIRECT("'数据-取费表'!t"&amp;$G$1)</f>
        <v>19728</v>
      </c>
      <c r="D36" s="925" t="s">
        <v>694</v>
      </c>
      <c r="E36" s="925"/>
      <c r="F36" s="215"/>
      <c r="G36" s="961"/>
      <c r="H36" s="2821" t="s">
        <v>3449</v>
      </c>
      <c r="I36" s="2826" t="s">
        <v>3435</v>
      </c>
      <c r="J36" s="2721">
        <f ca="1">ROUND(J35*(1-M36),0)</f>
        <v>27268</v>
      </c>
      <c r="K36" s="186" t="s">
        <v>3438</v>
      </c>
      <c r="L36" s="2787" t="s">
        <v>3451</v>
      </c>
      <c r="M36" s="2843">
        <f ca="1">INDIRECT("'数据-取费表'!ad"&amp;$G$1)</f>
        <v>0</v>
      </c>
    </row>
    <row r="37" spans="1:37" ht="18" customHeight="1" thickBot="1">
      <c r="A37" s="2771" t="s">
        <v>3409</v>
      </c>
      <c r="B37" s="2789" t="s">
        <v>3871</v>
      </c>
      <c r="C37" s="2774">
        <f ca="1">ROUND(C36*F37,0)</f>
        <v>986</v>
      </c>
      <c r="D37" s="186" t="s">
        <v>697</v>
      </c>
      <c r="E37" s="186" t="s">
        <v>698</v>
      </c>
      <c r="F37" s="2841">
        <f>'数据-取费表'!B33</f>
        <v>0.05</v>
      </c>
      <c r="G37" s="961"/>
      <c r="H37" s="2822" t="s">
        <v>3450</v>
      </c>
      <c r="I37" s="4048" t="s">
        <v>3828</v>
      </c>
      <c r="J37" s="2828">
        <f ca="1">J35-J36</f>
        <v>0</v>
      </c>
      <c r="K37" s="2808" t="s">
        <v>3475</v>
      </c>
      <c r="L37" s="219"/>
      <c r="M37" s="2829"/>
    </row>
    <row r="38" spans="1:37" ht="18" customHeight="1">
      <c r="A38" s="2771" t="s">
        <v>3410</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3411</v>
      </c>
      <c r="B39" s="2736" t="s">
        <v>702</v>
      </c>
      <c r="C39" s="2774">
        <f ca="1">ROUND(F39*(F32+INDIRECT("'数据-取费表'!S"&amp;$G$1))/10000,0)</f>
        <v>1184</v>
      </c>
      <c r="D39" s="186" t="s">
        <v>703</v>
      </c>
      <c r="E39" s="186" t="s">
        <v>3821</v>
      </c>
      <c r="F39" s="2842">
        <f>'数据-取费表'!B35</f>
        <v>300</v>
      </c>
      <c r="G39" s="961"/>
    </row>
    <row r="40" spans="1:37" ht="18" customHeight="1">
      <c r="A40" s="2771" t="s">
        <v>3412</v>
      </c>
      <c r="B40" s="2789" t="s">
        <v>3413</v>
      </c>
      <c r="C40" s="2774">
        <f ca="1">ROUND(C36*F40,0)</f>
        <v>197</v>
      </c>
      <c r="D40" s="186" t="s">
        <v>697</v>
      </c>
      <c r="E40" s="186" t="s">
        <v>698</v>
      </c>
      <c r="F40" s="2841">
        <f>'数据-取费表'!B36</f>
        <v>0.01</v>
      </c>
      <c r="G40" s="961"/>
      <c r="H40" s="47"/>
      <c r="I40" s="47"/>
      <c r="J40" s="47"/>
      <c r="K40" s="1894"/>
      <c r="L40" s="47"/>
      <c r="M40" s="47"/>
    </row>
    <row r="41" spans="1:37" ht="18" customHeight="1">
      <c r="A41" s="2771" t="s">
        <v>3412</v>
      </c>
      <c r="B41" s="2789" t="s">
        <v>3414</v>
      </c>
      <c r="C41" s="2774">
        <f ca="1">ROUND(C36*F41,0)</f>
        <v>0</v>
      </c>
      <c r="D41" s="186" t="s">
        <v>697</v>
      </c>
      <c r="E41" s="186" t="s">
        <v>698</v>
      </c>
      <c r="F41" s="2841">
        <f>'数据-取费表'!B37</f>
        <v>0</v>
      </c>
      <c r="G41" s="961"/>
      <c r="H41" s="47"/>
      <c r="I41" s="47"/>
      <c r="J41" s="47"/>
      <c r="K41" s="1894"/>
      <c r="L41" s="47"/>
      <c r="M41" s="47"/>
    </row>
    <row r="42" spans="1:37" ht="18" customHeight="1">
      <c r="A42" s="199" t="s">
        <v>3422</v>
      </c>
      <c r="B42" s="2799" t="s">
        <v>3423</v>
      </c>
      <c r="C42" s="2817">
        <f ca="1">ROUND(C35*F42,0)</f>
        <v>442</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3822</v>
      </c>
      <c r="E43" s="2799" t="s">
        <v>3823</v>
      </c>
      <c r="F43" s="2843">
        <f>'数据-取费表'!B39</f>
        <v>0.02</v>
      </c>
      <c r="G43" s="961"/>
      <c r="H43" s="47"/>
      <c r="I43" s="47"/>
      <c r="J43" s="47"/>
      <c r="K43" s="1894"/>
      <c r="L43" s="47"/>
      <c r="M43" s="47"/>
    </row>
    <row r="44" spans="1:37" ht="18" customHeight="1">
      <c r="A44" s="199" t="s">
        <v>3430</v>
      </c>
      <c r="B44" s="2802" t="s">
        <v>3416</v>
      </c>
      <c r="C44" s="3523" t="str">
        <f ca="1">C45&amp;"+"&amp;C46&amp;"V建"</f>
        <v>706+0.0006V建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706</v>
      </c>
      <c r="D45" s="55" t="str">
        <f>IF(F45&lt;=1,"(建造成本+管理费用)×利率×(建设周期÷2)","(建造成本+管理费用)×((1+利率)^(建设周期÷2)-1)")</f>
        <v>(建造成本+管理费用)×((1+利率)^(建设周期÷2)-1)</v>
      </c>
      <c r="E45" s="186" t="s">
        <v>727</v>
      </c>
      <c r="F45" s="2842">
        <f>'数据-取费表'!B20</f>
        <v>2</v>
      </c>
      <c r="G45" s="961"/>
      <c r="H45" s="47"/>
      <c r="I45" s="47"/>
      <c r="J45" s="47"/>
      <c r="K45" s="1894"/>
      <c r="L45" s="47"/>
      <c r="M45" s="47"/>
    </row>
    <row r="46" spans="1:37" ht="18" customHeight="1">
      <c r="A46" s="2771" t="s">
        <v>731</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3417</v>
      </c>
      <c r="C47" s="3523" t="str">
        <f ca="1">C48&amp;"+"&amp;C49&amp;"V建"</f>
        <v>3381+0.003V建</v>
      </c>
      <c r="D47" s="2755" t="s">
        <v>3432</v>
      </c>
      <c r="E47" s="200"/>
      <c r="F47" s="2842"/>
      <c r="G47" s="961"/>
      <c r="H47" s="47"/>
      <c r="I47" s="47"/>
      <c r="J47" s="47"/>
      <c r="K47" s="1894"/>
      <c r="L47" s="47"/>
      <c r="M47" s="47"/>
    </row>
    <row r="48" spans="1:37" ht="18" customHeight="1">
      <c r="A48" s="2771" t="s">
        <v>391</v>
      </c>
      <c r="B48" s="186" t="s">
        <v>740</v>
      </c>
      <c r="C48" s="2774">
        <f ca="1">ROUND((C35+C42)*F48,0)</f>
        <v>3381</v>
      </c>
      <c r="D48" s="206" t="s">
        <v>741</v>
      </c>
      <c r="E48" s="186" t="s">
        <v>742</v>
      </c>
      <c r="F48" s="2843">
        <f ca="1">INDIRECT("'数据-取费表'!q"&amp;$G$1)</f>
        <v>0.15</v>
      </c>
      <c r="G48" s="961"/>
      <c r="H48" s="47"/>
      <c r="I48" s="47"/>
      <c r="J48" s="47"/>
      <c r="K48" s="1894"/>
      <c r="L48" s="47"/>
      <c r="M48" s="47"/>
    </row>
    <row r="49" spans="1:18" ht="18" customHeight="1">
      <c r="A49" s="2771" t="s">
        <v>393</v>
      </c>
      <c r="B49" s="186" t="s">
        <v>746</v>
      </c>
      <c r="C49" s="3524">
        <f ca="1">ROUND(F43*F48,4)</f>
        <v>3.0000000000000001E-3</v>
      </c>
      <c r="D49" s="206" t="s">
        <v>747</v>
      </c>
      <c r="E49" s="186"/>
      <c r="F49" s="2841"/>
      <c r="G49" s="961"/>
      <c r="H49" s="47"/>
      <c r="I49" s="47"/>
      <c r="J49" s="47"/>
      <c r="K49" s="1894"/>
      <c r="L49" s="47"/>
      <c r="M49" s="47"/>
    </row>
    <row r="50" spans="1:18" ht="18" customHeight="1">
      <c r="A50" s="199" t="s">
        <v>3418</v>
      </c>
      <c r="B50" s="2799" t="s">
        <v>3419</v>
      </c>
      <c r="C50" s="2817">
        <f>ROUND(F50/(1+'数据-取费表'!C43),4)</f>
        <v>0</v>
      </c>
      <c r="D50" s="4104" t="s">
        <v>3877</v>
      </c>
      <c r="E50" s="2799"/>
      <c r="F50" s="2843"/>
      <c r="G50" s="961"/>
      <c r="H50" s="47"/>
      <c r="I50" s="47"/>
      <c r="J50" s="47"/>
      <c r="K50" s="1894"/>
      <c r="L50" s="47"/>
      <c r="M50" s="47"/>
    </row>
    <row r="51" spans="1:18" s="961" customFormat="1" ht="18" customHeight="1">
      <c r="A51" s="199" t="s">
        <v>3420</v>
      </c>
      <c r="B51" s="2799" t="s">
        <v>3421</v>
      </c>
      <c r="C51" s="2817">
        <f ca="1">ROUND((C35+C42+C45+C48)/(1-F43-C46-C49-C50),0)</f>
        <v>27268</v>
      </c>
      <c r="D51" s="2813" t="s">
        <v>3444</v>
      </c>
      <c r="E51" s="2799"/>
      <c r="F51" s="2843"/>
      <c r="K51" s="977"/>
    </row>
    <row r="52" spans="1:18" s="961" customFormat="1" ht="18" customHeight="1">
      <c r="A52" s="2803" t="s">
        <v>3434</v>
      </c>
      <c r="B52" s="2802" t="s">
        <v>3435</v>
      </c>
      <c r="C52" s="2817">
        <f ca="1">ROUND(C51*(1-F52),0)</f>
        <v>2181</v>
      </c>
      <c r="D52" s="2799" t="s">
        <v>3889</v>
      </c>
      <c r="E52" s="2799" t="s">
        <v>3890</v>
      </c>
      <c r="F52" s="2843">
        <f ca="1">INDIRECT("'数据-取费表'!y"&amp;$G$1)</f>
        <v>0.92</v>
      </c>
      <c r="K52" s="977"/>
    </row>
    <row r="53" spans="1:18" s="961" customFormat="1" ht="18" customHeight="1" thickBot="1">
      <c r="A53" s="2804" t="s">
        <v>3436</v>
      </c>
      <c r="B53" s="2812" t="s">
        <v>3442</v>
      </c>
      <c r="C53" s="2828">
        <f ca="1">C51-C52</f>
        <v>25087</v>
      </c>
      <c r="D53" s="2808" t="s">
        <v>3475</v>
      </c>
      <c r="E53" s="217"/>
      <c r="F53" s="2809"/>
      <c r="K53" s="977"/>
    </row>
    <row r="54" spans="1:18" s="961" customFormat="1" ht="18" customHeight="1" thickBot="1">
      <c r="A54" s="975"/>
      <c r="B54" s="975"/>
      <c r="C54" s="976"/>
      <c r="D54" s="975"/>
      <c r="E54" s="975"/>
      <c r="F54" s="975"/>
      <c r="I54" s="2830" t="s">
        <v>3452</v>
      </c>
      <c r="J54" s="494"/>
      <c r="O54" s="1998" t="s">
        <v>794</v>
      </c>
      <c r="P54" s="1034"/>
      <c r="Q54" s="1034"/>
      <c r="R54" s="1034"/>
    </row>
    <row r="55" spans="1:18" s="961" customFormat="1" ht="13.5" thickBot="1">
      <c r="A55" s="979" t="s">
        <v>795</v>
      </c>
      <c r="C55" s="3998">
        <f ca="1">IF(D2="含税",C83-C31,C80-C28)</f>
        <v>-66515</v>
      </c>
      <c r="D55" s="981" t="str">
        <f>C2</f>
        <v>万元</v>
      </c>
      <c r="E55" s="975"/>
      <c r="F55" s="975"/>
      <c r="I55" s="982" t="s">
        <v>796</v>
      </c>
      <c r="J55" s="983"/>
      <c r="K55" s="984"/>
      <c r="L55" s="4018">
        <f ca="1">IF(M56="住宅",0,IF(L57&gt;J60,L69,J69))</f>
        <v>1533</v>
      </c>
      <c r="O55" s="4159" t="s">
        <v>1327</v>
      </c>
      <c r="P55" s="4160" t="s">
        <v>3914</v>
      </c>
      <c r="Q55" s="4161" t="s">
        <v>3915</v>
      </c>
      <c r="R55" s="4161" t="s">
        <v>3916</v>
      </c>
    </row>
    <row r="56" spans="1:18" s="961" customFormat="1" ht="13.5" thickBot="1">
      <c r="A56" s="4144" t="s">
        <v>3885</v>
      </c>
      <c r="B56" s="4145" t="s">
        <v>3886</v>
      </c>
      <c r="C56" s="4118" t="s">
        <v>3824</v>
      </c>
      <c r="D56" s="4145" t="s">
        <v>3887</v>
      </c>
      <c r="E56" s="4146" t="s">
        <v>3888</v>
      </c>
      <c r="F56" s="719"/>
      <c r="G56" s="490"/>
      <c r="I56" s="989" t="s">
        <v>801</v>
      </c>
      <c r="J56" s="990" t="s">
        <v>4155</v>
      </c>
      <c r="K56" s="991" t="s">
        <v>802</v>
      </c>
      <c r="L56" s="4019">
        <f ca="1">INDIRECT("'数据-取费表'!d"&amp;$G$1)</f>
        <v>50</v>
      </c>
      <c r="M56" s="957" t="str">
        <f>IF(ISNUMBER(FIND("住宅",C1)),"住宅","非住宅")</f>
        <v>非住宅</v>
      </c>
      <c r="O56" s="4162" t="s">
        <v>397</v>
      </c>
      <c r="P56" s="4163" t="s">
        <v>3917</v>
      </c>
      <c r="Q56" s="4165">
        <f ca="1">C28+J31</f>
        <v>59399</v>
      </c>
      <c r="R56" s="4164" t="s">
        <v>3918</v>
      </c>
    </row>
    <row r="57" spans="1:18" s="961" customFormat="1" ht="42.75" thickBot="1">
      <c r="A57" s="671" t="s">
        <v>432</v>
      </c>
      <c r="B57" s="184" t="s">
        <v>3910</v>
      </c>
      <c r="C57" s="4147">
        <f ca="1">ROUND(C58+C62+C64,0)</f>
        <v>0</v>
      </c>
      <c r="D57" s="4124" t="s">
        <v>3911</v>
      </c>
      <c r="E57" s="4148"/>
      <c r="F57" s="656"/>
      <c r="G57" s="490"/>
      <c r="H57" s="491"/>
      <c r="I57" s="996" t="s">
        <v>805</v>
      </c>
      <c r="J57" s="997" t="s">
        <v>4156</v>
      </c>
      <c r="K57" s="998" t="s">
        <v>806</v>
      </c>
      <c r="L57" s="4008">
        <f ca="1">INDIRECT("'数据-取费表'!f"&amp;$G$1)</f>
        <v>28.51</v>
      </c>
      <c r="O57" s="4162" t="s">
        <v>398</v>
      </c>
      <c r="P57" s="4163" t="s">
        <v>3919</v>
      </c>
      <c r="Q57" s="4165">
        <f ca="1">J69</f>
        <v>1533</v>
      </c>
      <c r="R57" s="4164" t="s">
        <v>3920</v>
      </c>
    </row>
    <row r="58" spans="1:18" s="961" customFormat="1" ht="15.75" thickBot="1">
      <c r="A58" s="3984" t="s">
        <v>3810</v>
      </c>
      <c r="B58" s="2786" t="s">
        <v>3801</v>
      </c>
      <c r="C58" s="3976">
        <f ca="1">C59-C61</f>
        <v>0</v>
      </c>
      <c r="D58" s="2787" t="s">
        <v>3805</v>
      </c>
      <c r="E58" s="2811" t="s">
        <v>3441</v>
      </c>
      <c r="F58" s="3525"/>
      <c r="H58" s="491"/>
      <c r="I58" s="996" t="s">
        <v>809</v>
      </c>
      <c r="J58" s="4006">
        <v>2021</v>
      </c>
      <c r="K58" s="998" t="s">
        <v>810</v>
      </c>
      <c r="L58" s="4020"/>
      <c r="O58" s="1002" t="s">
        <v>399</v>
      </c>
      <c r="P58" s="994" t="s">
        <v>811</v>
      </c>
      <c r="Q58" s="3542">
        <f ca="1">C51</f>
        <v>27268</v>
      </c>
      <c r="R58" s="995" t="s">
        <v>804</v>
      </c>
    </row>
    <row r="59" spans="1:18" s="961" customFormat="1" ht="13.5" thickBot="1">
      <c r="A59" s="3991" t="s">
        <v>3403</v>
      </c>
      <c r="B59" s="4617" t="s">
        <v>3799</v>
      </c>
      <c r="C59" s="4618">
        <f ca="1">ROUND(F58*F60*F59/10000,2)</f>
        <v>0</v>
      </c>
      <c r="D59" s="4616" t="s">
        <v>3474</v>
      </c>
      <c r="E59" s="716" t="s">
        <v>683</v>
      </c>
      <c r="F59" s="3526">
        <f ca="1">F7</f>
        <v>39456.269999999997</v>
      </c>
      <c r="H59" s="491"/>
      <c r="I59" s="996" t="s">
        <v>812</v>
      </c>
      <c r="J59" s="4007">
        <f>SUMPRODUCT((I72:I74=J56)*(J71:L71=J57)*(J72:L74))</f>
        <v>60</v>
      </c>
      <c r="K59" s="998" t="s">
        <v>813</v>
      </c>
      <c r="L59" s="4020"/>
      <c r="M59" s="1004"/>
      <c r="O59" s="1002" t="s">
        <v>400</v>
      </c>
      <c r="P59" s="994" t="s">
        <v>814</v>
      </c>
      <c r="Q59" s="3539">
        <f ca="1">J67</f>
        <v>0.442</v>
      </c>
      <c r="R59" s="995"/>
    </row>
    <row r="60" spans="1:18" s="961" customFormat="1" ht="13.5" thickBot="1">
      <c r="A60" s="3992"/>
      <c r="B60" s="4617"/>
      <c r="C60" s="4619"/>
      <c r="D60" s="4616"/>
      <c r="E60" s="675" t="s">
        <v>684</v>
      </c>
      <c r="F60" s="3520">
        <f ca="1">F8</f>
        <v>365</v>
      </c>
      <c r="I60" s="1006" t="s">
        <v>815</v>
      </c>
      <c r="J60" s="4008">
        <f>IF(J58="",J59,J58+J59-YEAR('数据-取费表'!B2))</f>
        <v>55</v>
      </c>
      <c r="K60" s="1007" t="s">
        <v>816</v>
      </c>
      <c r="L60" s="3996">
        <f ca="1">ROUND(-PV(INDIRECT("'数据-取费表'!h"&amp;$G$1),J60,(C27-C52*C88),0),0)</f>
        <v>59857</v>
      </c>
      <c r="M60" s="1009"/>
      <c r="O60" s="1002" t="s">
        <v>401</v>
      </c>
      <c r="P60" s="994" t="s">
        <v>817</v>
      </c>
      <c r="Q60" s="3539">
        <f>J61</f>
        <v>7.4999999999999997E-2</v>
      </c>
      <c r="R60" s="995"/>
    </row>
    <row r="61" spans="1:18" s="961" customFormat="1" ht="13.5" thickBot="1">
      <c r="A61" s="3993" t="s">
        <v>3401</v>
      </c>
      <c r="B61" s="3687" t="s">
        <v>3800</v>
      </c>
      <c r="C61" s="3977">
        <f ca="1">ROUND(C59*F61,2)</f>
        <v>0</v>
      </c>
      <c r="D61" s="2787" t="s">
        <v>3804</v>
      </c>
      <c r="E61" s="675" t="s">
        <v>685</v>
      </c>
      <c r="F61" s="2838"/>
      <c r="I61" s="1010" t="s">
        <v>818</v>
      </c>
      <c r="J61" s="4009">
        <v>7.4999999999999997E-2</v>
      </c>
      <c r="K61" s="1010" t="s">
        <v>819</v>
      </c>
      <c r="L61" s="4009"/>
      <c r="O61" s="1002" t="s">
        <v>402</v>
      </c>
      <c r="P61" s="994" t="s">
        <v>820</v>
      </c>
      <c r="Q61" s="3538">
        <f ca="1">J62</f>
        <v>28.51</v>
      </c>
      <c r="R61" s="995" t="s">
        <v>821</v>
      </c>
    </row>
    <row r="62" spans="1:18" s="961" customFormat="1" ht="25.5" thickBot="1">
      <c r="A62" s="3994" t="s">
        <v>3449</v>
      </c>
      <c r="B62" s="950" t="s">
        <v>686</v>
      </c>
      <c r="C62" s="2773">
        <f ca="1">ROUND(IF(F62="押一",C58/12*F11,IF(F62="押二",C58/12*2*F11,IF(F62="押三",C58/12*3*F11,C63*F11))),2)</f>
        <v>0</v>
      </c>
      <c r="D62" s="59" t="s">
        <v>2025</v>
      </c>
      <c r="E62" s="197" t="s">
        <v>687</v>
      </c>
      <c r="F62" s="3527"/>
      <c r="I62" s="1012" t="s">
        <v>822</v>
      </c>
      <c r="J62" s="4010">
        <f ca="1">IF(M56="住宅",IF(D1="——",MAX(J60,L57),MAX(J60,L57-'数据-取费表'!B24)),IF(D1="——",MIN(J60,L57),MIN(J60,L57-'数据-取费表'!B24)))</f>
        <v>28.51</v>
      </c>
      <c r="K62" s="4611" t="s">
        <v>823</v>
      </c>
      <c r="L62" s="4612"/>
      <c r="O62" s="4162" t="s">
        <v>403</v>
      </c>
      <c r="P62" s="4166" t="s">
        <v>3924</v>
      </c>
      <c r="Q62" s="4165">
        <f ca="1">ROUND((Q56+Q57)*(1+F31),0)</f>
        <v>66416</v>
      </c>
      <c r="R62" s="4164" t="s">
        <v>3925</v>
      </c>
    </row>
    <row r="63" spans="1:18" s="961" customFormat="1" ht="13.5" thickBot="1">
      <c r="A63" s="3985"/>
      <c r="B63" s="3128" t="s">
        <v>3927</v>
      </c>
      <c r="C63" s="279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11"/>
      <c r="K63" s="1015"/>
      <c r="L63" s="1015"/>
      <c r="O63" s="978" t="s">
        <v>825</v>
      </c>
      <c r="P63" s="958"/>
      <c r="Q63" s="958"/>
      <c r="R63" s="958"/>
    </row>
    <row r="64" spans="1:18" s="961" customFormat="1" ht="13.5" thickBot="1">
      <c r="A64" s="3986" t="s">
        <v>3811</v>
      </c>
      <c r="B64" s="946" t="s">
        <v>689</v>
      </c>
      <c r="C64" s="3973"/>
      <c r="D64" s="59"/>
      <c r="E64" s="951"/>
      <c r="F64" s="1013"/>
      <c r="I64" s="1016" t="s">
        <v>826</v>
      </c>
      <c r="J64" s="4012">
        <f ca="1">ROUND(IF(J56="钢混",J66/J59,1-(1-2%)*(J59-J66)/J59),3)</f>
        <v>0.442</v>
      </c>
      <c r="K64" s="1018" t="s">
        <v>827</v>
      </c>
      <c r="L64" s="1019"/>
      <c r="O64" s="4159" t="s">
        <v>1327</v>
      </c>
      <c r="P64" s="4160" t="s">
        <v>3914</v>
      </c>
      <c r="Q64" s="4161" t="s">
        <v>3915</v>
      </c>
      <c r="R64" s="4161" t="s">
        <v>3916</v>
      </c>
    </row>
    <row r="65" spans="1:18" s="961" customFormat="1" ht="25.5" thickTop="1" thickBot="1">
      <c r="A65" s="199" t="s">
        <v>3682</v>
      </c>
      <c r="B65" s="652" t="s">
        <v>3892</v>
      </c>
      <c r="C65" s="2817">
        <f ca="1">ROUND(C66+C74+C76+C78,0)</f>
        <v>92</v>
      </c>
      <c r="D65" s="4149" t="s">
        <v>3912</v>
      </c>
      <c r="E65" s="655"/>
      <c r="F65" s="656"/>
      <c r="I65" s="1022" t="s">
        <v>828</v>
      </c>
      <c r="J65" s="4013" t="s">
        <v>4157</v>
      </c>
      <c r="K65" s="996" t="s">
        <v>829</v>
      </c>
      <c r="L65" s="4008" t="str">
        <f ca="1">IF(L57&lt;J60,"——",L57-J62)</f>
        <v>——</v>
      </c>
      <c r="O65" s="4162" t="s">
        <v>397</v>
      </c>
      <c r="P65" s="4163" t="s">
        <v>3917</v>
      </c>
      <c r="Q65" s="4165">
        <f ca="1">C28+J31</f>
        <v>59399</v>
      </c>
      <c r="R65" s="4164" t="s">
        <v>3918</v>
      </c>
    </row>
    <row r="66" spans="1:18" s="961" customFormat="1" ht="24.75" thickBot="1">
      <c r="A66" s="537" t="s">
        <v>392</v>
      </c>
      <c r="B66" s="2766" t="s">
        <v>3982</v>
      </c>
      <c r="C66" s="2773">
        <f ca="1">ROUND(IF(AND(项目基本情况!B11="自然人",项目基本情况!B10="北京市",M56="住宅"),C58*F66,C67+C71+C72),2)</f>
        <v>12.8</v>
      </c>
      <c r="D66" s="657" t="s">
        <v>3446</v>
      </c>
      <c r="E66" s="658" t="str">
        <f>E14</f>
        <v/>
      </c>
      <c r="F66" s="3951" t="str">
        <f>IF(M56="非住宅","",IF(F58*F59*F60/12/(1+'数据-取费表'!F30)&gt;100000,4%,2.5%))</f>
        <v/>
      </c>
      <c r="I66" s="1028" t="s">
        <v>830</v>
      </c>
      <c r="J66" s="4014">
        <f ca="1">IF(OR(M56="住宅",J60&lt;L57,J65="是"),"——",J60-L57)</f>
        <v>26.49</v>
      </c>
      <c r="K66" s="996" t="s">
        <v>831</v>
      </c>
      <c r="L66" s="4021" t="str">
        <f ca="1">IF(L57&lt;J60,"——",IF(L64="比较法",L58,IF(L64="基准地价",L59,L60)))</f>
        <v>——</v>
      </c>
      <c r="O66" s="4162" t="s">
        <v>398</v>
      </c>
      <c r="P66" s="4163" t="s">
        <v>3921</v>
      </c>
      <c r="Q66" s="4167">
        <f ca="1">L69</f>
        <v>0</v>
      </c>
      <c r="R66" s="4164" t="s">
        <v>3922</v>
      </c>
    </row>
    <row r="67" spans="1:18" s="961" customFormat="1" ht="24.75" thickBot="1">
      <c r="A67" s="3966" t="s">
        <v>391</v>
      </c>
      <c r="B67" s="2785" t="s">
        <v>3978</v>
      </c>
      <c r="C67" s="2773">
        <f ca="1">C70</f>
        <v>-0.77</v>
      </c>
      <c r="D67" s="4620" t="s">
        <v>3977</v>
      </c>
      <c r="E67" s="4621"/>
      <c r="F67" s="4621"/>
      <c r="I67" s="1028" t="s">
        <v>833</v>
      </c>
      <c r="J67" s="4015">
        <f ca="1">IF(J64&lt;0.4,0.4,J64)</f>
        <v>0.442</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75" thickBot="1">
      <c r="A68" s="2570" t="s">
        <v>3285</v>
      </c>
      <c r="B68" s="2789" t="s">
        <v>3404</v>
      </c>
      <c r="C68" s="2773">
        <f ca="1">ROUND(C58*F68,2)</f>
        <v>0</v>
      </c>
      <c r="D68" s="1020" t="s">
        <v>3875</v>
      </c>
      <c r="E68" s="2795" t="s">
        <v>3406</v>
      </c>
      <c r="F68" s="2841">
        <f>F16</f>
        <v>0.09</v>
      </c>
      <c r="I68" s="1028" t="s">
        <v>836</v>
      </c>
      <c r="J68" s="4016">
        <f ca="1">IF(OR(M56="住宅",J60&lt;L57,J65="是"),"——",ROUND(C51*J67,0))</f>
        <v>12052</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5" thickBot="1">
      <c r="A69" s="2570" t="s">
        <v>3286</v>
      </c>
      <c r="B69" s="2789" t="s">
        <v>3405</v>
      </c>
      <c r="C69" s="2773">
        <f ca="1">ROUND(C74*F68+((C76+C78)*F69),2)</f>
        <v>6.41</v>
      </c>
      <c r="D69" s="4101" t="s">
        <v>3876</v>
      </c>
      <c r="E69" s="2796"/>
      <c r="F69" s="2841">
        <f t="shared" ref="F69" si="0">F17</f>
        <v>0.06</v>
      </c>
      <c r="I69" s="1031" t="s">
        <v>838</v>
      </c>
      <c r="J69" s="4017">
        <f ca="1">IF(OR(M56="住宅",J60&lt;L57,J65="是"),"0",ROUND(J68/(1+J61)^J62,0))</f>
        <v>1533</v>
      </c>
      <c r="K69" s="1033" t="s">
        <v>839</v>
      </c>
      <c r="L69" s="4017">
        <f ca="1">IF(OR(M56="住宅",L57&lt;J60),0,ROUND(L66*(L67/L68-1),0))</f>
        <v>0</v>
      </c>
      <c r="O69" s="1002" t="s">
        <v>401</v>
      </c>
      <c r="P69" s="994" t="s">
        <v>840</v>
      </c>
      <c r="Q69" s="3541" t="e">
        <f ca="1">L67</f>
        <v>#DIV/0!</v>
      </c>
      <c r="R69" s="995" t="s">
        <v>841</v>
      </c>
    </row>
    <row r="70" spans="1:18" s="961" customFormat="1" ht="13.5" thickBot="1">
      <c r="A70" s="2570" t="s">
        <v>3975</v>
      </c>
      <c r="B70" s="2789" t="s">
        <v>3973</v>
      </c>
      <c r="C70" s="2773">
        <f ca="1">ROUND((C68-C69)*F70,2)</f>
        <v>-0.77</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25.5" thickBot="1">
      <c r="A71" s="3987" t="s">
        <v>767</v>
      </c>
      <c r="B71" s="2766" t="s">
        <v>3985</v>
      </c>
      <c r="C71" s="2773">
        <f ca="1">IF(项目基本情况!B11="自然人","——",IF(D71="按不含税租金收入（有效毛租金收入）计税",ROUND(C58*F71/(1+'数据-取费表'!C43),2),IF(D71="按房产原值计税",ROUND(F74*F71*0.7,2),INDIRECT("'数据-取费表'!Aj"&amp;$G$1))))</f>
        <v>0</v>
      </c>
      <c r="D71" s="947"/>
      <c r="E71" s="644" t="s">
        <v>769</v>
      </c>
      <c r="F71" s="2841">
        <f t="shared" ref="F71:F73" si="1">F19</f>
        <v>0.12</v>
      </c>
      <c r="I71" s="1035" t="s">
        <v>843</v>
      </c>
      <c r="J71" s="1036" t="s">
        <v>844</v>
      </c>
      <c r="K71" s="1036" t="s">
        <v>845</v>
      </c>
      <c r="L71" s="1036" t="s">
        <v>846</v>
      </c>
      <c r="M71" s="1037" t="s">
        <v>847</v>
      </c>
      <c r="O71" s="4162" t="s">
        <v>403</v>
      </c>
      <c r="P71" s="4166" t="s">
        <v>3924</v>
      </c>
      <c r="Q71" s="4167">
        <f ca="1">ROUND((Q65+Q66)*(1+F31),0)</f>
        <v>64745</v>
      </c>
      <c r="R71" s="4164" t="s">
        <v>3925</v>
      </c>
    </row>
    <row r="72" spans="1:18" s="961" customFormat="1" ht="13.5" thickBot="1">
      <c r="A72" s="3966" t="s">
        <v>770</v>
      </c>
      <c r="B72" s="4211" t="s">
        <v>3980</v>
      </c>
      <c r="C72" s="2791">
        <f ca="1">IF(项目基本情况!B11="自然人","——",ROUND(F72*F73/10000,2))</f>
        <v>13.57</v>
      </c>
      <c r="D72" s="659" t="s">
        <v>772</v>
      </c>
      <c r="E72" s="644" t="s">
        <v>773</v>
      </c>
      <c r="F72" s="3528">
        <f t="shared" si="1"/>
        <v>12</v>
      </c>
      <c r="I72" s="1035" t="s">
        <v>849</v>
      </c>
      <c r="J72" s="223">
        <v>70</v>
      </c>
      <c r="K72" s="223">
        <v>50</v>
      </c>
      <c r="L72" s="223">
        <v>80</v>
      </c>
      <c r="M72" s="1038">
        <v>0.02</v>
      </c>
      <c r="O72" s="978" t="s">
        <v>850</v>
      </c>
      <c r="P72" s="958"/>
      <c r="Q72" s="958"/>
      <c r="R72" s="958"/>
    </row>
    <row r="73" spans="1:18" s="961" customFormat="1" ht="13.5" thickBot="1">
      <c r="A73" s="209"/>
      <c r="B73" s="3978"/>
      <c r="C73" s="2792"/>
      <c r="D73" s="660"/>
      <c r="E73" s="644" t="s">
        <v>774</v>
      </c>
      <c r="F73" s="3133">
        <f t="shared" ca="1" si="1"/>
        <v>11304.33</v>
      </c>
      <c r="I73" s="1035" t="s">
        <v>851</v>
      </c>
      <c r="J73" s="223">
        <v>50</v>
      </c>
      <c r="K73" s="223">
        <v>35</v>
      </c>
      <c r="L73" s="223">
        <v>60</v>
      </c>
      <c r="M73" s="1037">
        <v>0</v>
      </c>
      <c r="O73" s="986" t="s">
        <v>797</v>
      </c>
      <c r="P73" s="987" t="s">
        <v>798</v>
      </c>
      <c r="Q73" s="988" t="s">
        <v>799</v>
      </c>
      <c r="R73" s="988" t="s">
        <v>800</v>
      </c>
    </row>
    <row r="74" spans="1:18" s="961" customFormat="1" ht="13.5" thickBot="1">
      <c r="A74" s="3988" t="s">
        <v>775</v>
      </c>
      <c r="B74" s="643" t="s">
        <v>776</v>
      </c>
      <c r="C74" s="3980">
        <f ca="1">ROUND(F74*F75,2)</f>
        <v>54.54</v>
      </c>
      <c r="D74" s="3982" t="s">
        <v>3440</v>
      </c>
      <c r="E74" s="3995" t="s">
        <v>3806</v>
      </c>
      <c r="F74" s="3996">
        <f ca="1">C51</f>
        <v>27268</v>
      </c>
      <c r="I74" s="1035" t="s">
        <v>852</v>
      </c>
      <c r="J74" s="223">
        <v>40</v>
      </c>
      <c r="K74" s="223">
        <v>30</v>
      </c>
      <c r="L74" s="223">
        <v>50</v>
      </c>
      <c r="M74" s="1038">
        <v>0.02</v>
      </c>
      <c r="O74" s="4162" t="s">
        <v>397</v>
      </c>
      <c r="P74" s="4163" t="s">
        <v>3917</v>
      </c>
      <c r="Q74" s="4165">
        <f ca="1">C28+J31</f>
        <v>59399</v>
      </c>
      <c r="R74" s="4164" t="s">
        <v>3918</v>
      </c>
    </row>
    <row r="75" spans="1:18" s="961" customFormat="1" ht="15" thickBot="1">
      <c r="A75" s="3989"/>
      <c r="B75" s="650"/>
      <c r="C75" s="3981"/>
      <c r="D75" s="3983"/>
      <c r="E75" s="644" t="s">
        <v>769</v>
      </c>
      <c r="F75" s="2843">
        <f ca="1">F22</f>
        <v>2E-3</v>
      </c>
      <c r="O75" s="4162" t="s">
        <v>398</v>
      </c>
      <c r="P75" s="4163" t="s">
        <v>3921</v>
      </c>
      <c r="Q75" s="4167">
        <f ca="1">L69</f>
        <v>0</v>
      </c>
      <c r="R75" s="4164" t="s">
        <v>3923</v>
      </c>
    </row>
    <row r="76" spans="1:18" s="961" customFormat="1" ht="13.5" thickBot="1">
      <c r="A76" s="3988" t="s">
        <v>778</v>
      </c>
      <c r="B76" s="643" t="s">
        <v>728</v>
      </c>
      <c r="C76" s="3980">
        <f ca="1">ROUND(F76*F77,2)</f>
        <v>25.09</v>
      </c>
      <c r="D76" s="3982" t="s">
        <v>3443</v>
      </c>
      <c r="E76" s="3995" t="s">
        <v>3807</v>
      </c>
      <c r="F76" s="3997">
        <f ca="1">C53</f>
        <v>25087</v>
      </c>
      <c r="O76" s="993"/>
      <c r="P76" s="994"/>
      <c r="Q76" s="3538"/>
      <c r="R76" s="995"/>
    </row>
    <row r="77" spans="1:18" s="961" customFormat="1" ht="16.5" thickBot="1">
      <c r="A77" s="3990"/>
      <c r="B77" s="650"/>
      <c r="C77" s="3981"/>
      <c r="D77" s="3983"/>
      <c r="E77" s="644" t="s">
        <v>730</v>
      </c>
      <c r="F77" s="2843">
        <f ca="1">F24</f>
        <v>1E-3</v>
      </c>
      <c r="O77" s="1002" t="s">
        <v>399</v>
      </c>
      <c r="P77" s="994" t="s">
        <v>835</v>
      </c>
      <c r="Q77" s="3542">
        <f ca="1">L60</f>
        <v>59857</v>
      </c>
      <c r="R77" s="995" t="s">
        <v>855</v>
      </c>
    </row>
    <row r="78" spans="1:18" s="961" customFormat="1" ht="13.5" thickBot="1">
      <c r="A78" s="3990" t="s">
        <v>779</v>
      </c>
      <c r="B78" s="644" t="s">
        <v>714</v>
      </c>
      <c r="C78" s="2773">
        <f ca="1">ROUND(C57*F78,2)</f>
        <v>0</v>
      </c>
      <c r="D78" s="658" t="s">
        <v>3873</v>
      </c>
      <c r="E78" s="644" t="s">
        <v>698</v>
      </c>
      <c r="F78" s="2843">
        <f ca="1">F26</f>
        <v>0.01</v>
      </c>
      <c r="O78" s="1002"/>
      <c r="P78" s="994"/>
      <c r="Q78" s="3542"/>
      <c r="R78" s="995"/>
    </row>
    <row r="79" spans="1:18" s="961" customFormat="1" ht="16.5" thickBot="1">
      <c r="A79" s="651" t="s">
        <v>3808</v>
      </c>
      <c r="B79" s="661" t="s">
        <v>738</v>
      </c>
      <c r="C79" s="2817">
        <f ca="1">C57-C65</f>
        <v>-92</v>
      </c>
      <c r="D79" s="4150" t="s">
        <v>3913</v>
      </c>
      <c r="E79" s="4151"/>
      <c r="F79" s="4152"/>
      <c r="O79" s="1002" t="s">
        <v>400</v>
      </c>
      <c r="P79" s="1040" t="s">
        <v>856</v>
      </c>
      <c r="Q79" s="3542">
        <f ca="1">ROUND(Q80-Q81*Q82,0)</f>
        <v>3212</v>
      </c>
      <c r="R79" s="995" t="s">
        <v>408</v>
      </c>
    </row>
    <row r="80" spans="1:18" s="961" customFormat="1" ht="13.5" thickBot="1">
      <c r="A80" s="3307" t="s">
        <v>3809</v>
      </c>
      <c r="B80" s="642" t="s">
        <v>760</v>
      </c>
      <c r="C80" s="3965">
        <f ca="1">ROUND(C79*(1-((1+F82)/(1+F80))^F81)/(F80-F82),0)</f>
        <v>-1624</v>
      </c>
      <c r="D80" s="4153" t="s">
        <v>3898</v>
      </c>
      <c r="E80" s="652" t="s">
        <v>3899</v>
      </c>
      <c r="F80" s="2843">
        <f ca="1">F28</f>
        <v>5.5E-2</v>
      </c>
      <c r="O80" s="1002" t="s">
        <v>405</v>
      </c>
      <c r="P80" s="1040" t="s">
        <v>857</v>
      </c>
      <c r="Q80" s="3542">
        <f ca="1">C27</f>
        <v>3365</v>
      </c>
      <c r="R80" s="995" t="s">
        <v>804</v>
      </c>
    </row>
    <row r="81" spans="1:18" s="961" customFormat="1" ht="13.5" thickBot="1">
      <c r="A81" s="3308"/>
      <c r="B81" s="646"/>
      <c r="C81" s="3517"/>
      <c r="D81" s="4154" t="s">
        <v>3903</v>
      </c>
      <c r="E81" s="652" t="s">
        <v>3902</v>
      </c>
      <c r="F81" s="2844">
        <f ca="1">F29</f>
        <v>28.51</v>
      </c>
      <c r="O81" s="1002" t="s">
        <v>406</v>
      </c>
      <c r="P81" s="1040" t="s">
        <v>858</v>
      </c>
      <c r="Q81" s="3542">
        <f ca="1">C52</f>
        <v>2181</v>
      </c>
      <c r="R81" s="995" t="s">
        <v>804</v>
      </c>
    </row>
    <row r="82" spans="1:18" s="961" customFormat="1" ht="13.5" thickBot="1">
      <c r="A82" s="3309"/>
      <c r="B82" s="2860"/>
      <c r="C82" s="2860"/>
      <c r="D82" s="4155"/>
      <c r="E82" s="652" t="s">
        <v>3904</v>
      </c>
      <c r="F82" s="2838">
        <v>0.02</v>
      </c>
      <c r="O82" s="1002" t="s">
        <v>407</v>
      </c>
      <c r="P82" s="1040" t="s">
        <v>859</v>
      </c>
      <c r="Q82" s="3539">
        <f ca="1">C88</f>
        <v>7.0000000000000007E-2</v>
      </c>
      <c r="R82" s="995"/>
    </row>
    <row r="83" spans="1:18" s="961" customFormat="1" ht="13.5" thickBot="1">
      <c r="A83" s="648" t="s">
        <v>3812</v>
      </c>
      <c r="B83" s="2816" t="s">
        <v>3447</v>
      </c>
      <c r="C83" s="3968">
        <f ca="1">ROUND(C80*(1+F31),0)</f>
        <v>-1770</v>
      </c>
      <c r="D83" s="4156" t="str">
        <f>D31</f>
        <v>其他类型公式—收益价值×（1+9%）</v>
      </c>
      <c r="E83" s="1044"/>
      <c r="F83" s="4157"/>
      <c r="O83" s="1002" t="s">
        <v>401</v>
      </c>
      <c r="P83" s="994" t="s">
        <v>837</v>
      </c>
      <c r="Q83" s="3539">
        <f>L61</f>
        <v>0</v>
      </c>
      <c r="R83" s="995"/>
    </row>
    <row r="84" spans="1:18" ht="16.5" thickBot="1">
      <c r="A84" s="665" t="s">
        <v>390</v>
      </c>
      <c r="B84" s="666" t="s">
        <v>762</v>
      </c>
      <c r="C84" s="2828">
        <f ca="1">ROUND(C83*10000/F84,0)</f>
        <v>-449</v>
      </c>
      <c r="D84" s="4158" t="s">
        <v>3907</v>
      </c>
      <c r="E84" s="666" t="s">
        <v>3908</v>
      </c>
      <c r="F84" s="2845">
        <f ca="1">F32</f>
        <v>39456.269999999997</v>
      </c>
      <c r="G84" s="961"/>
      <c r="H84" s="961"/>
      <c r="O84" s="1002" t="s">
        <v>402</v>
      </c>
      <c r="P84" s="994" t="s">
        <v>840</v>
      </c>
      <c r="Q84" s="4168" t="e">
        <f ca="1">L67</f>
        <v>#DIV/0!</v>
      </c>
      <c r="R84" s="995" t="s">
        <v>841</v>
      </c>
    </row>
    <row r="85" spans="1:18" ht="13.5" thickBot="1">
      <c r="A85" s="961"/>
      <c r="B85" s="494"/>
      <c r="C85" s="494"/>
      <c r="D85" s="961"/>
      <c r="E85" s="961"/>
      <c r="F85" s="961"/>
      <c r="O85" s="1002" t="s">
        <v>409</v>
      </c>
      <c r="P85" s="994" t="str">
        <f>K68</f>
        <v>建筑物剩余耐用年限下的土地年期修正系数Kn</v>
      </c>
      <c r="Q85" s="4168" t="e">
        <f ca="1">L68</f>
        <v>#DIV/0!</v>
      </c>
      <c r="R85" s="995" t="s">
        <v>842</v>
      </c>
    </row>
    <row r="86" spans="1:18" ht="25.5" thickBot="1">
      <c r="A86" s="961"/>
      <c r="B86" s="168" t="s">
        <v>860</v>
      </c>
      <c r="C86" s="1042"/>
      <c r="D86" s="961"/>
      <c r="E86" s="961"/>
      <c r="F86" s="961"/>
      <c r="K86" s="977"/>
      <c r="L86" s="961"/>
      <c r="O86" s="4162" t="s">
        <v>403</v>
      </c>
      <c r="P86" s="4166" t="s">
        <v>3924</v>
      </c>
      <c r="Q86" s="4165">
        <f ca="1">ROUND((Q74+Q75)*(1+F31),0)</f>
        <v>64745</v>
      </c>
      <c r="R86" s="4164" t="s">
        <v>3925</v>
      </c>
    </row>
    <row r="87" spans="1:18">
      <c r="A87" s="961"/>
      <c r="B87" s="222" t="s">
        <v>781</v>
      </c>
      <c r="C87" s="2908">
        <f ca="1">ROUND(C53*C88,0)</f>
        <v>1756</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0.47799999999999998</v>
      </c>
    </row>
    <row r="92" spans="1:18">
      <c r="B92" s="222" t="s">
        <v>786</v>
      </c>
      <c r="C92" s="2909">
        <f ca="1">ROUND(C87/C27,3)</f>
        <v>0.52200000000000002</v>
      </c>
    </row>
    <row r="93" spans="1:18">
      <c r="B93" s="165" t="s">
        <v>787</v>
      </c>
      <c r="C93" s="133"/>
    </row>
    <row r="94" spans="1:18">
      <c r="B94" s="168" t="s">
        <v>788</v>
      </c>
      <c r="C94" s="2910">
        <f ca="1">1-C95</f>
        <v>0.58800000000000008</v>
      </c>
    </row>
    <row r="95" spans="1:18">
      <c r="B95" s="168" t="s">
        <v>789</v>
      </c>
      <c r="C95" s="2909">
        <f ca="1">ROUND(C53/(C28+J31+L55),3)</f>
        <v>0.41199999999999998</v>
      </c>
    </row>
  </sheetData>
  <sheetProtection password="CEE9" sheet="1" objects="1" scenarios="1"/>
  <mergeCells count="15">
    <mergeCell ref="D67:F67"/>
    <mergeCell ref="A7:A8"/>
    <mergeCell ref="D7:D8"/>
    <mergeCell ref="H7:H8"/>
    <mergeCell ref="I7:I8"/>
    <mergeCell ref="J7:J8"/>
    <mergeCell ref="K62:L62"/>
    <mergeCell ref="B7:B8"/>
    <mergeCell ref="C7:C8"/>
    <mergeCell ref="K7:K8"/>
    <mergeCell ref="B59:B60"/>
    <mergeCell ref="D59:D60"/>
    <mergeCell ref="C59:C60"/>
    <mergeCell ref="D15:F15"/>
    <mergeCell ref="K15:M15"/>
  </mergeCells>
  <phoneticPr fontId="3"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7">
      <formula>$J$60&gt;$L$57</formula>
    </cfRule>
  </conditionalFormatting>
  <conditionalFormatting sqref="J11">
    <cfRule type="expression" dxfId="128" priority="2">
      <formula>$M$10="自定义"</formula>
    </cfRule>
  </conditionalFormatting>
  <conditionalFormatting sqref="K64 K69">
    <cfRule type="expression" dxfId="127"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0A98C-9E01-49F8-B704-77ED9DD25D7D}">
  <sheetPr>
    <tabColor rgb="FF92D050"/>
  </sheetPr>
  <dimension ref="A1:AK95"/>
  <sheetViews>
    <sheetView zoomScaleNormal="100" zoomScaleSheetLayoutView="100" workbookViewId="0">
      <selection activeCell="I9" sqref="I9"/>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961" customWidth="1"/>
    <col min="18" max="18" width="20.5" style="961" customWidth="1"/>
    <col min="19" max="19" width="13.25" style="961" customWidth="1"/>
    <col min="20" max="37" width="9" style="961"/>
    <col min="38" max="16384" width="9" style="153"/>
  </cols>
  <sheetData>
    <row r="1" spans="1:37" s="178" customFormat="1" ht="21">
      <c r="A1" s="952" t="s">
        <v>862</v>
      </c>
      <c r="B1" s="481"/>
      <c r="C1" s="2859" t="s">
        <v>660</v>
      </c>
      <c r="D1" s="940" t="s">
        <v>41</v>
      </c>
      <c r="E1" s="941" t="s">
        <v>665</v>
      </c>
      <c r="F1" s="3519">
        <f ca="1">J62</f>
        <v>18.5</v>
      </c>
      <c r="G1" s="955">
        <f>MATCH(C1,'数据-取费表'!A6:A16,0)+5</f>
        <v>7</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7">
        <f ca="1">IF(D2="含税",ROUND((C28+J31+L55)*(1+F31),0),C28+J31+L55)</f>
        <v>19729</v>
      </c>
      <c r="C2" s="958" t="s">
        <v>791</v>
      </c>
      <c r="D2" s="3429" t="s">
        <v>3994</v>
      </c>
      <c r="E2" s="963"/>
      <c r="F2" s="964"/>
      <c r="G2" s="1999"/>
      <c r="H2" s="1989"/>
      <c r="I2" s="1989"/>
      <c r="J2" s="1989"/>
      <c r="K2" s="1990"/>
      <c r="L2" s="1989"/>
      <c r="M2" s="1989"/>
    </row>
    <row r="3" spans="1:37" ht="18" customHeight="1" thickBot="1">
      <c r="A3" s="965" t="s">
        <v>792</v>
      </c>
      <c r="B3" s="2828">
        <f ca="1">IF(ISERROR(B2*10000/F32),0,ROUND(B2*10000/F32,0))</f>
        <v>15208</v>
      </c>
      <c r="C3" s="958" t="s">
        <v>793</v>
      </c>
      <c r="D3" s="958"/>
      <c r="E3" s="963"/>
      <c r="F3" s="964"/>
      <c r="G3" s="1999"/>
      <c r="H3" s="467" t="s">
        <v>861</v>
      </c>
      <c r="I3" s="959"/>
      <c r="J3" s="959"/>
      <c r="K3" s="960"/>
      <c r="L3" s="959"/>
      <c r="M3" s="959"/>
    </row>
    <row r="4" spans="1:37" s="118" customFormat="1" ht="18" customHeight="1">
      <c r="A4" s="2797" t="s">
        <v>3885</v>
      </c>
      <c r="B4" s="2798" t="s">
        <v>3886</v>
      </c>
      <c r="C4" s="3684" t="s">
        <v>3824</v>
      </c>
      <c r="D4" s="2798" t="s">
        <v>3887</v>
      </c>
      <c r="E4" s="4121" t="s">
        <v>3888</v>
      </c>
      <c r="F4" s="4122"/>
      <c r="G4" s="4123"/>
      <c r="H4" s="2797" t="s">
        <v>3885</v>
      </c>
      <c r="I4" s="2798" t="s">
        <v>3886</v>
      </c>
      <c r="J4" s="3684" t="s">
        <v>3824</v>
      </c>
      <c r="K4" s="2798" t="s">
        <v>3887</v>
      </c>
      <c r="L4" s="4121" t="s">
        <v>3888</v>
      </c>
      <c r="M4" s="4122"/>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3"/>
    </row>
    <row r="5" spans="1:37" s="118" customFormat="1" ht="18" customHeight="1">
      <c r="A5" s="183">
        <v>1</v>
      </c>
      <c r="B5" s="4033" t="s">
        <v>3402</v>
      </c>
      <c r="C5" s="3517">
        <f ca="1">ROUND(C6+C10+C12,0)</f>
        <v>1493</v>
      </c>
      <c r="D5" s="4124" t="s">
        <v>3891</v>
      </c>
      <c r="E5" s="4125"/>
      <c r="F5" s="4126"/>
      <c r="G5" s="4123"/>
      <c r="H5" s="183">
        <v>1</v>
      </c>
      <c r="I5" s="4033" t="s">
        <v>3402</v>
      </c>
      <c r="J5" s="3517">
        <f ca="1">ROUND(J6+J10+J12,0)</f>
        <v>0</v>
      </c>
      <c r="K5" s="4124" t="s">
        <v>3891</v>
      </c>
      <c r="L5" s="4125"/>
      <c r="M5" s="4126"/>
      <c r="N5" s="4123"/>
      <c r="O5" s="4123"/>
      <c r="P5" s="4123"/>
      <c r="Q5" s="4123"/>
      <c r="R5" s="4123"/>
      <c r="S5" s="4123"/>
      <c r="T5" s="4123"/>
      <c r="U5" s="4123"/>
      <c r="V5" s="4123"/>
      <c r="W5" s="4123"/>
      <c r="X5" s="4123"/>
      <c r="Y5" s="4123"/>
      <c r="Z5" s="4123"/>
      <c r="AA5" s="4123"/>
      <c r="AB5" s="4123"/>
      <c r="AC5" s="4123"/>
      <c r="AD5" s="4123"/>
      <c r="AE5" s="4123"/>
      <c r="AF5" s="4123"/>
      <c r="AG5" s="4123"/>
      <c r="AH5" s="4123"/>
      <c r="AI5" s="4123"/>
      <c r="AJ5" s="4123"/>
      <c r="AK5" s="4123"/>
    </row>
    <row r="6" spans="1:37" ht="18" customHeight="1">
      <c r="A6" s="729" t="s">
        <v>392</v>
      </c>
      <c r="B6" s="2786" t="s">
        <v>3801</v>
      </c>
      <c r="C6" s="3974">
        <f ca="1">C7-C9</f>
        <v>1491.51</v>
      </c>
      <c r="D6" s="2787" t="s">
        <v>3805</v>
      </c>
      <c r="E6" s="2785" t="s">
        <v>3400</v>
      </c>
      <c r="F6" s="3133">
        <f ca="1">INDIRECT("'数据-取费表'!u"&amp;$G$1)</f>
        <v>3.5</v>
      </c>
      <c r="G6" s="961"/>
      <c r="H6" s="729" t="s">
        <v>392</v>
      </c>
      <c r="I6" s="2786" t="s">
        <v>3801</v>
      </c>
      <c r="J6" s="2773">
        <f ca="1">J7-J9</f>
        <v>0</v>
      </c>
      <c r="K6" s="2787" t="s">
        <v>3805</v>
      </c>
      <c r="L6" s="2785" t="s">
        <v>3400</v>
      </c>
      <c r="M6" s="3133">
        <f ca="1">INDIRECT("'数据-取费表'!z"&amp;$G$1)</f>
        <v>0</v>
      </c>
    </row>
    <row r="7" spans="1:37" ht="18" customHeight="1">
      <c r="A7" s="4622" t="s">
        <v>391</v>
      </c>
      <c r="B7" s="4613" t="s">
        <v>3799</v>
      </c>
      <c r="C7" s="4615">
        <f ca="1">ROUND(F6*F7*F8/10000,2)</f>
        <v>1657.23</v>
      </c>
      <c r="D7" s="4616" t="s">
        <v>3474</v>
      </c>
      <c r="E7" s="736" t="s">
        <v>683</v>
      </c>
      <c r="F7" s="3520">
        <f ca="1">IF(INDIRECT("'数据-取费表'!ah"&amp;$G$1)="",INDIRECT("'数据-取费表'!k"&amp;$G$1),INDIRECT("'数据-取费表'!ah"&amp;$G$1))</f>
        <v>12972.44</v>
      </c>
      <c r="G7" s="961"/>
      <c r="H7" s="4622" t="s">
        <v>391</v>
      </c>
      <c r="I7" s="4613" t="s">
        <v>3799</v>
      </c>
      <c r="J7" s="4610">
        <f ca="1">ROUND(M6*M8*M7/10000,2)</f>
        <v>0</v>
      </c>
      <c r="K7" s="4616" t="s">
        <v>3474</v>
      </c>
      <c r="L7" s="186" t="s">
        <v>683</v>
      </c>
      <c r="M7" s="3520">
        <f ca="1">F7</f>
        <v>12972.44</v>
      </c>
    </row>
    <row r="8" spans="1:37" ht="18" customHeight="1">
      <c r="A8" s="4623"/>
      <c r="B8" s="4614"/>
      <c r="C8" s="4615"/>
      <c r="D8" s="4616"/>
      <c r="E8" s="186" t="s">
        <v>684</v>
      </c>
      <c r="F8" s="3520">
        <f ca="1">INDIRECT("'数据-取费表'!ai"&amp;$G$1)</f>
        <v>365</v>
      </c>
      <c r="G8" s="961"/>
      <c r="H8" s="4623"/>
      <c r="I8" s="4614"/>
      <c r="J8" s="4610"/>
      <c r="K8" s="4616"/>
      <c r="L8" s="186" t="s">
        <v>684</v>
      </c>
      <c r="M8" s="3520">
        <f ca="1">INDIRECT("'数据-取费表'!ai"&amp;$G$1)</f>
        <v>365</v>
      </c>
    </row>
    <row r="9" spans="1:37" ht="18" customHeight="1">
      <c r="A9" s="2771" t="s">
        <v>393</v>
      </c>
      <c r="B9" s="3140" t="s">
        <v>3800</v>
      </c>
      <c r="C9" s="3975">
        <f ca="1">ROUND(C7*F9,2)</f>
        <v>165.72</v>
      </c>
      <c r="D9" s="2787" t="s">
        <v>3804</v>
      </c>
      <c r="E9" s="186" t="s">
        <v>685</v>
      </c>
      <c r="F9" s="2843">
        <f ca="1">INDIRECT("'数据-取费表'!w"&amp;$G$1)</f>
        <v>0.1</v>
      </c>
      <c r="G9" s="961"/>
      <c r="H9" s="2771" t="s">
        <v>393</v>
      </c>
      <c r="I9" s="3140" t="s">
        <v>3800</v>
      </c>
      <c r="J9" s="2773">
        <f ca="1">ROUND(J7*M9,2)</f>
        <v>0</v>
      </c>
      <c r="K9" s="2787" t="s">
        <v>3804</v>
      </c>
      <c r="L9" s="197" t="s">
        <v>685</v>
      </c>
      <c r="M9" s="2906">
        <f ca="1">INDIRECT("'数据-取费表'!ab"&amp;$G$1)</f>
        <v>0</v>
      </c>
    </row>
    <row r="10" spans="1:37" ht="18" customHeight="1">
      <c r="A10" s="729" t="s">
        <v>396</v>
      </c>
      <c r="B10" s="943" t="s">
        <v>686</v>
      </c>
      <c r="C10" s="2773">
        <f ca="1">ROUND(IF(F10="押一",C6/12*F11,IF(F10="押二",C6/12*2*F11,IF(F10="押三",C6/12*3*F11,C11*F11))),2)</f>
        <v>1.86</v>
      </c>
      <c r="D10" s="59" t="s">
        <v>2025</v>
      </c>
      <c r="E10" s="197" t="s">
        <v>687</v>
      </c>
      <c r="F10" s="771" t="s">
        <v>4153</v>
      </c>
      <c r="G10" s="961"/>
      <c r="H10" s="729" t="s">
        <v>396</v>
      </c>
      <c r="I10" s="943" t="s">
        <v>686</v>
      </c>
      <c r="J10" s="2791">
        <f ca="1">ROUND(IF(M10="押一",J6/12*M11,IF(M10="押二",J6/12*2*M11,IF(M10="押三",J6/12*3*M11,J11*M11))),2)</f>
        <v>0</v>
      </c>
      <c r="K10" s="59" t="s">
        <v>2025</v>
      </c>
      <c r="L10" s="197" t="s">
        <v>687</v>
      </c>
      <c r="M10" s="4005"/>
    </row>
    <row r="11" spans="1:37" ht="18" customHeight="1">
      <c r="A11" s="192"/>
      <c r="B11" s="3128" t="s">
        <v>3479</v>
      </c>
      <c r="C11" s="2790"/>
      <c r="D11" s="945"/>
      <c r="E11" s="197" t="s">
        <v>688</v>
      </c>
      <c r="F11" s="2906">
        <f ca="1">'数据-取费表'!B40</f>
        <v>1.4999999999999999E-2</v>
      </c>
      <c r="G11" s="961"/>
      <c r="H11" s="737"/>
      <c r="I11" s="3128" t="s">
        <v>3479</v>
      </c>
      <c r="J11" s="2790"/>
      <c r="K11" s="464"/>
      <c r="L11" s="197" t="s">
        <v>688</v>
      </c>
      <c r="M11" s="3543">
        <f ca="1">'数据-取费表'!B40</f>
        <v>1.4999999999999999E-2</v>
      </c>
    </row>
    <row r="12" spans="1:37" ht="18" customHeight="1" thickBot="1">
      <c r="A12" s="742" t="s">
        <v>431</v>
      </c>
      <c r="B12" s="946" t="s">
        <v>689</v>
      </c>
      <c r="C12" s="2818"/>
      <c r="D12" s="744"/>
      <c r="E12" s="749"/>
      <c r="F12" s="745"/>
      <c r="G12" s="961"/>
      <c r="H12" s="742" t="s">
        <v>431</v>
      </c>
      <c r="I12" s="946" t="s">
        <v>689</v>
      </c>
      <c r="J12" s="2818"/>
      <c r="K12" s="757"/>
      <c r="L12" s="749"/>
      <c r="M12" s="2907"/>
    </row>
    <row r="13" spans="1:37" s="118" customFormat="1" ht="18" customHeight="1" thickTop="1">
      <c r="A13" s="738" t="s">
        <v>3682</v>
      </c>
      <c r="B13" s="739" t="s">
        <v>700</v>
      </c>
      <c r="C13" s="3968">
        <f ca="1">ROUND(C14+C22+C24+C26,0)</f>
        <v>241</v>
      </c>
      <c r="D13" s="4127" t="s">
        <v>3893</v>
      </c>
      <c r="E13" s="4128"/>
      <c r="F13" s="4126"/>
      <c r="G13" s="4123"/>
      <c r="H13" s="738" t="s">
        <v>3682</v>
      </c>
      <c r="I13" s="739" t="s">
        <v>700</v>
      </c>
      <c r="J13" s="3968">
        <f ca="1">ROUND(J14+J22+J24+J26,0)</f>
        <v>102</v>
      </c>
      <c r="K13" s="4129" t="s">
        <v>3894</v>
      </c>
      <c r="L13" s="4128"/>
      <c r="M13" s="4130"/>
      <c r="N13" s="4123"/>
      <c r="O13" s="4123"/>
      <c r="P13" s="4123"/>
      <c r="Q13" s="4123"/>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3982</v>
      </c>
      <c r="C14" s="2773">
        <f ca="1">ROUND(IF(AND(项目基本情况!B11="自然人",项目基本情况!B10="北京市",M56="住宅"),C6*F14,C15+C19+C20),2)</f>
        <v>199.18</v>
      </c>
      <c r="D14" s="926" t="s">
        <v>3446</v>
      </c>
      <c r="E14" s="925" t="str">
        <f>IF(M56="非住宅","","综合税率")</f>
        <v/>
      </c>
      <c r="F14" s="3951" t="str">
        <f>IF(M56="非住宅","",IF(F6*F7*F8/12/(1+'数据-取费表'!F30)&gt;100000,4%,2.5%))</f>
        <v/>
      </c>
      <c r="G14" s="961"/>
      <c r="H14" s="676" t="s">
        <v>392</v>
      </c>
      <c r="I14" s="2785" t="s">
        <v>3982</v>
      </c>
      <c r="J14" s="2773">
        <f ca="1">ROUND(IF(AND(项目基本情况!B11="自然人",项目基本情况!B10="北京市",M56="住宅"),J6*M14/(1+'数据-取费表'!C43),J15+J19+J20),2)</f>
        <v>82.83</v>
      </c>
      <c r="K14" s="2814" t="s">
        <v>3445</v>
      </c>
      <c r="L14" s="925" t="str">
        <f>E14</f>
        <v/>
      </c>
      <c r="M14" s="3951" t="str">
        <f>IF(M56="非住宅","",IF(M6*M7*M8/12/(1+'数据-取费表'!F30)&gt;100000,4%,2.5%))</f>
        <v/>
      </c>
    </row>
    <row r="15" spans="1:37" s="972" customFormat="1" ht="18" customHeight="1">
      <c r="A15" s="2771" t="s">
        <v>391</v>
      </c>
      <c r="B15" s="2785" t="s">
        <v>3978</v>
      </c>
      <c r="C15" s="2773">
        <f ca="1">C18</f>
        <v>15.74</v>
      </c>
      <c r="D15" s="4620" t="s">
        <v>3977</v>
      </c>
      <c r="E15" s="4621"/>
      <c r="F15" s="4621"/>
      <c r="G15" s="971"/>
      <c r="H15" s="2771" t="s">
        <v>391</v>
      </c>
      <c r="I15" s="2785" t="s">
        <v>3978</v>
      </c>
      <c r="J15" s="2773">
        <f ca="1">J18</f>
        <v>-0.2</v>
      </c>
      <c r="K15" s="4620" t="s">
        <v>3977</v>
      </c>
      <c r="L15" s="4621"/>
      <c r="M15" s="462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94">
        <f ca="1">ROUND(C6*F16,2)</f>
        <v>134.24</v>
      </c>
      <c r="D16" s="1020" t="s">
        <v>3863</v>
      </c>
      <c r="E16" s="2795" t="s">
        <v>3406</v>
      </c>
      <c r="F16" s="2841">
        <v>0.09</v>
      </c>
      <c r="G16" s="961"/>
      <c r="H16" s="2570" t="s">
        <v>3285</v>
      </c>
      <c r="I16" s="2789" t="s">
        <v>3404</v>
      </c>
      <c r="J16" s="2794">
        <f ca="1">ROUND(J6*M16,2)</f>
        <v>0</v>
      </c>
      <c r="K16" s="4102" t="s">
        <v>3869</v>
      </c>
      <c r="L16" s="2795" t="s">
        <v>3406</v>
      </c>
      <c r="M16" s="2841">
        <v>0.09</v>
      </c>
    </row>
    <row r="17" spans="1:37" s="972" customFormat="1" ht="18" customHeight="1">
      <c r="A17" s="2570" t="s">
        <v>3286</v>
      </c>
      <c r="B17" s="2789" t="s">
        <v>3405</v>
      </c>
      <c r="C17" s="2815">
        <f ca="1">ROUND(C22*F16+((C24+C26)*F17),2)</f>
        <v>3.1</v>
      </c>
      <c r="D17" s="4101" t="s">
        <v>3864</v>
      </c>
      <c r="E17" s="2796"/>
      <c r="F17" s="2841">
        <v>0.06</v>
      </c>
      <c r="G17" s="971"/>
      <c r="H17" s="2570" t="s">
        <v>3286</v>
      </c>
      <c r="I17" s="2789" t="s">
        <v>3405</v>
      </c>
      <c r="J17" s="2815">
        <f ca="1">ROUND(J22*M16+((J24+J26)*M17),2)</f>
        <v>1.68</v>
      </c>
      <c r="K17" s="4101" t="s">
        <v>3864</v>
      </c>
      <c r="L17" s="2796"/>
      <c r="M17" s="2841">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3287</v>
      </c>
      <c r="B18" s="2789" t="s">
        <v>3973</v>
      </c>
      <c r="C18" s="2815">
        <f ca="1">ROUND((C16-C17)*F18,2)</f>
        <v>15.74</v>
      </c>
      <c r="D18" s="2814" t="s">
        <v>3974</v>
      </c>
      <c r="E18" s="186" t="s">
        <v>3439</v>
      </c>
      <c r="F18" s="2841">
        <f>'数据-取费表'!B44</f>
        <v>0.12000000000000001</v>
      </c>
      <c r="G18" s="971"/>
      <c r="H18" s="2570" t="s">
        <v>3287</v>
      </c>
      <c r="I18" s="2789" t="s">
        <v>3973</v>
      </c>
      <c r="J18" s="2815">
        <f ca="1">ROUND((J16-J17)*M18,2)</f>
        <v>-0.2</v>
      </c>
      <c r="K18" s="2814" t="s">
        <v>3974</v>
      </c>
      <c r="L18" s="186" t="s">
        <v>3439</v>
      </c>
      <c r="M18" s="2841">
        <f>'数据-取费表'!B44</f>
        <v>0.12000000000000001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3979</v>
      </c>
      <c r="C19" s="2773">
        <f ca="1">IF(AND(项目基本情况!B11="自然人",M56="住宅"),"——",IF(D19="按不含税租金收入（有效毛租金收入）计税",ROUND(C6*F19,2),IF(D19="按房产原值计税",ROUND(C51*F19*0.7,2),INDIRECT("'数据-取费表'!Aj"&amp;$G$1))))</f>
        <v>178.98</v>
      </c>
      <c r="D19" s="2788" t="s">
        <v>4154</v>
      </c>
      <c r="E19" s="186" t="s">
        <v>698</v>
      </c>
      <c r="F19" s="2841">
        <f>IF(D19="按票据","——",IF(D19="按不含税租金收入（有效毛租金收入）计税",'数据-取费表'!B52,'数据-取费表'!B51))</f>
        <v>0.12</v>
      </c>
      <c r="G19" s="971"/>
      <c r="H19" s="2771" t="s">
        <v>393</v>
      </c>
      <c r="I19" s="2785" t="s">
        <v>3979</v>
      </c>
      <c r="J19" s="2773">
        <f ca="1">IF(K19="按不含税租金收入（有效毛租金收入）计税",ROUND(J6*M19,2),ROUND(C51*M19*0.7,2))</f>
        <v>78.569999999999993</v>
      </c>
      <c r="K19" s="947"/>
      <c r="L19" s="186" t="s">
        <v>698</v>
      </c>
      <c r="M19" s="2841">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953" t="s">
        <v>3980</v>
      </c>
      <c r="C20" s="2791">
        <f ca="1">IF(AND(项目基本情况!B11="自然人",M56="住宅"),"——",ROUND(F20*F21/10000,2))</f>
        <v>4.46</v>
      </c>
      <c r="D20" s="207" t="s">
        <v>717</v>
      </c>
      <c r="E20" s="186" t="s">
        <v>718</v>
      </c>
      <c r="F20" s="2842">
        <f>'数据-取费表'!B53</f>
        <v>12</v>
      </c>
      <c r="G20" s="961"/>
      <c r="H20" s="3966" t="s">
        <v>667</v>
      </c>
      <c r="I20" s="953" t="s">
        <v>3980</v>
      </c>
      <c r="J20" s="2791">
        <f ca="1">ROUND(M20*M21/10000,2)</f>
        <v>4.46</v>
      </c>
      <c r="K20" s="207" t="s">
        <v>717</v>
      </c>
      <c r="L20" s="186" t="s">
        <v>718</v>
      </c>
      <c r="M20" s="2842">
        <f>'数据-取费表'!B53</f>
        <v>12</v>
      </c>
    </row>
    <row r="21" spans="1:37" s="972" customFormat="1" ht="18" customHeight="1">
      <c r="A21" s="209"/>
      <c r="B21" s="760"/>
      <c r="C21" s="2792"/>
      <c r="D21" s="210"/>
      <c r="E21" s="186" t="s">
        <v>722</v>
      </c>
      <c r="F21" s="2837">
        <f ca="1">INDIRECT("'数据-取费表'!r"&amp;$G$1)</f>
        <v>3716.64</v>
      </c>
      <c r="G21" s="971"/>
      <c r="H21" s="209"/>
      <c r="I21" s="195"/>
      <c r="J21" s="2792"/>
      <c r="K21" s="210"/>
      <c r="L21" s="186" t="s">
        <v>722</v>
      </c>
      <c r="M21" s="2837">
        <f ca="1">INDIRECT("'数据-取费表'!r"&amp;$G$1)</f>
        <v>3716.64</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80">
        <f ca="1">ROUND(C51*F22,2)</f>
        <v>18.71</v>
      </c>
      <c r="D22" s="1809" t="s">
        <v>725</v>
      </c>
      <c r="E22" s="186" t="s">
        <v>698</v>
      </c>
      <c r="F22" s="2843">
        <f ca="1">INDIRECT("'数据-取费表'!Ak"&amp;$G$1)</f>
        <v>2E-3</v>
      </c>
      <c r="G22" s="971"/>
      <c r="H22" s="3979" t="s">
        <v>396</v>
      </c>
      <c r="I22" s="56" t="s">
        <v>724</v>
      </c>
      <c r="J22" s="3980">
        <f ca="1">ROUND(J35*M22,2)</f>
        <v>18.71</v>
      </c>
      <c r="K22" s="1809" t="s">
        <v>725</v>
      </c>
      <c r="L22" s="186" t="s">
        <v>698</v>
      </c>
      <c r="M22" s="2843">
        <f ca="1">INDIRECT("'数据-取费表'!Ak"&amp;$G$1)</f>
        <v>2E-3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81"/>
      <c r="D23" s="4047"/>
      <c r="E23" s="2785" t="s">
        <v>3826</v>
      </c>
      <c r="F23" s="3520">
        <f ca="1">C51</f>
        <v>9353</v>
      </c>
      <c r="G23" s="971"/>
      <c r="H23" s="209"/>
      <c r="I23" s="195"/>
      <c r="J23" s="3981"/>
      <c r="K23" s="4047"/>
      <c r="L23" s="2785" t="s">
        <v>3826</v>
      </c>
      <c r="M23" s="3520">
        <f ca="1">J35</f>
        <v>9353</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80">
        <f ca="1">ROUND(C53*F24,2)</f>
        <v>8.61</v>
      </c>
      <c r="D24" s="1809" t="s">
        <v>3443</v>
      </c>
      <c r="E24" s="186" t="s">
        <v>698</v>
      </c>
      <c r="F24" s="2843">
        <f ca="1">INDIRECT("'数据-取费表'!Al"&amp;$G$1)</f>
        <v>1E-3</v>
      </c>
      <c r="G24" s="961"/>
      <c r="H24" s="3979" t="s">
        <v>431</v>
      </c>
      <c r="I24" s="56" t="s">
        <v>728</v>
      </c>
      <c r="J24" s="3980">
        <f ca="1">ROUND(J37*M24,2)</f>
        <v>0</v>
      </c>
      <c r="K24" s="1809" t="s">
        <v>3829</v>
      </c>
      <c r="L24" s="186" t="s">
        <v>698</v>
      </c>
      <c r="M24" s="2843">
        <f ca="1">INDIRECT("'数据-取费表'!Al"&amp;$G$1)</f>
        <v>1E-3</v>
      </c>
    </row>
    <row r="25" spans="1:37" ht="18" customHeight="1">
      <c r="A25" s="209"/>
      <c r="B25" s="195"/>
      <c r="C25" s="3981"/>
      <c r="D25" s="4047"/>
      <c r="E25" s="4046" t="s">
        <v>3827</v>
      </c>
      <c r="F25" s="3520">
        <f ca="1">C53</f>
        <v>8605</v>
      </c>
      <c r="G25" s="961"/>
      <c r="H25" s="209"/>
      <c r="I25" s="195"/>
      <c r="J25" s="3981"/>
      <c r="K25" s="4047"/>
      <c r="L25" s="4046" t="s">
        <v>3827</v>
      </c>
      <c r="M25" s="3520">
        <f ca="1">J37</f>
        <v>0</v>
      </c>
    </row>
    <row r="26" spans="1:37" s="972" customFormat="1" ht="18" customHeight="1" thickBot="1">
      <c r="A26" s="748" t="s">
        <v>670</v>
      </c>
      <c r="B26" s="749" t="s">
        <v>714</v>
      </c>
      <c r="C26" s="2793">
        <f ca="1">ROUND(C5*F26,2)</f>
        <v>14.93</v>
      </c>
      <c r="D26" s="751" t="s">
        <v>3870</v>
      </c>
      <c r="E26" s="749" t="s">
        <v>698</v>
      </c>
      <c r="F26" s="2907">
        <f ca="1">INDIRECT("'数据-取费表'!Am"&amp;$G$1)</f>
        <v>0.01</v>
      </c>
      <c r="G26" s="971"/>
      <c r="H26" s="748" t="s">
        <v>670</v>
      </c>
      <c r="I26" s="749" t="s">
        <v>714</v>
      </c>
      <c r="J26" s="2793">
        <f ca="1">ROUND(J5*M26,2)</f>
        <v>0</v>
      </c>
      <c r="K26" s="751" t="s">
        <v>3870</v>
      </c>
      <c r="L26" s="749" t="s">
        <v>698</v>
      </c>
      <c r="M26" s="2907">
        <f ca="1">INDIRECT("'数据-取费表'!Am"&amp;$G$1)</f>
        <v>0.01</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387</v>
      </c>
      <c r="B27" s="753" t="s">
        <v>738</v>
      </c>
      <c r="C27" s="3968">
        <f ca="1">C5-C13</f>
        <v>1252</v>
      </c>
      <c r="D27" s="4131" t="s">
        <v>3896</v>
      </c>
      <c r="E27" s="4132"/>
      <c r="F27" s="4133"/>
      <c r="G27" s="498"/>
      <c r="H27" s="738" t="s">
        <v>387</v>
      </c>
      <c r="I27" s="753" t="s">
        <v>738</v>
      </c>
      <c r="J27" s="3968">
        <f ca="1">J5-J13</f>
        <v>-102</v>
      </c>
      <c r="K27" s="4131" t="s">
        <v>3896</v>
      </c>
      <c r="L27" s="4132"/>
      <c r="M27" s="413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760</v>
      </c>
      <c r="C28" s="4049">
        <f ca="1">IF(C5&lt;&gt;0,ROUND(C27*(1-((1+F30)/(1+F28))^F29)/(F28-F30),0),0)</f>
        <v>16608</v>
      </c>
      <c r="D28" s="4135" t="s">
        <v>3898</v>
      </c>
      <c r="E28" s="2799" t="s">
        <v>3899</v>
      </c>
      <c r="F28" s="2843">
        <f ca="1">INDIRECT("'数据-取费表'!I"&amp;$G$1)</f>
        <v>5.5E-2</v>
      </c>
      <c r="G28" s="4123"/>
      <c r="H28" s="183" t="s">
        <v>388</v>
      </c>
      <c r="I28" s="184" t="s">
        <v>743</v>
      </c>
      <c r="J28" s="4049">
        <f ca="1">IF(J5&lt;&gt;0,ROUND(J27*(1-((1+M30)/(1+M28))^M29)/(M28-M30),0),0)</f>
        <v>0</v>
      </c>
      <c r="K28" s="4135" t="s">
        <v>3898</v>
      </c>
      <c r="L28" s="4136" t="s">
        <v>3899</v>
      </c>
      <c r="M28" s="2906">
        <f ca="1">INDIRECT("'数据-取费表'!I"&amp;$G$1)</f>
        <v>5.5E-2</v>
      </c>
      <c r="N28" s="4123"/>
      <c r="O28" s="4123"/>
      <c r="P28" s="4123"/>
      <c r="Q28" s="4123"/>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21" customHeight="1">
      <c r="A29" s="188"/>
      <c r="B29" s="189"/>
      <c r="C29" s="4050"/>
      <c r="D29" s="4137" t="s">
        <v>3901</v>
      </c>
      <c r="E29" s="2799" t="s">
        <v>3902</v>
      </c>
      <c r="F29" s="2844">
        <f ca="1">IF(INDIRECT("'数据-取费表'!af"&amp;$G$1)=0,INDIRECT("'数据-取费表'!ae"&amp;$G$1),INDIRECT("'数据-取费表'!af"&amp;$G$1))</f>
        <v>18.5</v>
      </c>
      <c r="G29" s="4123"/>
      <c r="H29" s="188"/>
      <c r="I29" s="189"/>
      <c r="J29" s="4050"/>
      <c r="K29" s="64" t="s">
        <v>3903</v>
      </c>
      <c r="L29" s="2799" t="s">
        <v>3902</v>
      </c>
      <c r="M29" s="2844">
        <f ca="1">INDIRECT("'数据-取费表'!ag"&amp;$G$1)</f>
        <v>0</v>
      </c>
      <c r="N29" s="4123"/>
      <c r="O29" s="4123"/>
      <c r="P29" s="4123"/>
      <c r="Q29" s="4123"/>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0.02</v>
      </c>
      <c r="G30" s="4123"/>
      <c r="H30" s="192"/>
      <c r="I30" s="193"/>
      <c r="J30" s="4051"/>
      <c r="K30" s="64"/>
      <c r="L30" s="2799" t="s">
        <v>3904</v>
      </c>
      <c r="M30" s="2843">
        <f ca="1">INDIRECT("'数据-取费表'!aa"&amp;$G$1)</f>
        <v>0</v>
      </c>
      <c r="N30" s="4123"/>
      <c r="O30" s="4123"/>
      <c r="P30" s="4123"/>
      <c r="Q30" s="4123"/>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389</v>
      </c>
      <c r="B31" s="3949" t="s">
        <v>3905</v>
      </c>
      <c r="C31" s="3952">
        <f ca="1">ROUND(C28*(1+F31),0)</f>
        <v>18103</v>
      </c>
      <c r="D31" s="4138" t="s">
        <v>3688</v>
      </c>
      <c r="E31" s="4139" t="str">
        <f>IF(D31="其他类型公式—收益价值×（1+9%）","销项税率","征收率")</f>
        <v>销项税率</v>
      </c>
      <c r="F31" s="2843">
        <f>IF(D31="其他类型公式—收益价值×（1+9%）",9%,3%)</f>
        <v>0.09</v>
      </c>
      <c r="G31" s="498"/>
      <c r="H31" s="199" t="s">
        <v>389</v>
      </c>
      <c r="I31" s="2799" t="s">
        <v>754</v>
      </c>
      <c r="J31" s="2817">
        <f ca="1">ROUND(J28/(1+F28)^F29,0)</f>
        <v>0</v>
      </c>
      <c r="K31" s="4043" t="s">
        <v>3819</v>
      </c>
      <c r="L31" s="2799"/>
      <c r="M31" s="2844">
        <f ca="1">INDIRECT("'数据-取费表'!k"&amp;$G$1)</f>
        <v>12972.44</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ROUND(C31*10000/F32,0)</f>
        <v>13955</v>
      </c>
      <c r="D32" s="4140" t="s">
        <v>3907</v>
      </c>
      <c r="E32" s="217" t="s">
        <v>3908</v>
      </c>
      <c r="F32" s="2845">
        <f ca="1">INDIRECT("'数据-取费表'!k"&amp;$G$1)</f>
        <v>12972.44</v>
      </c>
      <c r="G32" s="498"/>
      <c r="H32" s="3945" t="s">
        <v>390</v>
      </c>
      <c r="I32" s="3946" t="s">
        <v>3909</v>
      </c>
      <c r="J32" s="3947">
        <f ca="1">ROUND(J31*(1+F31),0)</f>
        <v>0</v>
      </c>
      <c r="K32" s="4141" t="str">
        <f>D31</f>
        <v>其他类型公式—收益价值×（1+9%）</v>
      </c>
      <c r="L32" s="4142"/>
      <c r="M32" s="414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0.16141995981245816</v>
      </c>
      <c r="G33" s="961"/>
    </row>
    <row r="34" spans="1:37" s="118" customFormat="1" ht="18" customHeight="1">
      <c r="A34" s="4116" t="s">
        <v>3885</v>
      </c>
      <c r="B34" s="4117" t="s">
        <v>3886</v>
      </c>
      <c r="C34" s="4118" t="s">
        <v>3824</v>
      </c>
      <c r="D34" s="4117" t="s">
        <v>3887</v>
      </c>
      <c r="E34" s="4119" t="s">
        <v>3888</v>
      </c>
      <c r="F34" s="4120"/>
      <c r="G34" s="4123"/>
      <c r="H34" s="4116" t="s">
        <v>3885</v>
      </c>
      <c r="I34" s="4117" t="s">
        <v>3886</v>
      </c>
      <c r="J34" s="4118" t="s">
        <v>3824</v>
      </c>
      <c r="K34" s="4117" t="s">
        <v>3887</v>
      </c>
      <c r="L34" s="4119" t="s">
        <v>3888</v>
      </c>
      <c r="M34" s="4120"/>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199" t="s">
        <v>433</v>
      </c>
      <c r="B35" s="2799" t="s">
        <v>3408</v>
      </c>
      <c r="C35" s="2817">
        <f ca="1">SUM(C36:C41)</f>
        <v>7264</v>
      </c>
      <c r="D35" s="4043" t="s">
        <v>3415</v>
      </c>
      <c r="E35" s="1020"/>
      <c r="F35" s="3383"/>
      <c r="G35" s="961"/>
      <c r="H35" s="4044" t="s">
        <v>433</v>
      </c>
      <c r="I35" s="4045" t="s">
        <v>3448</v>
      </c>
      <c r="J35" s="2774">
        <f ca="1">C51</f>
        <v>9353</v>
      </c>
      <c r="K35" s="2813" t="s">
        <v>3444</v>
      </c>
      <c r="L35" s="55"/>
      <c r="M35" s="2751"/>
    </row>
    <row r="36" spans="1:37" ht="18" customHeight="1">
      <c r="A36" s="2771" t="s">
        <v>391</v>
      </c>
      <c r="B36" s="2736" t="s">
        <v>693</v>
      </c>
      <c r="C36" s="2676">
        <f ca="1">INDIRECT("'数据-取费表'!m"&amp;$G$1)+INDIRECT("'数据-取费表'!t"&amp;$G$1)</f>
        <v>6486</v>
      </c>
      <c r="D36" s="925" t="s">
        <v>694</v>
      </c>
      <c r="E36" s="925"/>
      <c r="F36" s="215"/>
      <c r="G36" s="961"/>
      <c r="H36" s="2821" t="s">
        <v>396</v>
      </c>
      <c r="I36" s="2826" t="s">
        <v>3435</v>
      </c>
      <c r="J36" s="2721">
        <f ca="1">ROUND(J35*(1-M36),0)</f>
        <v>9353</v>
      </c>
      <c r="K36" s="186" t="s">
        <v>3438</v>
      </c>
      <c r="L36" s="2787" t="s">
        <v>3451</v>
      </c>
      <c r="M36" s="2843">
        <f ca="1">INDIRECT("'数据-取费表'!ad"&amp;$G$1)</f>
        <v>0</v>
      </c>
    </row>
    <row r="37" spans="1:37" ht="18" customHeight="1" thickBot="1">
      <c r="A37" s="2771" t="s">
        <v>393</v>
      </c>
      <c r="B37" s="2789" t="s">
        <v>3820</v>
      </c>
      <c r="C37" s="2774">
        <f ca="1">ROUND(C36*F37,0)</f>
        <v>324</v>
      </c>
      <c r="D37" s="186" t="s">
        <v>697</v>
      </c>
      <c r="E37" s="186" t="s">
        <v>698</v>
      </c>
      <c r="F37" s="2841">
        <f>'数据-取费表'!B33</f>
        <v>0.05</v>
      </c>
      <c r="G37" s="961"/>
      <c r="H37" s="2822" t="s">
        <v>3426</v>
      </c>
      <c r="I37" s="4048" t="s">
        <v>3828</v>
      </c>
      <c r="J37" s="2828">
        <f ca="1">J35-J36</f>
        <v>0</v>
      </c>
      <c r="K37" s="2808" t="s">
        <v>3475</v>
      </c>
      <c r="L37" s="219"/>
      <c r="M37" s="2829"/>
    </row>
    <row r="38" spans="1:37" ht="18" customHeight="1">
      <c r="A38" s="2771" t="s">
        <v>667</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668</v>
      </c>
      <c r="B39" s="2736" t="s">
        <v>702</v>
      </c>
      <c r="C39" s="2774">
        <f ca="1">ROUND(F39*(F32+INDIRECT("'数据-取费表'!S"&amp;$G$1))/10000,0)</f>
        <v>389</v>
      </c>
      <c r="D39" s="186" t="s">
        <v>703</v>
      </c>
      <c r="E39" s="186" t="s">
        <v>3821</v>
      </c>
      <c r="F39" s="2842">
        <f>'数据-取费表'!B35</f>
        <v>300</v>
      </c>
      <c r="G39" s="961"/>
    </row>
    <row r="40" spans="1:37" ht="18" customHeight="1">
      <c r="A40" s="2771" t="s">
        <v>669</v>
      </c>
      <c r="B40" s="2789" t="s">
        <v>3289</v>
      </c>
      <c r="C40" s="2774">
        <f ca="1">ROUND(C36*F40,0)</f>
        <v>65</v>
      </c>
      <c r="D40" s="186" t="s">
        <v>697</v>
      </c>
      <c r="E40" s="186" t="s">
        <v>698</v>
      </c>
      <c r="F40" s="2841">
        <f>'数据-取费表'!B36</f>
        <v>0.01</v>
      </c>
      <c r="G40" s="961"/>
      <c r="H40" s="47"/>
      <c r="I40" s="47"/>
      <c r="J40" s="47"/>
      <c r="K40" s="1894"/>
      <c r="L40" s="47"/>
      <c r="M40" s="47"/>
    </row>
    <row r="41" spans="1:37" ht="18" customHeight="1">
      <c r="A41" s="2771" t="s">
        <v>669</v>
      </c>
      <c r="B41" s="2789" t="s">
        <v>3290</v>
      </c>
      <c r="C41" s="2774">
        <f ca="1">ROUND(C36*F41,0)</f>
        <v>0</v>
      </c>
      <c r="D41" s="186" t="s">
        <v>697</v>
      </c>
      <c r="E41" s="186" t="s">
        <v>698</v>
      </c>
      <c r="F41" s="2841">
        <f>'数据-取费表'!B37</f>
        <v>0</v>
      </c>
      <c r="G41" s="961"/>
      <c r="H41" s="47"/>
      <c r="I41" s="47"/>
      <c r="J41" s="47"/>
      <c r="K41" s="1894"/>
      <c r="L41" s="47"/>
      <c r="M41" s="47"/>
    </row>
    <row r="42" spans="1:37" ht="18" customHeight="1">
      <c r="A42" s="199" t="s">
        <v>434</v>
      </c>
      <c r="B42" s="2799" t="s">
        <v>3423</v>
      </c>
      <c r="C42" s="2817">
        <f ca="1">ROUND(C35*F42,0)</f>
        <v>145</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3428</v>
      </c>
      <c r="E43" s="2799" t="s">
        <v>3425</v>
      </c>
      <c r="F43" s="2843">
        <f>'数据-取费表'!B39</f>
        <v>0.02</v>
      </c>
      <c r="G43" s="961"/>
      <c r="H43" s="47"/>
      <c r="I43" s="47"/>
      <c r="J43" s="47"/>
      <c r="K43" s="1894"/>
      <c r="L43" s="47"/>
      <c r="M43" s="47"/>
    </row>
    <row r="44" spans="1:37" ht="18" customHeight="1">
      <c r="A44" s="199" t="s">
        <v>3430</v>
      </c>
      <c r="B44" s="2802" t="s">
        <v>3367</v>
      </c>
      <c r="C44" s="3523" t="str">
        <f ca="1">C45&amp;"+"&amp;C46&amp;"V建"</f>
        <v>232+0.0006V建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232</v>
      </c>
      <c r="D45" s="55" t="str">
        <f>IF(F45&lt;=1,"(建造成本+管理费用)×利率×(建设周期÷2)","(建造成本+管理费用)×((1+利率)^(建设周期÷2)-1)")</f>
        <v>(建造成本+管理费用)×((1+利率)^(建设周期÷2)-1)</v>
      </c>
      <c r="E45" s="186" t="s">
        <v>727</v>
      </c>
      <c r="F45" s="2842">
        <f>'数据-取费表'!B20</f>
        <v>2</v>
      </c>
      <c r="G45" s="961"/>
      <c r="H45" s="47"/>
      <c r="I45" s="47"/>
      <c r="J45" s="47"/>
      <c r="K45" s="1894"/>
      <c r="L45" s="47"/>
      <c r="M45" s="47"/>
    </row>
    <row r="46" spans="1:37" ht="18" customHeight="1">
      <c r="A46" s="2771" t="s">
        <v>393</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3308</v>
      </c>
      <c r="C47" s="3523" t="str">
        <f ca="1">C48&amp;"+"&amp;C49&amp;"V建"</f>
        <v>1482+0.004V建</v>
      </c>
      <c r="D47" s="2755" t="s">
        <v>3432</v>
      </c>
      <c r="E47" s="200"/>
      <c r="F47" s="2842"/>
      <c r="G47" s="961"/>
      <c r="H47" s="47"/>
      <c r="I47" s="47"/>
      <c r="J47" s="47"/>
      <c r="K47" s="1894"/>
      <c r="L47" s="47"/>
      <c r="M47" s="47"/>
    </row>
    <row r="48" spans="1:37" ht="18" customHeight="1">
      <c r="A48" s="2771" t="s">
        <v>391</v>
      </c>
      <c r="B48" s="186" t="s">
        <v>740</v>
      </c>
      <c r="C48" s="2774">
        <f ca="1">ROUND((C35+C42)*F48,0)</f>
        <v>1482</v>
      </c>
      <c r="D48" s="206" t="s">
        <v>741</v>
      </c>
      <c r="E48" s="186" t="s">
        <v>742</v>
      </c>
      <c r="F48" s="2843">
        <f ca="1">INDIRECT("'数据-取费表'!q"&amp;$G$1)</f>
        <v>0.2</v>
      </c>
      <c r="G48" s="961"/>
      <c r="H48" s="47"/>
      <c r="I48" s="47"/>
      <c r="J48" s="47"/>
      <c r="K48" s="1894"/>
      <c r="L48" s="47"/>
      <c r="M48" s="47"/>
    </row>
    <row r="49" spans="1:18" ht="18" customHeight="1">
      <c r="A49" s="2771" t="s">
        <v>393</v>
      </c>
      <c r="B49" s="186" t="s">
        <v>746</v>
      </c>
      <c r="C49" s="3524">
        <f ca="1">ROUND(F43*F48,4)</f>
        <v>4.0000000000000001E-3</v>
      </c>
      <c r="D49" s="206" t="s">
        <v>747</v>
      </c>
      <c r="E49" s="186"/>
      <c r="F49" s="2841"/>
      <c r="G49" s="961"/>
      <c r="H49" s="47"/>
      <c r="I49" s="47"/>
      <c r="J49" s="47"/>
      <c r="K49" s="1894"/>
      <c r="L49" s="47"/>
      <c r="M49" s="47"/>
    </row>
    <row r="50" spans="1:18" ht="18" customHeight="1">
      <c r="A50" s="199" t="s">
        <v>3418</v>
      </c>
      <c r="B50" s="2799" t="s">
        <v>3419</v>
      </c>
      <c r="C50" s="2817">
        <f>ROUND(F50/(1+'数据-取费表'!C43),4)</f>
        <v>0</v>
      </c>
      <c r="D50" s="4104" t="s">
        <v>3877</v>
      </c>
      <c r="E50" s="2799"/>
      <c r="F50" s="2843"/>
      <c r="G50" s="961"/>
      <c r="H50" s="47"/>
      <c r="I50" s="47"/>
      <c r="J50" s="47"/>
      <c r="K50" s="1894"/>
      <c r="L50" s="47"/>
      <c r="M50" s="47"/>
    </row>
    <row r="51" spans="1:18" s="961" customFormat="1" ht="18" customHeight="1">
      <c r="A51" s="199" t="s">
        <v>3420</v>
      </c>
      <c r="B51" s="2799" t="s">
        <v>3421</v>
      </c>
      <c r="C51" s="2817">
        <f ca="1">ROUND((C35+C42+C45+C48)/(1-F43-C46-C49-C50),0)</f>
        <v>9353</v>
      </c>
      <c r="D51" s="2813" t="s">
        <v>3444</v>
      </c>
      <c r="E51" s="2799"/>
      <c r="F51" s="2843"/>
      <c r="K51" s="977"/>
    </row>
    <row r="52" spans="1:18" s="961" customFormat="1" ht="18" customHeight="1">
      <c r="A52" s="2803" t="s">
        <v>3433</v>
      </c>
      <c r="B52" s="2802" t="s">
        <v>3435</v>
      </c>
      <c r="C52" s="2817">
        <f ca="1">ROUND(C51*(1-F52),0)</f>
        <v>748</v>
      </c>
      <c r="D52" s="2799" t="s">
        <v>3889</v>
      </c>
      <c r="E52" s="2799" t="s">
        <v>3890</v>
      </c>
      <c r="F52" s="2843">
        <f ca="1">INDIRECT("'数据-取费表'!y"&amp;$G$1)</f>
        <v>0.92</v>
      </c>
      <c r="K52" s="977"/>
    </row>
    <row r="53" spans="1:18" s="961" customFormat="1" ht="18" customHeight="1" thickBot="1">
      <c r="A53" s="2804" t="s">
        <v>3436</v>
      </c>
      <c r="B53" s="2812" t="s">
        <v>3442</v>
      </c>
      <c r="C53" s="2828">
        <f ca="1">C51-C52</f>
        <v>8605</v>
      </c>
      <c r="D53" s="2808" t="s">
        <v>3475</v>
      </c>
      <c r="E53" s="217"/>
      <c r="F53" s="2809"/>
      <c r="K53" s="977"/>
    </row>
    <row r="54" spans="1:18" s="961" customFormat="1" ht="18" customHeight="1" thickBot="1">
      <c r="A54" s="975"/>
      <c r="B54" s="975"/>
      <c r="C54" s="976"/>
      <c r="D54" s="975"/>
      <c r="E54" s="975"/>
      <c r="F54" s="975"/>
      <c r="I54" s="2830" t="s">
        <v>3452</v>
      </c>
      <c r="J54" s="494"/>
      <c r="O54" s="1998" t="s">
        <v>794</v>
      </c>
      <c r="P54" s="1034"/>
      <c r="Q54" s="1034"/>
      <c r="R54" s="1034"/>
    </row>
    <row r="55" spans="1:18" s="961" customFormat="1" ht="13.5" thickBot="1">
      <c r="A55" s="979" t="s">
        <v>795</v>
      </c>
      <c r="C55" s="3998">
        <f ca="1">IF(D2="含税",C83-C31,C80-C28)</f>
        <v>-18565</v>
      </c>
      <c r="D55" s="981" t="str">
        <f>C2</f>
        <v>万元</v>
      </c>
      <c r="E55" s="975"/>
      <c r="F55" s="975"/>
      <c r="I55" s="982" t="s">
        <v>796</v>
      </c>
      <c r="J55" s="983"/>
      <c r="K55" s="984"/>
      <c r="L55" s="4018">
        <f ca="1">IF(M56="住宅",0,IF(L57&gt;J60,L69,J69))</f>
        <v>1492</v>
      </c>
      <c r="O55" s="4159" t="s">
        <v>1327</v>
      </c>
      <c r="P55" s="4160" t="s">
        <v>3914</v>
      </c>
      <c r="Q55" s="4161" t="s">
        <v>3915</v>
      </c>
      <c r="R55" s="4161" t="s">
        <v>3916</v>
      </c>
    </row>
    <row r="56" spans="1:18" s="961" customFormat="1" ht="13.5" thickBot="1">
      <c r="A56" s="4144" t="s">
        <v>3885</v>
      </c>
      <c r="B56" s="4145" t="s">
        <v>3886</v>
      </c>
      <c r="C56" s="4118" t="s">
        <v>3824</v>
      </c>
      <c r="D56" s="4145" t="s">
        <v>3887</v>
      </c>
      <c r="E56" s="4146" t="s">
        <v>3888</v>
      </c>
      <c r="F56" s="719"/>
      <c r="G56" s="490"/>
      <c r="I56" s="989" t="s">
        <v>801</v>
      </c>
      <c r="J56" s="990" t="s">
        <v>4155</v>
      </c>
      <c r="K56" s="991" t="s">
        <v>802</v>
      </c>
      <c r="L56" s="4019">
        <f ca="1">INDIRECT("'数据-取费表'!d"&amp;$G$1)</f>
        <v>40</v>
      </c>
      <c r="M56" s="957" t="str">
        <f>IF(ISNUMBER(FIND("住宅",C1)),"住宅","非住宅")</f>
        <v>非住宅</v>
      </c>
      <c r="O56" s="4162" t="s">
        <v>397</v>
      </c>
      <c r="P56" s="4163" t="s">
        <v>3917</v>
      </c>
      <c r="Q56" s="4165">
        <f ca="1">C28+J31</f>
        <v>16608</v>
      </c>
      <c r="R56" s="4164" t="s">
        <v>3918</v>
      </c>
    </row>
    <row r="57" spans="1:18" s="961" customFormat="1" ht="42.75" thickBot="1">
      <c r="A57" s="671" t="s">
        <v>432</v>
      </c>
      <c r="B57" s="184" t="s">
        <v>679</v>
      </c>
      <c r="C57" s="4147">
        <f ca="1">ROUND(C58+C62+C64,0)</f>
        <v>0</v>
      </c>
      <c r="D57" s="4124" t="s">
        <v>3891</v>
      </c>
      <c r="E57" s="4148"/>
      <c r="F57" s="656"/>
      <c r="G57" s="490"/>
      <c r="H57" s="491"/>
      <c r="I57" s="996" t="s">
        <v>805</v>
      </c>
      <c r="J57" s="997" t="s">
        <v>4156</v>
      </c>
      <c r="K57" s="998" t="s">
        <v>806</v>
      </c>
      <c r="L57" s="4008">
        <f ca="1">INDIRECT("'数据-取费表'!f"&amp;$G$1)</f>
        <v>18.5</v>
      </c>
      <c r="O57" s="4162" t="s">
        <v>398</v>
      </c>
      <c r="P57" s="4163" t="s">
        <v>3919</v>
      </c>
      <c r="Q57" s="4165">
        <f ca="1">J69</f>
        <v>1492</v>
      </c>
      <c r="R57" s="4164" t="s">
        <v>3920</v>
      </c>
    </row>
    <row r="58" spans="1:18" s="961" customFormat="1" ht="15.75" thickBot="1">
      <c r="A58" s="3984" t="s">
        <v>392</v>
      </c>
      <c r="B58" s="2786" t="s">
        <v>3801</v>
      </c>
      <c r="C58" s="3976">
        <f ca="1">C59-C61</f>
        <v>0</v>
      </c>
      <c r="D58" s="2787" t="s">
        <v>3805</v>
      </c>
      <c r="E58" s="2811" t="s">
        <v>3441</v>
      </c>
      <c r="F58" s="3525"/>
      <c r="H58" s="491"/>
      <c r="I58" s="996" t="s">
        <v>809</v>
      </c>
      <c r="J58" s="4006">
        <v>2021</v>
      </c>
      <c r="K58" s="998" t="s">
        <v>810</v>
      </c>
      <c r="L58" s="4020"/>
      <c r="O58" s="1002" t="s">
        <v>399</v>
      </c>
      <c r="P58" s="994" t="s">
        <v>811</v>
      </c>
      <c r="Q58" s="3542">
        <f ca="1">C51</f>
        <v>9353</v>
      </c>
      <c r="R58" s="995" t="s">
        <v>804</v>
      </c>
    </row>
    <row r="59" spans="1:18" s="961" customFormat="1" ht="13.5" thickBot="1">
      <c r="A59" s="3991" t="s">
        <v>391</v>
      </c>
      <c r="B59" s="4617" t="s">
        <v>3799</v>
      </c>
      <c r="C59" s="4618">
        <f ca="1">ROUND(F58*F60*F59/10000,2)</f>
        <v>0</v>
      </c>
      <c r="D59" s="4616" t="s">
        <v>3474</v>
      </c>
      <c r="E59" s="716" t="s">
        <v>683</v>
      </c>
      <c r="F59" s="3526">
        <f ca="1">F7</f>
        <v>12972.44</v>
      </c>
      <c r="H59" s="491"/>
      <c r="I59" s="996" t="s">
        <v>812</v>
      </c>
      <c r="J59" s="4007">
        <f>SUMPRODUCT((I72:I74=J56)*(J71:L71=J57)*(J72:L74))</f>
        <v>60</v>
      </c>
      <c r="K59" s="998" t="s">
        <v>813</v>
      </c>
      <c r="L59" s="4020"/>
      <c r="M59" s="1004"/>
      <c r="O59" s="1002" t="s">
        <v>400</v>
      </c>
      <c r="P59" s="994" t="s">
        <v>814</v>
      </c>
      <c r="Q59" s="3539">
        <f ca="1">J67</f>
        <v>0.60799999999999998</v>
      </c>
      <c r="R59" s="995"/>
    </row>
    <row r="60" spans="1:18" s="961" customFormat="1" ht="13.5" thickBot="1">
      <c r="A60" s="3992"/>
      <c r="B60" s="4617"/>
      <c r="C60" s="4619"/>
      <c r="D60" s="4616"/>
      <c r="E60" s="675" t="s">
        <v>684</v>
      </c>
      <c r="F60" s="3520">
        <f ca="1">F8</f>
        <v>365</v>
      </c>
      <c r="I60" s="1006" t="s">
        <v>815</v>
      </c>
      <c r="J60" s="4008">
        <f>IF(J58="",J59,J58+J59-YEAR('数据-取费表'!B2))</f>
        <v>55</v>
      </c>
      <c r="K60" s="1007" t="s">
        <v>816</v>
      </c>
      <c r="L60" s="3996">
        <f ca="1">ROUND(-PV(INDIRECT("'数据-取费表'!h"&amp;$G$1),J60,(C27-C52*C88),0),0)</f>
        <v>22353</v>
      </c>
      <c r="M60" s="1009"/>
      <c r="O60" s="1002" t="s">
        <v>401</v>
      </c>
      <c r="P60" s="994" t="s">
        <v>817</v>
      </c>
      <c r="Q60" s="3539">
        <f>J61</f>
        <v>7.4999999999999997E-2</v>
      </c>
      <c r="R60" s="995"/>
    </row>
    <row r="61" spans="1:18" s="961" customFormat="1" ht="13.5" thickBot="1">
      <c r="A61" s="3993" t="s">
        <v>393</v>
      </c>
      <c r="B61" s="3687" t="s">
        <v>3800</v>
      </c>
      <c r="C61" s="3977">
        <f ca="1">ROUND(C59*F61,2)</f>
        <v>0</v>
      </c>
      <c r="D61" s="2787" t="s">
        <v>3804</v>
      </c>
      <c r="E61" s="675" t="s">
        <v>685</v>
      </c>
      <c r="F61" s="2838"/>
      <c r="I61" s="1010" t="s">
        <v>818</v>
      </c>
      <c r="J61" s="4009">
        <v>7.4999999999999997E-2</v>
      </c>
      <c r="K61" s="1010" t="s">
        <v>819</v>
      </c>
      <c r="L61" s="4009"/>
      <c r="O61" s="1002" t="s">
        <v>402</v>
      </c>
      <c r="P61" s="994" t="s">
        <v>820</v>
      </c>
      <c r="Q61" s="3538">
        <f ca="1">J62</f>
        <v>18.5</v>
      </c>
      <c r="R61" s="995" t="s">
        <v>821</v>
      </c>
    </row>
    <row r="62" spans="1:18" s="961" customFormat="1" ht="25.5" thickBot="1">
      <c r="A62" s="3994" t="s">
        <v>396</v>
      </c>
      <c r="B62" s="950" t="s">
        <v>686</v>
      </c>
      <c r="C62" s="2773">
        <f ca="1">ROUND(IF(F62="押一",C58/12*F11,IF(F62="押二",C58/12*2*F11,IF(F62="押三",C58/12*3*F11,C63*F11))),2)</f>
        <v>0</v>
      </c>
      <c r="D62" s="59" t="s">
        <v>2025</v>
      </c>
      <c r="E62" s="197" t="s">
        <v>687</v>
      </c>
      <c r="F62" s="3527"/>
      <c r="I62" s="1012" t="s">
        <v>822</v>
      </c>
      <c r="J62" s="4010">
        <f ca="1">IF(M56="住宅",IF(D1="——",MAX(J60,L57),MAX(J60,L57-'数据-取费表'!B24)),IF(D1="——",MIN(J60,L57),MIN(J60,L57-'数据-取费表'!B24)))</f>
        <v>18.5</v>
      </c>
      <c r="K62" s="4611" t="s">
        <v>823</v>
      </c>
      <c r="L62" s="4612"/>
      <c r="O62" s="4162" t="s">
        <v>403</v>
      </c>
      <c r="P62" s="4166" t="s">
        <v>3924</v>
      </c>
      <c r="Q62" s="4165">
        <f ca="1">ROUND((Q56+Q57)*(1+F31),0)</f>
        <v>19729</v>
      </c>
      <c r="R62" s="4164" t="s">
        <v>3925</v>
      </c>
    </row>
    <row r="63" spans="1:18" s="961" customFormat="1" ht="13.5" thickBot="1">
      <c r="A63" s="3985"/>
      <c r="B63" s="3128" t="s">
        <v>3479</v>
      </c>
      <c r="C63" s="279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11"/>
      <c r="K63" s="1015"/>
      <c r="L63" s="1015"/>
      <c r="O63" s="978" t="s">
        <v>825</v>
      </c>
      <c r="P63" s="958"/>
      <c r="Q63" s="958"/>
      <c r="R63" s="958"/>
    </row>
    <row r="64" spans="1:18" s="961" customFormat="1" ht="13.5" thickBot="1">
      <c r="A64" s="3986" t="s">
        <v>431</v>
      </c>
      <c r="B64" s="946" t="s">
        <v>689</v>
      </c>
      <c r="C64" s="3973"/>
      <c r="D64" s="59"/>
      <c r="E64" s="951"/>
      <c r="F64" s="1013"/>
      <c r="I64" s="1016" t="s">
        <v>826</v>
      </c>
      <c r="J64" s="4012">
        <f ca="1">ROUND(IF(J56="钢混",J66/J59,1-(1-2%)*(J59-J66)/J59),3)</f>
        <v>0.60799999999999998</v>
      </c>
      <c r="K64" s="1018" t="s">
        <v>827</v>
      </c>
      <c r="L64" s="1019"/>
      <c r="O64" s="4159" t="s">
        <v>1327</v>
      </c>
      <c r="P64" s="4160" t="s">
        <v>3914</v>
      </c>
      <c r="Q64" s="4161" t="s">
        <v>3915</v>
      </c>
      <c r="R64" s="4161" t="s">
        <v>3916</v>
      </c>
    </row>
    <row r="65" spans="1:18" s="961" customFormat="1" ht="25.5" thickTop="1" thickBot="1">
      <c r="A65" s="199" t="s">
        <v>3682</v>
      </c>
      <c r="B65" s="652" t="s">
        <v>700</v>
      </c>
      <c r="C65" s="2817">
        <f ca="1">ROUND(C66+C74+C76+C78,0)</f>
        <v>32</v>
      </c>
      <c r="D65" s="4149" t="s">
        <v>3912</v>
      </c>
      <c r="E65" s="655"/>
      <c r="F65" s="656"/>
      <c r="I65" s="1022" t="s">
        <v>828</v>
      </c>
      <c r="J65" s="4013" t="s">
        <v>4157</v>
      </c>
      <c r="K65" s="996" t="s">
        <v>829</v>
      </c>
      <c r="L65" s="4008" t="str">
        <f ca="1">IF(L57&lt;J60,"——",L57-J62)</f>
        <v>——</v>
      </c>
      <c r="O65" s="4162" t="s">
        <v>397</v>
      </c>
      <c r="P65" s="4163" t="s">
        <v>3917</v>
      </c>
      <c r="Q65" s="4165">
        <f ca="1">C28+J31</f>
        <v>16608</v>
      </c>
      <c r="R65" s="4164" t="s">
        <v>3918</v>
      </c>
    </row>
    <row r="66" spans="1:18" s="961" customFormat="1" ht="24.75" thickBot="1">
      <c r="A66" s="537" t="s">
        <v>392</v>
      </c>
      <c r="B66" s="2766" t="s">
        <v>3982</v>
      </c>
      <c r="C66" s="2773">
        <f ca="1">ROUND(IF(AND(项目基本情况!B11="自然人",项目基本情况!B10="北京市",M56="住宅"),C58*F66,C67+C71+C72),2)</f>
        <v>4.2</v>
      </c>
      <c r="D66" s="657" t="s">
        <v>3446</v>
      </c>
      <c r="E66" s="658" t="str">
        <f>E14</f>
        <v/>
      </c>
      <c r="F66" s="3951" t="str">
        <f>IF(M56="非住宅","",IF(F58*F59*F60/12/(1+'数据-取费表'!F30)&gt;100000,4%,2.5%))</f>
        <v/>
      </c>
      <c r="I66" s="1028" t="s">
        <v>830</v>
      </c>
      <c r="J66" s="4014">
        <f ca="1">IF(OR(M56="住宅",J60&lt;L57,J65="是"),"——",J60-L57)</f>
        <v>36.5</v>
      </c>
      <c r="K66" s="996" t="s">
        <v>831</v>
      </c>
      <c r="L66" s="4021" t="str">
        <f ca="1">IF(L57&lt;J60,"——",IF(L64="比较法",L58,IF(L64="基准地价",L59,L60)))</f>
        <v>——</v>
      </c>
      <c r="O66" s="4162" t="s">
        <v>398</v>
      </c>
      <c r="P66" s="4163" t="s">
        <v>3921</v>
      </c>
      <c r="Q66" s="4167">
        <f ca="1">L69</f>
        <v>0</v>
      </c>
      <c r="R66" s="4164" t="s">
        <v>3922</v>
      </c>
    </row>
    <row r="67" spans="1:18" s="961" customFormat="1" ht="24.75" thickBot="1">
      <c r="A67" s="3966" t="s">
        <v>391</v>
      </c>
      <c r="B67" s="2785" t="s">
        <v>3978</v>
      </c>
      <c r="C67" s="2773">
        <f ca="1">C70</f>
        <v>-0.26</v>
      </c>
      <c r="D67" s="4620" t="s">
        <v>3977</v>
      </c>
      <c r="E67" s="4621"/>
      <c r="F67" s="4621"/>
      <c r="I67" s="1028" t="s">
        <v>833</v>
      </c>
      <c r="J67" s="4015">
        <f ca="1">IF(J64&lt;0.4,0.4,J64)</f>
        <v>0.60799999999999998</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75" thickBot="1">
      <c r="A68" s="2570" t="s">
        <v>3285</v>
      </c>
      <c r="B68" s="2789" t="s">
        <v>3404</v>
      </c>
      <c r="C68" s="2773">
        <f ca="1">ROUND(C58*F68,2)</f>
        <v>0</v>
      </c>
      <c r="D68" s="1020" t="s">
        <v>3863</v>
      </c>
      <c r="E68" s="2795" t="s">
        <v>3406</v>
      </c>
      <c r="F68" s="2841">
        <f>F16</f>
        <v>0.09</v>
      </c>
      <c r="I68" s="1028" t="s">
        <v>836</v>
      </c>
      <c r="J68" s="4016">
        <f ca="1">IF(OR(M56="住宅",J60&lt;L57,J65="是"),"——",ROUND(C51*J67,0))</f>
        <v>5687</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5" thickBot="1">
      <c r="A69" s="2570" t="s">
        <v>3286</v>
      </c>
      <c r="B69" s="2789" t="s">
        <v>3405</v>
      </c>
      <c r="C69" s="2773">
        <f ca="1">ROUND(C74*F68+((C76+C78)*F69),2)</f>
        <v>2.2000000000000002</v>
      </c>
      <c r="D69" s="4101" t="s">
        <v>3864</v>
      </c>
      <c r="E69" s="2796"/>
      <c r="F69" s="2841">
        <f t="shared" ref="F69" si="0">F17</f>
        <v>0.06</v>
      </c>
      <c r="I69" s="1031" t="s">
        <v>838</v>
      </c>
      <c r="J69" s="4017">
        <f ca="1">IF(OR(M56="住宅",J60&lt;L57,J65="是"),"0",ROUND(J68/(1+J61)^J62,0))</f>
        <v>1492</v>
      </c>
      <c r="K69" s="1033" t="s">
        <v>839</v>
      </c>
      <c r="L69" s="4017">
        <f ca="1">IF(OR(M56="住宅",L57&lt;J60),0,ROUND(L66*(L67/L68-1),0))</f>
        <v>0</v>
      </c>
      <c r="O69" s="1002" t="s">
        <v>401</v>
      </c>
      <c r="P69" s="994" t="s">
        <v>840</v>
      </c>
      <c r="Q69" s="3541" t="e">
        <f ca="1">L67</f>
        <v>#DIV/0!</v>
      </c>
      <c r="R69" s="995" t="s">
        <v>841</v>
      </c>
    </row>
    <row r="70" spans="1:18" s="961" customFormat="1" ht="13.5" thickBot="1">
      <c r="A70" s="2570" t="s">
        <v>3287</v>
      </c>
      <c r="B70" s="2789" t="s">
        <v>3973</v>
      </c>
      <c r="C70" s="2773">
        <f ca="1">ROUND((C68-C69)*F70,2)</f>
        <v>-0.26</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25.5" thickBot="1">
      <c r="A71" s="3987" t="s">
        <v>767</v>
      </c>
      <c r="B71" s="2766" t="s">
        <v>3979</v>
      </c>
      <c r="C71" s="2773">
        <f ca="1">IF(项目基本情况!B11="自然人","——",IF(D71="按不含税租金收入（有效毛租金收入）计税",ROUND(C58*F71/(1+'数据-取费表'!C43),2),IF(D71="按房产原值计税",ROUND(F74*F71*0.7,2),INDIRECT("'数据-取费表'!Aj"&amp;$G$1))))</f>
        <v>0</v>
      </c>
      <c r="D71" s="947"/>
      <c r="E71" s="644" t="s">
        <v>698</v>
      </c>
      <c r="F71" s="2841">
        <f t="shared" ref="F71:F73" si="1">F19</f>
        <v>0.12</v>
      </c>
      <c r="I71" s="1035" t="s">
        <v>843</v>
      </c>
      <c r="J71" s="1036" t="s">
        <v>844</v>
      </c>
      <c r="K71" s="1036" t="s">
        <v>845</v>
      </c>
      <c r="L71" s="1036" t="s">
        <v>846</v>
      </c>
      <c r="M71" s="1037" t="s">
        <v>847</v>
      </c>
      <c r="O71" s="4162" t="s">
        <v>403</v>
      </c>
      <c r="P71" s="4166" t="s">
        <v>3924</v>
      </c>
      <c r="Q71" s="4167">
        <f ca="1">ROUND((Q65+Q66)*(1+F31),0)</f>
        <v>18103</v>
      </c>
      <c r="R71" s="4164" t="s">
        <v>3925</v>
      </c>
    </row>
    <row r="72" spans="1:18" s="961" customFormat="1" ht="13.5" thickBot="1">
      <c r="A72" s="3966" t="s">
        <v>770</v>
      </c>
      <c r="B72" s="4211" t="s">
        <v>3980</v>
      </c>
      <c r="C72" s="2791">
        <f ca="1">IF(项目基本情况!B11="自然人","——",ROUND(F72*F73/10000,2))</f>
        <v>4.46</v>
      </c>
      <c r="D72" s="659" t="s">
        <v>717</v>
      </c>
      <c r="E72" s="644" t="s">
        <v>718</v>
      </c>
      <c r="F72" s="3528">
        <f t="shared" si="1"/>
        <v>12</v>
      </c>
      <c r="I72" s="1035" t="s">
        <v>849</v>
      </c>
      <c r="J72" s="223">
        <v>70</v>
      </c>
      <c r="K72" s="223">
        <v>50</v>
      </c>
      <c r="L72" s="223">
        <v>80</v>
      </c>
      <c r="M72" s="1038">
        <v>0.02</v>
      </c>
      <c r="O72" s="978" t="s">
        <v>850</v>
      </c>
      <c r="P72" s="958"/>
      <c r="Q72" s="958"/>
      <c r="R72" s="958"/>
    </row>
    <row r="73" spans="1:18" s="961" customFormat="1" ht="13.5" thickBot="1">
      <c r="A73" s="209"/>
      <c r="B73" s="3978"/>
      <c r="C73" s="2792"/>
      <c r="D73" s="660"/>
      <c r="E73" s="644" t="s">
        <v>722</v>
      </c>
      <c r="F73" s="3133">
        <f t="shared" ca="1" si="1"/>
        <v>3716.64</v>
      </c>
      <c r="I73" s="1035" t="s">
        <v>851</v>
      </c>
      <c r="J73" s="223">
        <v>50</v>
      </c>
      <c r="K73" s="223">
        <v>35</v>
      </c>
      <c r="L73" s="223">
        <v>60</v>
      </c>
      <c r="M73" s="1037">
        <v>0</v>
      </c>
      <c r="O73" s="986" t="s">
        <v>797</v>
      </c>
      <c r="P73" s="987" t="s">
        <v>798</v>
      </c>
      <c r="Q73" s="988" t="s">
        <v>799</v>
      </c>
      <c r="R73" s="988" t="s">
        <v>800</v>
      </c>
    </row>
    <row r="74" spans="1:18" s="961" customFormat="1" ht="13.5" thickBot="1">
      <c r="A74" s="3988" t="s">
        <v>396</v>
      </c>
      <c r="B74" s="643" t="s">
        <v>724</v>
      </c>
      <c r="C74" s="3980">
        <f ca="1">ROUND(F74*F75,2)</f>
        <v>18.71</v>
      </c>
      <c r="D74" s="3982" t="s">
        <v>725</v>
      </c>
      <c r="E74" s="3995" t="s">
        <v>3806</v>
      </c>
      <c r="F74" s="3996">
        <f ca="1">C51</f>
        <v>9353</v>
      </c>
      <c r="I74" s="1035" t="s">
        <v>852</v>
      </c>
      <c r="J74" s="223">
        <v>40</v>
      </c>
      <c r="K74" s="223">
        <v>30</v>
      </c>
      <c r="L74" s="223">
        <v>50</v>
      </c>
      <c r="M74" s="1038">
        <v>0.02</v>
      </c>
      <c r="O74" s="4162" t="s">
        <v>397</v>
      </c>
      <c r="P74" s="4163" t="s">
        <v>3917</v>
      </c>
      <c r="Q74" s="4165">
        <f ca="1">C28+J31</f>
        <v>16608</v>
      </c>
      <c r="R74" s="4164" t="s">
        <v>3918</v>
      </c>
    </row>
    <row r="75" spans="1:18" s="961" customFormat="1" ht="15" thickBot="1">
      <c r="A75" s="3989"/>
      <c r="B75" s="650"/>
      <c r="C75" s="3981"/>
      <c r="D75" s="3983"/>
      <c r="E75" s="644" t="s">
        <v>698</v>
      </c>
      <c r="F75" s="2843">
        <f ca="1">F22</f>
        <v>2E-3</v>
      </c>
      <c r="O75" s="4162" t="s">
        <v>398</v>
      </c>
      <c r="P75" s="4163" t="s">
        <v>3921</v>
      </c>
      <c r="Q75" s="4167">
        <f ca="1">L69</f>
        <v>0</v>
      </c>
      <c r="R75" s="4164" t="s">
        <v>3923</v>
      </c>
    </row>
    <row r="76" spans="1:18" s="961" customFormat="1" ht="13.5" thickBot="1">
      <c r="A76" s="3988" t="s">
        <v>778</v>
      </c>
      <c r="B76" s="643" t="s">
        <v>728</v>
      </c>
      <c r="C76" s="3980">
        <f ca="1">ROUND(F76*F77,2)</f>
        <v>8.61</v>
      </c>
      <c r="D76" s="3982" t="s">
        <v>3443</v>
      </c>
      <c r="E76" s="3995" t="s">
        <v>3442</v>
      </c>
      <c r="F76" s="3997">
        <f ca="1">C53</f>
        <v>8605</v>
      </c>
      <c r="O76" s="993"/>
      <c r="P76" s="994"/>
      <c r="Q76" s="3538"/>
      <c r="R76" s="995"/>
    </row>
    <row r="77" spans="1:18" s="961" customFormat="1" ht="16.5" thickBot="1">
      <c r="A77" s="3990"/>
      <c r="B77" s="650"/>
      <c r="C77" s="3981"/>
      <c r="D77" s="3983"/>
      <c r="E77" s="644" t="s">
        <v>698</v>
      </c>
      <c r="F77" s="2843">
        <f ca="1">F24</f>
        <v>1E-3</v>
      </c>
      <c r="O77" s="1002" t="s">
        <v>399</v>
      </c>
      <c r="P77" s="994" t="s">
        <v>835</v>
      </c>
      <c r="Q77" s="3542">
        <f ca="1">L60</f>
        <v>22353</v>
      </c>
      <c r="R77" s="995" t="s">
        <v>855</v>
      </c>
    </row>
    <row r="78" spans="1:18" s="961" customFormat="1" ht="13.5" thickBot="1">
      <c r="A78" s="3990" t="s">
        <v>779</v>
      </c>
      <c r="B78" s="644" t="s">
        <v>714</v>
      </c>
      <c r="C78" s="2773">
        <f ca="1">ROUND(C57*F78,2)</f>
        <v>0</v>
      </c>
      <c r="D78" s="658" t="s">
        <v>3870</v>
      </c>
      <c r="E78" s="644" t="s">
        <v>698</v>
      </c>
      <c r="F78" s="2843">
        <f ca="1">F26</f>
        <v>0.01</v>
      </c>
      <c r="O78" s="1002"/>
      <c r="P78" s="994"/>
      <c r="Q78" s="3542"/>
      <c r="R78" s="995"/>
    </row>
    <row r="79" spans="1:18" s="961" customFormat="1" ht="16.5" thickBot="1">
      <c r="A79" s="651" t="s">
        <v>387</v>
      </c>
      <c r="B79" s="661" t="s">
        <v>738</v>
      </c>
      <c r="C79" s="2817">
        <f ca="1">C57-C65</f>
        <v>-32</v>
      </c>
      <c r="D79" s="4150" t="s">
        <v>3896</v>
      </c>
      <c r="E79" s="4151"/>
      <c r="F79" s="4152"/>
      <c r="O79" s="1002" t="s">
        <v>400</v>
      </c>
      <c r="P79" s="1040" t="s">
        <v>856</v>
      </c>
      <c r="Q79" s="3542">
        <f ca="1">ROUND(Q80-Q81*Q82,0)</f>
        <v>1200</v>
      </c>
      <c r="R79" s="995" t="s">
        <v>408</v>
      </c>
    </row>
    <row r="80" spans="1:18" s="961" customFormat="1" ht="13.5" thickBot="1">
      <c r="A80" s="3307" t="s">
        <v>388</v>
      </c>
      <c r="B80" s="642" t="s">
        <v>760</v>
      </c>
      <c r="C80" s="3965">
        <f ca="1">ROUND(C79*(1-((1+F82)/(1+F80))^F81)/(F80-F82),0)</f>
        <v>-424</v>
      </c>
      <c r="D80" s="4153" t="s">
        <v>3898</v>
      </c>
      <c r="E80" s="652" t="s">
        <v>3899</v>
      </c>
      <c r="F80" s="2843">
        <f ca="1">F28</f>
        <v>5.5E-2</v>
      </c>
      <c r="O80" s="1002" t="s">
        <v>405</v>
      </c>
      <c r="P80" s="1040" t="s">
        <v>857</v>
      </c>
      <c r="Q80" s="3542">
        <f ca="1">C27</f>
        <v>1252</v>
      </c>
      <c r="R80" s="995" t="s">
        <v>804</v>
      </c>
    </row>
    <row r="81" spans="1:18" s="961" customFormat="1" ht="13.5" thickBot="1">
      <c r="A81" s="3308"/>
      <c r="B81" s="646"/>
      <c r="C81" s="3517"/>
      <c r="D81" s="4154" t="s">
        <v>3903</v>
      </c>
      <c r="E81" s="652" t="s">
        <v>3902</v>
      </c>
      <c r="F81" s="2844">
        <f ca="1">F29</f>
        <v>18.5</v>
      </c>
      <c r="O81" s="1002" t="s">
        <v>406</v>
      </c>
      <c r="P81" s="1040" t="s">
        <v>858</v>
      </c>
      <c r="Q81" s="3542">
        <f ca="1">C52</f>
        <v>748</v>
      </c>
      <c r="R81" s="995" t="s">
        <v>804</v>
      </c>
    </row>
    <row r="82" spans="1:18" s="961" customFormat="1" ht="13.5" thickBot="1">
      <c r="A82" s="3309"/>
      <c r="B82" s="2860"/>
      <c r="C82" s="2860"/>
      <c r="D82" s="4155"/>
      <c r="E82" s="652" t="s">
        <v>3904</v>
      </c>
      <c r="F82" s="2838">
        <v>0.02</v>
      </c>
      <c r="O82" s="1002" t="s">
        <v>407</v>
      </c>
      <c r="P82" s="1040" t="s">
        <v>859</v>
      </c>
      <c r="Q82" s="3539">
        <f ca="1">C88</f>
        <v>7.0000000000000007E-2</v>
      </c>
      <c r="R82" s="995"/>
    </row>
    <row r="83" spans="1:18" s="961" customFormat="1" ht="13.5" thickBot="1">
      <c r="A83" s="648" t="s">
        <v>389</v>
      </c>
      <c r="B83" s="2816" t="s">
        <v>3447</v>
      </c>
      <c r="C83" s="3968">
        <f ca="1">ROUND(C80*(1+F31),0)</f>
        <v>-462</v>
      </c>
      <c r="D83" s="4156" t="str">
        <f>D31</f>
        <v>其他类型公式—收益价值×（1+9%）</v>
      </c>
      <c r="E83" s="1044"/>
      <c r="F83" s="4157"/>
      <c r="O83" s="1002" t="s">
        <v>401</v>
      </c>
      <c r="P83" s="994" t="s">
        <v>837</v>
      </c>
      <c r="Q83" s="3539">
        <f>L61</f>
        <v>0</v>
      </c>
      <c r="R83" s="995"/>
    </row>
    <row r="84" spans="1:18" ht="16.5" thickBot="1">
      <c r="A84" s="665" t="s">
        <v>390</v>
      </c>
      <c r="B84" s="666" t="s">
        <v>762</v>
      </c>
      <c r="C84" s="2828">
        <f ca="1">ROUND(C83*10000/F84,0)</f>
        <v>-356</v>
      </c>
      <c r="D84" s="4158" t="s">
        <v>3907</v>
      </c>
      <c r="E84" s="666" t="s">
        <v>3908</v>
      </c>
      <c r="F84" s="2845">
        <f ca="1">F32</f>
        <v>12972.44</v>
      </c>
      <c r="G84" s="961"/>
      <c r="H84" s="961"/>
      <c r="O84" s="1002" t="s">
        <v>402</v>
      </c>
      <c r="P84" s="994" t="s">
        <v>840</v>
      </c>
      <c r="Q84" s="4168" t="e">
        <f ca="1">L67</f>
        <v>#DIV/0!</v>
      </c>
      <c r="R84" s="995" t="s">
        <v>841</v>
      </c>
    </row>
    <row r="85" spans="1:18" ht="13.5" thickBot="1">
      <c r="A85" s="961"/>
      <c r="B85" s="494"/>
      <c r="C85" s="494"/>
      <c r="D85" s="961"/>
      <c r="E85" s="961"/>
      <c r="F85" s="961"/>
      <c r="O85" s="1002" t="s">
        <v>409</v>
      </c>
      <c r="P85" s="994" t="str">
        <f>K68</f>
        <v>建筑物剩余耐用年限下的土地年期修正系数Kn</v>
      </c>
      <c r="Q85" s="4168" t="e">
        <f ca="1">L68</f>
        <v>#DIV/0!</v>
      </c>
      <c r="R85" s="995" t="s">
        <v>842</v>
      </c>
    </row>
    <row r="86" spans="1:18" ht="25.5" thickBot="1">
      <c r="A86" s="961"/>
      <c r="B86" s="168" t="s">
        <v>860</v>
      </c>
      <c r="C86" s="1042"/>
      <c r="D86" s="961"/>
      <c r="E86" s="961"/>
      <c r="F86" s="961"/>
      <c r="K86" s="977"/>
      <c r="L86" s="961"/>
      <c r="O86" s="4162" t="s">
        <v>403</v>
      </c>
      <c r="P86" s="4166" t="s">
        <v>3924</v>
      </c>
      <c r="Q86" s="4165">
        <f ca="1">ROUND((Q74+Q75)*(1+F31),0)</f>
        <v>18103</v>
      </c>
      <c r="R86" s="4164" t="s">
        <v>3925</v>
      </c>
    </row>
    <row r="87" spans="1:18">
      <c r="A87" s="961"/>
      <c r="B87" s="222" t="s">
        <v>781</v>
      </c>
      <c r="C87" s="2908">
        <f ca="1">ROUND(C53*C88,0)</f>
        <v>602</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0.51900000000000002</v>
      </c>
    </row>
    <row r="92" spans="1:18">
      <c r="B92" s="222" t="s">
        <v>786</v>
      </c>
      <c r="C92" s="2909">
        <f ca="1">ROUND(C87/C27,3)</f>
        <v>0.48099999999999998</v>
      </c>
    </row>
    <row r="93" spans="1:18">
      <c r="B93" s="165" t="s">
        <v>787</v>
      </c>
      <c r="C93" s="133"/>
    </row>
    <row r="94" spans="1:18">
      <c r="B94" s="168" t="s">
        <v>788</v>
      </c>
      <c r="C94" s="2910">
        <f ca="1">1-C95</f>
        <v>0.52500000000000002</v>
      </c>
    </row>
    <row r="95" spans="1:18">
      <c r="B95" s="168" t="s">
        <v>789</v>
      </c>
      <c r="C95" s="2909">
        <f ca="1">ROUND(C53/(C28+J31+L55),3)</f>
        <v>0.47499999999999998</v>
      </c>
    </row>
  </sheetData>
  <sheetProtection password="CEE9" sheet="1" objects="1" scenarios="1"/>
  <mergeCells count="15">
    <mergeCell ref="B59:B60"/>
    <mergeCell ref="C59:C60"/>
    <mergeCell ref="D59:D60"/>
    <mergeCell ref="A7:A8"/>
    <mergeCell ref="B7:B8"/>
    <mergeCell ref="C7:C8"/>
    <mergeCell ref="D7:D8"/>
    <mergeCell ref="K62:L62"/>
    <mergeCell ref="D67:F67"/>
    <mergeCell ref="J7:J8"/>
    <mergeCell ref="K7:K8"/>
    <mergeCell ref="D15:F15"/>
    <mergeCell ref="K15:M15"/>
    <mergeCell ref="H7:H8"/>
    <mergeCell ref="I7:I8"/>
  </mergeCells>
  <phoneticPr fontId="134" type="noConversion"/>
  <conditionalFormatting sqref="C11">
    <cfRule type="expression" dxfId="126" priority="3">
      <formula>$F$10="自定义"</formula>
    </cfRule>
  </conditionalFormatting>
  <conditionalFormatting sqref="C63">
    <cfRule type="expression" dxfId="125" priority="1">
      <formula>$F$62="自定义"</formula>
    </cfRule>
  </conditionalFormatting>
  <conditionalFormatting sqref="I64 I69">
    <cfRule type="expression" dxfId="124" priority="5">
      <formula>$J$60&gt;$L$57</formula>
    </cfRule>
  </conditionalFormatting>
  <conditionalFormatting sqref="J11">
    <cfRule type="expression" dxfId="123" priority="2">
      <formula>$M$10="自定义"</formula>
    </cfRule>
  </conditionalFormatting>
  <conditionalFormatting sqref="K64 K69">
    <cfRule type="expression" dxfId="122" priority="4">
      <formula>$L$57&gt;$J$60</formula>
    </cfRule>
  </conditionalFormatting>
  <dataValidations count="11">
    <dataValidation type="list" allowBlank="1" showInputMessage="1" showErrorMessage="1" sqref="D31" xr:uid="{7827ABA0-0F22-4A26-B19C-79098DB63E30}">
      <formula1>"存量住宅公式—收益价值×（1+3%）,其他类型公式—收益价值×（1+9%）"</formula1>
    </dataValidation>
    <dataValidation type="list" allowBlank="1" showInputMessage="1" showErrorMessage="1" sqref="D2" xr:uid="{AC257D22-FCC7-4C56-A243-9A2245489711}">
      <formula1>"含税,不含税"</formula1>
    </dataValidation>
    <dataValidation type="list" allowBlank="1" showInputMessage="1" showErrorMessage="1" sqref="D1" xr:uid="{55504272-98E9-433C-A3C2-39905150A0E4}">
      <formula1>"在建（套用方法）,土地（套用方法）,——"</formula1>
    </dataValidation>
    <dataValidation type="list" allowBlank="1" showInputMessage="1" showErrorMessage="1" sqref="M10 F10 F62" xr:uid="{7D248458-E905-4FB5-9D2E-9E651246D02F}">
      <formula1>"押一,押二,押三,自定义"</formula1>
    </dataValidation>
    <dataValidation type="list" allowBlank="1" showInputMessage="1" showErrorMessage="1" sqref="L64" xr:uid="{616CE92B-C3F3-43B7-BDF8-34389F797447}">
      <formula1>"比较法,基准地价,收益还原"</formula1>
    </dataValidation>
    <dataValidation type="list" allowBlank="1" showInputMessage="1" showErrorMessage="1" sqref="J65" xr:uid="{A11974E9-8BEC-48DA-A834-ACED5A5D136C}">
      <formula1>估价范围判定</formula1>
    </dataValidation>
    <dataValidation type="list" allowBlank="1" showInputMessage="1" showErrorMessage="1" sqref="J57" xr:uid="{CC7B06A6-9C55-4618-9964-792D06157376}">
      <formula1>"非生产用房,生产用房,受腐蚀的生产用房"</formula1>
    </dataValidation>
    <dataValidation type="list" allowBlank="1" showInputMessage="1" showErrorMessage="1" sqref="J56" xr:uid="{35F36DC3-04BE-4BA7-B5C3-992BFAA58240}">
      <formula1>"钢,钢混,砖混"</formula1>
    </dataValidation>
    <dataValidation type="list" allowBlank="1" showInputMessage="1" showErrorMessage="1" sqref="C1" xr:uid="{5D41AB0D-2AD1-46B5-A39A-CC508B357F60}">
      <formula1>项目类型</formula1>
    </dataValidation>
    <dataValidation type="list" allowBlank="1" showInputMessage="1" showErrorMessage="1" sqref="D71 D19" xr:uid="{3151FBB3-891F-4132-AF8E-8A6DD5A7DF4E}">
      <formula1>"按不含税租金收入（有效毛租金收入）计税,按房产原值计税,按票据"</formula1>
    </dataValidation>
    <dataValidation type="list" allowBlank="1" showInputMessage="1" showErrorMessage="1" sqref="K19" xr:uid="{44917451-F89E-4186-BEE9-E5785C2B1C6E}">
      <formula1>"按不含税租金收入（有效毛租金收入）计税,按房产原值计税"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CAC5D-1867-4F30-B1F9-334983C6B2EA}">
  <sheetPr>
    <tabColor rgb="FF92D050"/>
  </sheetPr>
  <dimension ref="A1:AK95"/>
  <sheetViews>
    <sheetView zoomScaleNormal="100" zoomScaleSheetLayoutView="100" workbookViewId="0">
      <selection activeCell="D7" sqref="D7:D8"/>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961" customWidth="1"/>
    <col min="18" max="18" width="20.5" style="961" customWidth="1"/>
    <col min="19" max="19" width="13.25" style="961" customWidth="1"/>
    <col min="20" max="37" width="9" style="961"/>
    <col min="38" max="16384" width="9" style="153"/>
  </cols>
  <sheetData>
    <row r="1" spans="1:37" s="178" customFormat="1" ht="21">
      <c r="A1" s="952" t="s">
        <v>862</v>
      </c>
      <c r="B1" s="481"/>
      <c r="C1" s="2859" t="s">
        <v>4013</v>
      </c>
      <c r="D1" s="940" t="s">
        <v>41</v>
      </c>
      <c r="E1" s="941" t="s">
        <v>665</v>
      </c>
      <c r="F1" s="3519">
        <f ca="1">J62</f>
        <v>28.51</v>
      </c>
      <c r="G1" s="955">
        <f>MATCH(C1,'数据-取费表'!A6:A16,0)+5</f>
        <v>9</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7">
        <f ca="1">IF(D2="含税",ROUND((C28+J31+L55)*(1+F31),0),C28+J31+L55)</f>
        <v>1340</v>
      </c>
      <c r="C2" s="958" t="s">
        <v>791</v>
      </c>
      <c r="D2" s="3429" t="s">
        <v>3994</v>
      </c>
      <c r="E2" s="963"/>
      <c r="F2" s="964"/>
      <c r="G2" s="1999"/>
      <c r="H2" s="1989"/>
      <c r="I2" s="1989"/>
      <c r="J2" s="1989"/>
      <c r="K2" s="1990"/>
      <c r="L2" s="1989"/>
      <c r="M2" s="1989"/>
    </row>
    <row r="3" spans="1:37" ht="18" customHeight="1" thickBot="1">
      <c r="A3" s="965" t="s">
        <v>792</v>
      </c>
      <c r="B3" s="2828">
        <f ca="1">IF(ISERROR(B2*10000/F32),0,ROUND(B2*10000/F32,0))</f>
        <v>2801</v>
      </c>
      <c r="C3" s="958" t="s">
        <v>793</v>
      </c>
      <c r="D3" s="958"/>
      <c r="E3" s="963"/>
      <c r="F3" s="964"/>
      <c r="G3" s="1999"/>
      <c r="H3" s="467" t="s">
        <v>861</v>
      </c>
      <c r="I3" s="959"/>
      <c r="J3" s="959"/>
      <c r="K3" s="960"/>
      <c r="L3" s="959"/>
      <c r="M3" s="959"/>
    </row>
    <row r="4" spans="1:37" s="118" customFormat="1" ht="18" customHeight="1">
      <c r="A4" s="2797" t="s">
        <v>3885</v>
      </c>
      <c r="B4" s="2798" t="s">
        <v>3886</v>
      </c>
      <c r="C4" s="3684" t="s">
        <v>3824</v>
      </c>
      <c r="D4" s="2798" t="s">
        <v>3887</v>
      </c>
      <c r="E4" s="4121" t="s">
        <v>3888</v>
      </c>
      <c r="F4" s="4122"/>
      <c r="G4" s="4123"/>
      <c r="H4" s="2797" t="s">
        <v>3885</v>
      </c>
      <c r="I4" s="2798" t="s">
        <v>3886</v>
      </c>
      <c r="J4" s="3684" t="s">
        <v>3824</v>
      </c>
      <c r="K4" s="2798" t="s">
        <v>3887</v>
      </c>
      <c r="L4" s="4121" t="s">
        <v>3888</v>
      </c>
      <c r="M4" s="4122"/>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3"/>
    </row>
    <row r="5" spans="1:37" s="118" customFormat="1" ht="18" customHeight="1">
      <c r="A5" s="183">
        <v>1</v>
      </c>
      <c r="B5" s="4033" t="s">
        <v>3402</v>
      </c>
      <c r="C5" s="3517">
        <f ca="1">ROUND(C6+C10+C12,0)</f>
        <v>90</v>
      </c>
      <c r="D5" s="4124" t="s">
        <v>3891</v>
      </c>
      <c r="E5" s="4125"/>
      <c r="F5" s="4126"/>
      <c r="G5" s="4123"/>
      <c r="H5" s="183">
        <v>1</v>
      </c>
      <c r="I5" s="4033" t="s">
        <v>3402</v>
      </c>
      <c r="J5" s="3517">
        <f ca="1">ROUND(J6+J10+J12,0)</f>
        <v>0</v>
      </c>
      <c r="K5" s="4124" t="s">
        <v>3891</v>
      </c>
      <c r="L5" s="4125"/>
      <c r="M5" s="4126"/>
      <c r="N5" s="4123"/>
      <c r="O5" s="4123"/>
      <c r="P5" s="4123"/>
      <c r="Q5" s="4123"/>
      <c r="R5" s="4123"/>
      <c r="S5" s="4123"/>
      <c r="T5" s="4123"/>
      <c r="U5" s="4123"/>
      <c r="V5" s="4123"/>
      <c r="W5" s="4123"/>
      <c r="X5" s="4123"/>
      <c r="Y5" s="4123"/>
      <c r="Z5" s="4123"/>
      <c r="AA5" s="4123"/>
      <c r="AB5" s="4123"/>
      <c r="AC5" s="4123"/>
      <c r="AD5" s="4123"/>
      <c r="AE5" s="4123"/>
      <c r="AF5" s="4123"/>
      <c r="AG5" s="4123"/>
      <c r="AH5" s="4123"/>
      <c r="AI5" s="4123"/>
      <c r="AJ5" s="4123"/>
      <c r="AK5" s="4123"/>
    </row>
    <row r="6" spans="1:37" ht="18" customHeight="1">
      <c r="A6" s="729" t="s">
        <v>392</v>
      </c>
      <c r="B6" s="2786" t="s">
        <v>3801</v>
      </c>
      <c r="C6" s="3974">
        <f ca="1">C7-C9</f>
        <v>89.59</v>
      </c>
      <c r="D6" s="2787" t="s">
        <v>3805</v>
      </c>
      <c r="E6" s="2785" t="s">
        <v>3400</v>
      </c>
      <c r="F6" s="3133">
        <f ca="1">INDIRECT("'数据-取费表'!u"&amp;$G$1)</f>
        <v>0.56999999999999995</v>
      </c>
      <c r="G6" s="961"/>
      <c r="H6" s="729" t="s">
        <v>392</v>
      </c>
      <c r="I6" s="2786" t="s">
        <v>3801</v>
      </c>
      <c r="J6" s="2773">
        <f ca="1">J7-J9</f>
        <v>0</v>
      </c>
      <c r="K6" s="2787" t="s">
        <v>3805</v>
      </c>
      <c r="L6" s="2785" t="s">
        <v>3400</v>
      </c>
      <c r="M6" s="3133">
        <f ca="1">INDIRECT("'数据-取费表'!z"&amp;$G$1)</f>
        <v>0</v>
      </c>
    </row>
    <row r="7" spans="1:37" ht="18" customHeight="1">
      <c r="A7" s="4622" t="s">
        <v>391</v>
      </c>
      <c r="B7" s="4613" t="s">
        <v>3799</v>
      </c>
      <c r="C7" s="4615">
        <f ca="1">ROUND(F6*F7*F8/10000,2)</f>
        <v>99.54</v>
      </c>
      <c r="D7" s="4616" t="s">
        <v>3474</v>
      </c>
      <c r="E7" s="736" t="s">
        <v>683</v>
      </c>
      <c r="F7" s="3520">
        <f ca="1">IF(INDIRECT("'数据-取费表'!ah"&amp;$G$1)="",INDIRECT("'数据-取费表'!k"&amp;$G$1),INDIRECT("'数据-取费表'!ah"&amp;$G$1))</f>
        <v>4784.37</v>
      </c>
      <c r="G7" s="961"/>
      <c r="H7" s="4622" t="s">
        <v>391</v>
      </c>
      <c r="I7" s="4613" t="s">
        <v>3799</v>
      </c>
      <c r="J7" s="4610">
        <f ca="1">ROUND(M6*M8*M7/10000,2)</f>
        <v>0</v>
      </c>
      <c r="K7" s="4616" t="s">
        <v>3474</v>
      </c>
      <c r="L7" s="186" t="s">
        <v>683</v>
      </c>
      <c r="M7" s="3520">
        <f ca="1">F7</f>
        <v>4784.37</v>
      </c>
    </row>
    <row r="8" spans="1:37" ht="18" customHeight="1">
      <c r="A8" s="4623"/>
      <c r="B8" s="4614"/>
      <c r="C8" s="4615"/>
      <c r="D8" s="4616"/>
      <c r="E8" s="186" t="s">
        <v>684</v>
      </c>
      <c r="F8" s="3520">
        <f ca="1">INDIRECT("'数据-取费表'!ai"&amp;$G$1)</f>
        <v>365</v>
      </c>
      <c r="G8" s="961"/>
      <c r="H8" s="4623"/>
      <c r="I8" s="4614"/>
      <c r="J8" s="4610"/>
      <c r="K8" s="4616"/>
      <c r="L8" s="186" t="s">
        <v>684</v>
      </c>
      <c r="M8" s="3520">
        <f ca="1">INDIRECT("'数据-取费表'!ai"&amp;$G$1)</f>
        <v>365</v>
      </c>
    </row>
    <row r="9" spans="1:37" ht="18" customHeight="1">
      <c r="A9" s="2771" t="s">
        <v>393</v>
      </c>
      <c r="B9" s="3140" t="s">
        <v>3800</v>
      </c>
      <c r="C9" s="3975">
        <f ca="1">ROUND(C7*F9,2)</f>
        <v>9.9499999999999993</v>
      </c>
      <c r="D9" s="2787" t="s">
        <v>3804</v>
      </c>
      <c r="E9" s="186" t="s">
        <v>685</v>
      </c>
      <c r="F9" s="2843">
        <f ca="1">INDIRECT("'数据-取费表'!w"&amp;$G$1)</f>
        <v>0.1</v>
      </c>
      <c r="G9" s="961"/>
      <c r="H9" s="2771" t="s">
        <v>393</v>
      </c>
      <c r="I9" s="3140" t="s">
        <v>3800</v>
      </c>
      <c r="J9" s="2773">
        <f ca="1">ROUND(J7*M9,2)</f>
        <v>0</v>
      </c>
      <c r="K9" s="2787" t="s">
        <v>3804</v>
      </c>
      <c r="L9" s="197" t="s">
        <v>685</v>
      </c>
      <c r="M9" s="2906">
        <f ca="1">INDIRECT("'数据-取费表'!ab"&amp;$G$1)</f>
        <v>0</v>
      </c>
    </row>
    <row r="10" spans="1:37" ht="18" customHeight="1">
      <c r="A10" s="729" t="s">
        <v>396</v>
      </c>
      <c r="B10" s="943" t="s">
        <v>686</v>
      </c>
      <c r="C10" s="2773">
        <f ca="1">ROUND(IF(F10="押一",C6/12*F11,IF(F10="押二",C6/12*2*F11,IF(F10="押三",C6/12*3*F11,C11*F11))),2)</f>
        <v>0.11</v>
      </c>
      <c r="D10" s="59" t="s">
        <v>2025</v>
      </c>
      <c r="E10" s="197" t="s">
        <v>687</v>
      </c>
      <c r="F10" s="771" t="s">
        <v>4153</v>
      </c>
      <c r="G10" s="961"/>
      <c r="H10" s="729" t="s">
        <v>396</v>
      </c>
      <c r="I10" s="943" t="s">
        <v>686</v>
      </c>
      <c r="J10" s="2791">
        <f ca="1">ROUND(IF(M10="押一",J6/12*M11,IF(M10="押二",J6/12*2*M11,IF(M10="押三",J6/12*3*M11,J11*M11))),2)</f>
        <v>0</v>
      </c>
      <c r="K10" s="59" t="s">
        <v>2025</v>
      </c>
      <c r="L10" s="197" t="s">
        <v>687</v>
      </c>
      <c r="M10" s="4005"/>
    </row>
    <row r="11" spans="1:37" ht="18" customHeight="1">
      <c r="A11" s="192"/>
      <c r="B11" s="3128" t="s">
        <v>3479</v>
      </c>
      <c r="C11" s="2790"/>
      <c r="D11" s="945"/>
      <c r="E11" s="197" t="s">
        <v>688</v>
      </c>
      <c r="F11" s="2906">
        <f ca="1">'数据-取费表'!B40</f>
        <v>1.4999999999999999E-2</v>
      </c>
      <c r="G11" s="961"/>
      <c r="H11" s="737"/>
      <c r="I11" s="3128" t="s">
        <v>3479</v>
      </c>
      <c r="J11" s="2790"/>
      <c r="K11" s="464"/>
      <c r="L11" s="197" t="s">
        <v>688</v>
      </c>
      <c r="M11" s="3543">
        <f ca="1">'数据-取费表'!B40</f>
        <v>1.4999999999999999E-2</v>
      </c>
    </row>
    <row r="12" spans="1:37" ht="18" customHeight="1" thickBot="1">
      <c r="A12" s="742" t="s">
        <v>431</v>
      </c>
      <c r="B12" s="946" t="s">
        <v>689</v>
      </c>
      <c r="C12" s="2818"/>
      <c r="D12" s="744"/>
      <c r="E12" s="749"/>
      <c r="F12" s="745"/>
      <c r="G12" s="961"/>
      <c r="H12" s="742" t="s">
        <v>431</v>
      </c>
      <c r="I12" s="946" t="s">
        <v>689</v>
      </c>
      <c r="J12" s="2818"/>
      <c r="K12" s="757"/>
      <c r="L12" s="749"/>
      <c r="M12" s="2907"/>
    </row>
    <row r="13" spans="1:37" s="118" customFormat="1" ht="18" customHeight="1" thickTop="1">
      <c r="A13" s="738" t="s">
        <v>3682</v>
      </c>
      <c r="B13" s="739" t="s">
        <v>700</v>
      </c>
      <c r="C13" s="3968">
        <f ca="1">ROUND(C14+C22+C24+C26,0)</f>
        <v>23</v>
      </c>
      <c r="D13" s="4127" t="s">
        <v>3893</v>
      </c>
      <c r="E13" s="4128"/>
      <c r="F13" s="4126"/>
      <c r="G13" s="4123"/>
      <c r="H13" s="738" t="s">
        <v>3682</v>
      </c>
      <c r="I13" s="739" t="s">
        <v>700</v>
      </c>
      <c r="J13" s="3968">
        <f ca="1">ROUND(J14+J22+J24+J26,0)</f>
        <v>33</v>
      </c>
      <c r="K13" s="4129" t="s">
        <v>3894</v>
      </c>
      <c r="L13" s="4128"/>
      <c r="M13" s="4130"/>
      <c r="N13" s="4123"/>
      <c r="O13" s="4123"/>
      <c r="P13" s="4123"/>
      <c r="Q13" s="4123"/>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3982</v>
      </c>
      <c r="C14" s="2773">
        <f ca="1">ROUND(IF(AND(项目基本情况!B11="自然人",项目基本情况!B10="北京市",M56="住宅"),C6*F14,C15+C19+C20),2)</f>
        <v>13.27</v>
      </c>
      <c r="D14" s="926" t="s">
        <v>3446</v>
      </c>
      <c r="E14" s="925" t="str">
        <f>IF(M56="非住宅","","综合税率")</f>
        <v/>
      </c>
      <c r="F14" s="3951" t="str">
        <f>IF(M56="非住宅","",IF(F6*F7*F8/12/(1+'数据-取费表'!F30)&gt;100000,4%,2.5%))</f>
        <v/>
      </c>
      <c r="G14" s="961"/>
      <c r="H14" s="676" t="s">
        <v>392</v>
      </c>
      <c r="I14" s="2785" t="s">
        <v>3982</v>
      </c>
      <c r="J14" s="2773">
        <f ca="1">ROUND(IF(AND(项目基本情况!B11="自然人",项目基本情况!B10="北京市",M56="住宅"),J6*M14/(1+'数据-取费表'!C43),J15+J19+J20),2)</f>
        <v>26.96</v>
      </c>
      <c r="K14" s="2814" t="s">
        <v>3445</v>
      </c>
      <c r="L14" s="925" t="str">
        <f>E14</f>
        <v/>
      </c>
      <c r="M14" s="3951" t="str">
        <f>IF(M56="非住宅","",IF(M6*M7*M8/12/(1+'数据-取费表'!F30)&gt;100000,4%,2.5%))</f>
        <v/>
      </c>
    </row>
    <row r="15" spans="1:37" s="972" customFormat="1" ht="18" customHeight="1">
      <c r="A15" s="2771" t="s">
        <v>391</v>
      </c>
      <c r="B15" s="2785" t="s">
        <v>3978</v>
      </c>
      <c r="C15" s="2773">
        <f ca="1">C18</f>
        <v>0.88</v>
      </c>
      <c r="D15" s="4620" t="s">
        <v>3977</v>
      </c>
      <c r="E15" s="4621"/>
      <c r="F15" s="4621"/>
      <c r="G15" s="971"/>
      <c r="H15" s="2771" t="s">
        <v>391</v>
      </c>
      <c r="I15" s="2785" t="s">
        <v>3978</v>
      </c>
      <c r="J15" s="2773">
        <f ca="1">J18</f>
        <v>-0.06</v>
      </c>
      <c r="K15" s="4620" t="s">
        <v>3977</v>
      </c>
      <c r="L15" s="4621"/>
      <c r="M15" s="462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94">
        <f ca="1">ROUND(C6*F16,2)</f>
        <v>8.06</v>
      </c>
      <c r="D16" s="1020" t="s">
        <v>3863</v>
      </c>
      <c r="E16" s="2795" t="s">
        <v>3406</v>
      </c>
      <c r="F16" s="2841">
        <v>0.09</v>
      </c>
      <c r="G16" s="961"/>
      <c r="H16" s="2570" t="s">
        <v>3285</v>
      </c>
      <c r="I16" s="2789" t="s">
        <v>3404</v>
      </c>
      <c r="J16" s="2794">
        <f ca="1">ROUND(J6*M16,2)</f>
        <v>0</v>
      </c>
      <c r="K16" s="4102" t="s">
        <v>3869</v>
      </c>
      <c r="L16" s="2795" t="s">
        <v>3406</v>
      </c>
      <c r="M16" s="2841">
        <v>0.09</v>
      </c>
    </row>
    <row r="17" spans="1:37" s="972" customFormat="1" ht="18" customHeight="1">
      <c r="A17" s="2570" t="s">
        <v>3286</v>
      </c>
      <c r="B17" s="2789" t="s">
        <v>3405</v>
      </c>
      <c r="C17" s="2815">
        <f ca="1">ROUND(C22*F16+((C24+C26)*F17),2)</f>
        <v>0.76</v>
      </c>
      <c r="D17" s="4101" t="s">
        <v>3864</v>
      </c>
      <c r="E17" s="2796"/>
      <c r="F17" s="2841">
        <v>0.06</v>
      </c>
      <c r="G17" s="971"/>
      <c r="H17" s="2570" t="s">
        <v>3286</v>
      </c>
      <c r="I17" s="2789" t="s">
        <v>3405</v>
      </c>
      <c r="J17" s="2815">
        <f ca="1">ROUND(J22*M16+((J24+J26)*M17),2)</f>
        <v>0.54</v>
      </c>
      <c r="K17" s="4101" t="s">
        <v>3864</v>
      </c>
      <c r="L17" s="2796"/>
      <c r="M17" s="2841">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3287</v>
      </c>
      <c r="B18" s="2789" t="s">
        <v>3973</v>
      </c>
      <c r="C18" s="2815">
        <f ca="1">ROUND((C16-C17)*F18,2)</f>
        <v>0.88</v>
      </c>
      <c r="D18" s="2814" t="s">
        <v>3974</v>
      </c>
      <c r="E18" s="186" t="s">
        <v>3439</v>
      </c>
      <c r="F18" s="2841">
        <f>'数据-取费表'!B44</f>
        <v>0.12000000000000001</v>
      </c>
      <c r="G18" s="971"/>
      <c r="H18" s="2570" t="s">
        <v>3287</v>
      </c>
      <c r="I18" s="2789" t="s">
        <v>3973</v>
      </c>
      <c r="J18" s="2815">
        <f ca="1">ROUND((J16-J17)*M18,2)</f>
        <v>-0.06</v>
      </c>
      <c r="K18" s="2814" t="s">
        <v>3974</v>
      </c>
      <c r="L18" s="186" t="s">
        <v>3439</v>
      </c>
      <c r="M18" s="2841">
        <f>'数据-取费表'!B44</f>
        <v>0.12000000000000001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3979</v>
      </c>
      <c r="C19" s="2773">
        <f ca="1">IF(AND(项目基本情况!B11="自然人",M56="住宅"),"——",IF(D19="按不含税租金收入（有效毛租金收入）计税",ROUND(C6*F19,2),IF(D19="按房产原值计税",ROUND(C51*F19*0.7,2),INDIRECT("'数据-取费表'!Aj"&amp;$G$1))))</f>
        <v>10.75</v>
      </c>
      <c r="D19" s="2788" t="s">
        <v>4154</v>
      </c>
      <c r="E19" s="186" t="s">
        <v>698</v>
      </c>
      <c r="F19" s="2841">
        <f>IF(D19="按票据","——",IF(D19="按不含税租金收入（有效毛租金收入）计税",'数据-取费表'!B52,'数据-取费表'!B51))</f>
        <v>0.12</v>
      </c>
      <c r="G19" s="971"/>
      <c r="H19" s="2771" t="s">
        <v>393</v>
      </c>
      <c r="I19" s="2785" t="s">
        <v>3979</v>
      </c>
      <c r="J19" s="2773">
        <f ca="1">IF(K19="按不含税租金收入（有效毛租金收入）计税",ROUND(J6*M19,2),ROUND(C51*M19*0.7,2))</f>
        <v>25.38</v>
      </c>
      <c r="K19" s="947"/>
      <c r="L19" s="186" t="s">
        <v>698</v>
      </c>
      <c r="M19" s="2841">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953" t="s">
        <v>3980</v>
      </c>
      <c r="C20" s="2791">
        <f ca="1">IF(AND(项目基本情况!B11="自然人",M56="住宅"),"——",ROUND(F20*F21/10000,2))</f>
        <v>1.64</v>
      </c>
      <c r="D20" s="207" t="s">
        <v>717</v>
      </c>
      <c r="E20" s="186" t="s">
        <v>718</v>
      </c>
      <c r="F20" s="2842">
        <f>'数据-取费表'!B53</f>
        <v>12</v>
      </c>
      <c r="G20" s="961"/>
      <c r="H20" s="3966" t="s">
        <v>667</v>
      </c>
      <c r="I20" s="953" t="s">
        <v>3980</v>
      </c>
      <c r="J20" s="2791">
        <f ca="1">ROUND(M20*M21/10000,2)</f>
        <v>1.64</v>
      </c>
      <c r="K20" s="207" t="s">
        <v>717</v>
      </c>
      <c r="L20" s="186" t="s">
        <v>718</v>
      </c>
      <c r="M20" s="2842">
        <f>'数据-取费表'!B53</f>
        <v>12</v>
      </c>
    </row>
    <row r="21" spans="1:37" s="972" customFormat="1" ht="18" customHeight="1">
      <c r="A21" s="209"/>
      <c r="B21" s="760"/>
      <c r="C21" s="2792"/>
      <c r="D21" s="210"/>
      <c r="E21" s="186" t="s">
        <v>722</v>
      </c>
      <c r="F21" s="2837">
        <f ca="1">INDIRECT("'数据-取费表'!r"&amp;$G$1)</f>
        <v>1370.73</v>
      </c>
      <c r="G21" s="971"/>
      <c r="H21" s="209"/>
      <c r="I21" s="195"/>
      <c r="J21" s="2792"/>
      <c r="K21" s="210"/>
      <c r="L21" s="186" t="s">
        <v>722</v>
      </c>
      <c r="M21" s="2837">
        <f ca="1">INDIRECT("'数据-取费表'!r"&amp;$G$1)</f>
        <v>1370.73</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80">
        <f ca="1">ROUND(C51*F22,2)</f>
        <v>6.04</v>
      </c>
      <c r="D22" s="1809" t="s">
        <v>725</v>
      </c>
      <c r="E22" s="186" t="s">
        <v>698</v>
      </c>
      <c r="F22" s="2843">
        <f ca="1">INDIRECT("'数据-取费表'!Ak"&amp;$G$1)</f>
        <v>2E-3</v>
      </c>
      <c r="G22" s="971"/>
      <c r="H22" s="3979" t="s">
        <v>396</v>
      </c>
      <c r="I22" s="56" t="s">
        <v>724</v>
      </c>
      <c r="J22" s="3980">
        <f ca="1">ROUND(J35*M22,2)</f>
        <v>6.04</v>
      </c>
      <c r="K22" s="1809" t="s">
        <v>725</v>
      </c>
      <c r="L22" s="186" t="s">
        <v>698</v>
      </c>
      <c r="M22" s="2843">
        <f ca="1">INDIRECT("'数据-取费表'!Ak"&amp;$G$1)</f>
        <v>2E-3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81"/>
      <c r="D23" s="4047"/>
      <c r="E23" s="2785" t="s">
        <v>3826</v>
      </c>
      <c r="F23" s="3520">
        <f ca="1">C51</f>
        <v>3022</v>
      </c>
      <c r="G23" s="971"/>
      <c r="H23" s="209"/>
      <c r="I23" s="195"/>
      <c r="J23" s="3981"/>
      <c r="K23" s="4047"/>
      <c r="L23" s="2785" t="s">
        <v>3826</v>
      </c>
      <c r="M23" s="3520">
        <f ca="1">J35</f>
        <v>3022</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80">
        <f ca="1">ROUND(C53*F24,2)</f>
        <v>2.78</v>
      </c>
      <c r="D24" s="1809" t="s">
        <v>3443</v>
      </c>
      <c r="E24" s="186" t="s">
        <v>698</v>
      </c>
      <c r="F24" s="2843">
        <f ca="1">INDIRECT("'数据-取费表'!Al"&amp;$G$1)</f>
        <v>1E-3</v>
      </c>
      <c r="G24" s="961"/>
      <c r="H24" s="3979" t="s">
        <v>431</v>
      </c>
      <c r="I24" s="56" t="s">
        <v>728</v>
      </c>
      <c r="J24" s="3980">
        <f ca="1">ROUND(J37*M24,2)</f>
        <v>0</v>
      </c>
      <c r="K24" s="1809" t="s">
        <v>3829</v>
      </c>
      <c r="L24" s="186" t="s">
        <v>698</v>
      </c>
      <c r="M24" s="2843">
        <f ca="1">INDIRECT("'数据-取费表'!Al"&amp;$G$1)</f>
        <v>1E-3</v>
      </c>
    </row>
    <row r="25" spans="1:37" ht="18" customHeight="1">
      <c r="A25" s="209"/>
      <c r="B25" s="195"/>
      <c r="C25" s="3981"/>
      <c r="D25" s="4047"/>
      <c r="E25" s="4046" t="s">
        <v>3827</v>
      </c>
      <c r="F25" s="3520">
        <f ca="1">C53</f>
        <v>2780</v>
      </c>
      <c r="G25" s="961"/>
      <c r="H25" s="209"/>
      <c r="I25" s="195"/>
      <c r="J25" s="3981"/>
      <c r="K25" s="4047"/>
      <c r="L25" s="4046" t="s">
        <v>3827</v>
      </c>
      <c r="M25" s="3520">
        <f ca="1">J37</f>
        <v>0</v>
      </c>
    </row>
    <row r="26" spans="1:37" s="972" customFormat="1" ht="18" customHeight="1" thickBot="1">
      <c r="A26" s="748" t="s">
        <v>670</v>
      </c>
      <c r="B26" s="749" t="s">
        <v>714</v>
      </c>
      <c r="C26" s="2793">
        <f ca="1">ROUND(C5*F26,2)</f>
        <v>0.9</v>
      </c>
      <c r="D26" s="751" t="s">
        <v>3870</v>
      </c>
      <c r="E26" s="749" t="s">
        <v>698</v>
      </c>
      <c r="F26" s="2907">
        <f ca="1">INDIRECT("'数据-取费表'!Am"&amp;$G$1)</f>
        <v>0.01</v>
      </c>
      <c r="G26" s="971"/>
      <c r="H26" s="748" t="s">
        <v>670</v>
      </c>
      <c r="I26" s="749" t="s">
        <v>714</v>
      </c>
      <c r="J26" s="2793">
        <f ca="1">ROUND(J5*M26,2)</f>
        <v>0</v>
      </c>
      <c r="K26" s="751" t="s">
        <v>3870</v>
      </c>
      <c r="L26" s="749" t="s">
        <v>698</v>
      </c>
      <c r="M26" s="2907">
        <f ca="1">INDIRECT("'数据-取费表'!Am"&amp;$G$1)</f>
        <v>0.01</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387</v>
      </c>
      <c r="B27" s="753" t="s">
        <v>738</v>
      </c>
      <c r="C27" s="3968">
        <f ca="1">C5-C13</f>
        <v>67</v>
      </c>
      <c r="D27" s="4131" t="s">
        <v>3896</v>
      </c>
      <c r="E27" s="4132"/>
      <c r="F27" s="4133"/>
      <c r="G27" s="498"/>
      <c r="H27" s="738" t="s">
        <v>387</v>
      </c>
      <c r="I27" s="753" t="s">
        <v>738</v>
      </c>
      <c r="J27" s="3968">
        <f ca="1">J5-J13</f>
        <v>-33</v>
      </c>
      <c r="K27" s="4131" t="s">
        <v>3896</v>
      </c>
      <c r="L27" s="4132"/>
      <c r="M27" s="413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760</v>
      </c>
      <c r="C28" s="4049">
        <f ca="1">IF(C5&lt;&gt;0,ROUND(C27*(1-((1+F30)/(1+F28))^F29)/(F28-F30),0),0)</f>
        <v>1059</v>
      </c>
      <c r="D28" s="4135" t="s">
        <v>3898</v>
      </c>
      <c r="E28" s="2799" t="s">
        <v>3899</v>
      </c>
      <c r="F28" s="2843">
        <f ca="1">INDIRECT("'数据-取费表'!I"&amp;$G$1)</f>
        <v>5.5E-2</v>
      </c>
      <c r="G28" s="4123"/>
      <c r="H28" s="183" t="s">
        <v>388</v>
      </c>
      <c r="I28" s="184" t="s">
        <v>743</v>
      </c>
      <c r="J28" s="4049">
        <f ca="1">IF(J5&lt;&gt;0,ROUND(J27*(1-((1+M30)/(1+M28))^M29)/(M28-M30),0),0)</f>
        <v>0</v>
      </c>
      <c r="K28" s="4135" t="s">
        <v>3898</v>
      </c>
      <c r="L28" s="4136" t="s">
        <v>3899</v>
      </c>
      <c r="M28" s="2906">
        <f ca="1">INDIRECT("'数据-取费表'!I"&amp;$G$1)</f>
        <v>5.5E-2</v>
      </c>
      <c r="N28" s="4123"/>
      <c r="O28" s="4123"/>
      <c r="P28" s="4123"/>
      <c r="Q28" s="4123"/>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21" customHeight="1">
      <c r="A29" s="188"/>
      <c r="B29" s="189"/>
      <c r="C29" s="4050"/>
      <c r="D29" s="4137" t="s">
        <v>3901</v>
      </c>
      <c r="E29" s="2799" t="s">
        <v>3902</v>
      </c>
      <c r="F29" s="2844">
        <f ca="1">IF(INDIRECT("'数据-取费表'!af"&amp;$G$1)=0,INDIRECT("'数据-取费表'!ae"&amp;$G$1),INDIRECT("'数据-取费表'!af"&amp;$G$1))</f>
        <v>28.51</v>
      </c>
      <c r="G29" s="4123"/>
      <c r="H29" s="188"/>
      <c r="I29" s="189"/>
      <c r="J29" s="4050"/>
      <c r="K29" s="64" t="s">
        <v>3903</v>
      </c>
      <c r="L29" s="2799" t="s">
        <v>3902</v>
      </c>
      <c r="M29" s="2844">
        <f ca="1">INDIRECT("'数据-取费表'!ag"&amp;$G$1)</f>
        <v>0</v>
      </c>
      <c r="N29" s="4123"/>
      <c r="O29" s="4123"/>
      <c r="P29" s="4123"/>
      <c r="Q29" s="4123"/>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0.01</v>
      </c>
      <c r="G30" s="4123"/>
      <c r="H30" s="192"/>
      <c r="I30" s="193"/>
      <c r="J30" s="4051"/>
      <c r="K30" s="64"/>
      <c r="L30" s="2799" t="s">
        <v>3904</v>
      </c>
      <c r="M30" s="2843">
        <f ca="1">INDIRECT("'数据-取费表'!aa"&amp;$G$1)</f>
        <v>0</v>
      </c>
      <c r="N30" s="4123"/>
      <c r="O30" s="4123"/>
      <c r="P30" s="4123"/>
      <c r="Q30" s="4123"/>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389</v>
      </c>
      <c r="B31" s="3949" t="s">
        <v>3905</v>
      </c>
      <c r="C31" s="3952">
        <f ca="1">ROUND(C28*(1+F31),0)</f>
        <v>1154</v>
      </c>
      <c r="D31" s="4138" t="s">
        <v>3688</v>
      </c>
      <c r="E31" s="4139" t="str">
        <f>IF(D31="其他类型公式—收益价值×（1+9%）","销项税率","征收率")</f>
        <v>销项税率</v>
      </c>
      <c r="F31" s="2843">
        <f>IF(D31="其他类型公式—收益价值×（1+9%）",9%,3%)</f>
        <v>0.09</v>
      </c>
      <c r="G31" s="498"/>
      <c r="H31" s="199" t="s">
        <v>389</v>
      </c>
      <c r="I31" s="2799" t="s">
        <v>754</v>
      </c>
      <c r="J31" s="2817">
        <f ca="1">ROUND(J28/(1+F28)^F29,0)</f>
        <v>0</v>
      </c>
      <c r="K31" s="4043" t="s">
        <v>3819</v>
      </c>
      <c r="L31" s="2799"/>
      <c r="M31" s="2844">
        <f ca="1">INDIRECT("'数据-取费表'!k"&amp;$G$1)</f>
        <v>4784.37</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ROUND(C31*10000/F32,0)</f>
        <v>2412</v>
      </c>
      <c r="D32" s="4140" t="s">
        <v>3907</v>
      </c>
      <c r="E32" s="217" t="s">
        <v>3908</v>
      </c>
      <c r="F32" s="2845">
        <f ca="1">INDIRECT("'数据-取费表'!k"&amp;$G$1)</f>
        <v>4784.37</v>
      </c>
      <c r="G32" s="498"/>
      <c r="H32" s="3945" t="s">
        <v>390</v>
      </c>
      <c r="I32" s="3946" t="s">
        <v>3909</v>
      </c>
      <c r="J32" s="3947">
        <f ca="1">ROUND(J31*(1+F31),0)</f>
        <v>0</v>
      </c>
      <c r="K32" s="4141" t="str">
        <f>D31</f>
        <v>其他类型公式—收益价值×（1+9%）</v>
      </c>
      <c r="L32" s="4142"/>
      <c r="M32" s="414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0.25555555555555554</v>
      </c>
      <c r="G33" s="961"/>
    </row>
    <row r="34" spans="1:37" s="118" customFormat="1" ht="18" customHeight="1">
      <c r="A34" s="4116" t="s">
        <v>3885</v>
      </c>
      <c r="B34" s="4117" t="s">
        <v>3886</v>
      </c>
      <c r="C34" s="4118" t="s">
        <v>3824</v>
      </c>
      <c r="D34" s="4117" t="s">
        <v>3887</v>
      </c>
      <c r="E34" s="4119" t="s">
        <v>3888</v>
      </c>
      <c r="F34" s="4120"/>
      <c r="G34" s="4123"/>
      <c r="H34" s="4116" t="s">
        <v>3885</v>
      </c>
      <c r="I34" s="4117" t="s">
        <v>3886</v>
      </c>
      <c r="J34" s="4118" t="s">
        <v>3824</v>
      </c>
      <c r="K34" s="4117" t="s">
        <v>3887</v>
      </c>
      <c r="L34" s="4119" t="s">
        <v>3888</v>
      </c>
      <c r="M34" s="4120"/>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199" t="s">
        <v>433</v>
      </c>
      <c r="B35" s="2799" t="s">
        <v>3408</v>
      </c>
      <c r="C35" s="2817">
        <f ca="1">SUM(C36:C41)</f>
        <v>2680</v>
      </c>
      <c r="D35" s="4043" t="s">
        <v>3415</v>
      </c>
      <c r="E35" s="1020"/>
      <c r="F35" s="3383"/>
      <c r="G35" s="961"/>
      <c r="H35" s="4044" t="s">
        <v>433</v>
      </c>
      <c r="I35" s="4045" t="s">
        <v>3448</v>
      </c>
      <c r="J35" s="2774">
        <f ca="1">C51</f>
        <v>3022</v>
      </c>
      <c r="K35" s="2813" t="s">
        <v>3444</v>
      </c>
      <c r="L35" s="55"/>
      <c r="M35" s="2751"/>
    </row>
    <row r="36" spans="1:37" ht="18" customHeight="1">
      <c r="A36" s="2771" t="s">
        <v>391</v>
      </c>
      <c r="B36" s="2736" t="s">
        <v>693</v>
      </c>
      <c r="C36" s="2676">
        <f ca="1">INDIRECT("'数据-取费表'!m"&amp;$G$1)+INDIRECT("'数据-取费表'!t"&amp;$G$1)</f>
        <v>2392</v>
      </c>
      <c r="D36" s="925" t="s">
        <v>694</v>
      </c>
      <c r="E36" s="925"/>
      <c r="F36" s="215"/>
      <c r="G36" s="961"/>
      <c r="H36" s="2821" t="s">
        <v>396</v>
      </c>
      <c r="I36" s="2826" t="s">
        <v>3435</v>
      </c>
      <c r="J36" s="2721">
        <f ca="1">ROUND(J35*(1-M36),0)</f>
        <v>3022</v>
      </c>
      <c r="K36" s="186" t="s">
        <v>3438</v>
      </c>
      <c r="L36" s="2787" t="s">
        <v>3451</v>
      </c>
      <c r="M36" s="2843">
        <f ca="1">INDIRECT("'数据-取费表'!ad"&amp;$G$1)</f>
        <v>0</v>
      </c>
    </row>
    <row r="37" spans="1:37" ht="18" customHeight="1" thickBot="1">
      <c r="A37" s="2771" t="s">
        <v>393</v>
      </c>
      <c r="B37" s="2789" t="s">
        <v>3820</v>
      </c>
      <c r="C37" s="2774">
        <f ca="1">ROUND(C36*F37,0)</f>
        <v>120</v>
      </c>
      <c r="D37" s="186" t="s">
        <v>697</v>
      </c>
      <c r="E37" s="186" t="s">
        <v>698</v>
      </c>
      <c r="F37" s="2841">
        <f>'数据-取费表'!B33</f>
        <v>0.05</v>
      </c>
      <c r="G37" s="961"/>
      <c r="H37" s="2822" t="s">
        <v>3426</v>
      </c>
      <c r="I37" s="4048" t="s">
        <v>3828</v>
      </c>
      <c r="J37" s="2828">
        <f ca="1">J35-J36</f>
        <v>0</v>
      </c>
      <c r="K37" s="2808" t="s">
        <v>3475</v>
      </c>
      <c r="L37" s="219"/>
      <c r="M37" s="2829"/>
    </row>
    <row r="38" spans="1:37" ht="18" customHeight="1">
      <c r="A38" s="2771" t="s">
        <v>667</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668</v>
      </c>
      <c r="B39" s="2736" t="s">
        <v>702</v>
      </c>
      <c r="C39" s="2774">
        <f ca="1">ROUND(F39*(F32+INDIRECT("'数据-取费表'!S"&amp;$G$1))/10000,0)</f>
        <v>144</v>
      </c>
      <c r="D39" s="186" t="s">
        <v>703</v>
      </c>
      <c r="E39" s="186" t="s">
        <v>3821</v>
      </c>
      <c r="F39" s="2842">
        <f>'数据-取费表'!B35</f>
        <v>300</v>
      </c>
      <c r="G39" s="961"/>
    </row>
    <row r="40" spans="1:37" ht="18" customHeight="1">
      <c r="A40" s="2771" t="s">
        <v>669</v>
      </c>
      <c r="B40" s="2789" t="s">
        <v>3289</v>
      </c>
      <c r="C40" s="2774">
        <f ca="1">ROUND(C36*F40,0)</f>
        <v>24</v>
      </c>
      <c r="D40" s="186" t="s">
        <v>697</v>
      </c>
      <c r="E40" s="186" t="s">
        <v>698</v>
      </c>
      <c r="F40" s="2841">
        <f>'数据-取费表'!B36</f>
        <v>0.01</v>
      </c>
      <c r="G40" s="961"/>
      <c r="H40" s="47"/>
      <c r="I40" s="47"/>
      <c r="J40" s="47"/>
      <c r="K40" s="1894"/>
      <c r="L40" s="47"/>
      <c r="M40" s="47"/>
    </row>
    <row r="41" spans="1:37" ht="18" customHeight="1">
      <c r="A41" s="2771" t="s">
        <v>669</v>
      </c>
      <c r="B41" s="2789" t="s">
        <v>3290</v>
      </c>
      <c r="C41" s="2774">
        <f ca="1">ROUND(C36*F41,0)</f>
        <v>0</v>
      </c>
      <c r="D41" s="186" t="s">
        <v>697</v>
      </c>
      <c r="E41" s="186" t="s">
        <v>698</v>
      </c>
      <c r="F41" s="2841">
        <f>'数据-取费表'!B37</f>
        <v>0</v>
      </c>
      <c r="G41" s="961"/>
      <c r="H41" s="47"/>
      <c r="I41" s="47"/>
      <c r="J41" s="47"/>
      <c r="K41" s="1894"/>
      <c r="L41" s="47"/>
      <c r="M41" s="47"/>
    </row>
    <row r="42" spans="1:37" ht="18" customHeight="1">
      <c r="A42" s="199" t="s">
        <v>434</v>
      </c>
      <c r="B42" s="2799" t="s">
        <v>3423</v>
      </c>
      <c r="C42" s="2817">
        <f ca="1">ROUND(C35*F42,0)</f>
        <v>54</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3428</v>
      </c>
      <c r="E43" s="2799" t="s">
        <v>3425</v>
      </c>
      <c r="F43" s="2843">
        <f>'数据-取费表'!B39</f>
        <v>0.02</v>
      </c>
      <c r="G43" s="961"/>
      <c r="H43" s="47"/>
      <c r="I43" s="47"/>
      <c r="J43" s="47"/>
      <c r="K43" s="1894"/>
      <c r="L43" s="47"/>
      <c r="M43" s="47"/>
    </row>
    <row r="44" spans="1:37" ht="18" customHeight="1">
      <c r="A44" s="199" t="s">
        <v>3430</v>
      </c>
      <c r="B44" s="2802" t="s">
        <v>3367</v>
      </c>
      <c r="C44" s="3523" t="str">
        <f ca="1">C45&amp;"+"&amp;C46&amp;"V建"</f>
        <v>86+0.0006V建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86</v>
      </c>
      <c r="D45" s="55" t="str">
        <f>IF(F45&lt;=1,"(建造成本+管理费用)×利率×(建设周期÷2)","(建造成本+管理费用)×((1+利率)^(建设周期÷2)-1)")</f>
        <v>(建造成本+管理费用)×((1+利率)^(建设周期÷2)-1)</v>
      </c>
      <c r="E45" s="186" t="s">
        <v>727</v>
      </c>
      <c r="F45" s="2842">
        <f>'数据-取费表'!B20</f>
        <v>2</v>
      </c>
      <c r="G45" s="961"/>
      <c r="H45" s="47"/>
      <c r="I45" s="47"/>
      <c r="J45" s="47"/>
      <c r="K45" s="1894"/>
      <c r="L45" s="47"/>
      <c r="M45" s="47"/>
    </row>
    <row r="46" spans="1:37" ht="18" customHeight="1">
      <c r="A46" s="2771" t="s">
        <v>393</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3308</v>
      </c>
      <c r="C47" s="3523" t="str">
        <f ca="1">C48&amp;"+"&amp;C49&amp;"V建"</f>
        <v>137+0.001V建</v>
      </c>
      <c r="D47" s="2755" t="s">
        <v>3432</v>
      </c>
      <c r="E47" s="200"/>
      <c r="F47" s="2842"/>
      <c r="G47" s="961"/>
      <c r="H47" s="47"/>
      <c r="I47" s="47"/>
      <c r="J47" s="47"/>
      <c r="K47" s="1894"/>
      <c r="L47" s="47"/>
      <c r="M47" s="47"/>
    </row>
    <row r="48" spans="1:37" ht="18" customHeight="1">
      <c r="A48" s="2771" t="s">
        <v>391</v>
      </c>
      <c r="B48" s="186" t="s">
        <v>740</v>
      </c>
      <c r="C48" s="2774">
        <f ca="1">ROUND((C35+C42)*F48,0)</f>
        <v>137</v>
      </c>
      <c r="D48" s="206" t="s">
        <v>741</v>
      </c>
      <c r="E48" s="186" t="s">
        <v>742</v>
      </c>
      <c r="F48" s="2843">
        <f ca="1">INDIRECT("'数据-取费表'!q"&amp;$G$1)</f>
        <v>0.05</v>
      </c>
      <c r="G48" s="961"/>
      <c r="H48" s="47"/>
      <c r="I48" s="47"/>
      <c r="J48" s="47"/>
      <c r="K48" s="1894"/>
      <c r="L48" s="47"/>
      <c r="M48" s="47"/>
    </row>
    <row r="49" spans="1:18" ht="18" customHeight="1">
      <c r="A49" s="2771" t="s">
        <v>393</v>
      </c>
      <c r="B49" s="186" t="s">
        <v>746</v>
      </c>
      <c r="C49" s="3524">
        <f ca="1">ROUND(F43*F48,4)</f>
        <v>1E-3</v>
      </c>
      <c r="D49" s="206" t="s">
        <v>747</v>
      </c>
      <c r="E49" s="186"/>
      <c r="F49" s="2841"/>
      <c r="G49" s="961"/>
      <c r="H49" s="47"/>
      <c r="I49" s="47"/>
      <c r="J49" s="47"/>
      <c r="K49" s="1894"/>
      <c r="L49" s="47"/>
      <c r="M49" s="47"/>
    </row>
    <row r="50" spans="1:18" ht="18" customHeight="1">
      <c r="A50" s="199" t="s">
        <v>3418</v>
      </c>
      <c r="B50" s="2799" t="s">
        <v>3419</v>
      </c>
      <c r="C50" s="2817">
        <f>ROUND(F50/(1+'数据-取费表'!C43),4)</f>
        <v>0</v>
      </c>
      <c r="D50" s="4104" t="s">
        <v>3877</v>
      </c>
      <c r="E50" s="2799"/>
      <c r="F50" s="2843"/>
      <c r="G50" s="961"/>
      <c r="H50" s="47"/>
      <c r="I50" s="47"/>
      <c r="J50" s="47"/>
      <c r="K50" s="1894"/>
      <c r="L50" s="47"/>
      <c r="M50" s="47"/>
    </row>
    <row r="51" spans="1:18" s="961" customFormat="1" ht="18" customHeight="1">
      <c r="A51" s="199" t="s">
        <v>3420</v>
      </c>
      <c r="B51" s="2799" t="s">
        <v>3421</v>
      </c>
      <c r="C51" s="2817">
        <f ca="1">ROUND((C35+C42+C45+C48)/(1-F43-C46-C49-C50),0)</f>
        <v>3022</v>
      </c>
      <c r="D51" s="2813" t="s">
        <v>3444</v>
      </c>
      <c r="E51" s="2799"/>
      <c r="F51" s="2843"/>
      <c r="K51" s="977"/>
    </row>
    <row r="52" spans="1:18" s="961" customFormat="1" ht="18" customHeight="1">
      <c r="A52" s="2803" t="s">
        <v>3433</v>
      </c>
      <c r="B52" s="2802" t="s">
        <v>3435</v>
      </c>
      <c r="C52" s="2817">
        <f ca="1">ROUND(C51*(1-F52),0)</f>
        <v>242</v>
      </c>
      <c r="D52" s="2799" t="s">
        <v>3889</v>
      </c>
      <c r="E52" s="2799" t="s">
        <v>3890</v>
      </c>
      <c r="F52" s="2843">
        <f ca="1">INDIRECT("'数据-取费表'!y"&amp;$G$1)</f>
        <v>0.92</v>
      </c>
      <c r="K52" s="977"/>
    </row>
    <row r="53" spans="1:18" s="961" customFormat="1" ht="18" customHeight="1" thickBot="1">
      <c r="A53" s="2804" t="s">
        <v>3436</v>
      </c>
      <c r="B53" s="2812" t="s">
        <v>3442</v>
      </c>
      <c r="C53" s="2828">
        <f ca="1">C51-C52</f>
        <v>2780</v>
      </c>
      <c r="D53" s="2808" t="s">
        <v>3475</v>
      </c>
      <c r="E53" s="217"/>
      <c r="F53" s="2809"/>
      <c r="K53" s="977"/>
    </row>
    <row r="54" spans="1:18" s="961" customFormat="1" ht="18" customHeight="1" thickBot="1">
      <c r="A54" s="975"/>
      <c r="B54" s="975"/>
      <c r="C54" s="976"/>
      <c r="D54" s="975"/>
      <c r="E54" s="975"/>
      <c r="F54" s="975"/>
      <c r="I54" s="2830" t="s">
        <v>3452</v>
      </c>
      <c r="J54" s="494"/>
      <c r="O54" s="1998" t="s">
        <v>794</v>
      </c>
      <c r="P54" s="1034"/>
      <c r="Q54" s="1034"/>
      <c r="R54" s="1034"/>
    </row>
    <row r="55" spans="1:18" s="961" customFormat="1" ht="13.5" thickBot="1">
      <c r="A55" s="979" t="s">
        <v>795</v>
      </c>
      <c r="C55" s="3998">
        <f ca="1">IF(D2="含税",C83-C31,C80-C28)</f>
        <v>-1347</v>
      </c>
      <c r="D55" s="981" t="str">
        <f>C2</f>
        <v>万元</v>
      </c>
      <c r="E55" s="975"/>
      <c r="F55" s="975"/>
      <c r="I55" s="982" t="s">
        <v>796</v>
      </c>
      <c r="J55" s="983"/>
      <c r="K55" s="984"/>
      <c r="L55" s="4018">
        <f ca="1">IF(M56="住宅",0,IF(L57&gt;J60,L69,J69))</f>
        <v>170</v>
      </c>
      <c r="O55" s="4159" t="s">
        <v>1327</v>
      </c>
      <c r="P55" s="4160" t="s">
        <v>3914</v>
      </c>
      <c r="Q55" s="4161" t="s">
        <v>3915</v>
      </c>
      <c r="R55" s="4161" t="s">
        <v>3916</v>
      </c>
    </row>
    <row r="56" spans="1:18" s="961" customFormat="1" ht="13.5" thickBot="1">
      <c r="A56" s="4144" t="s">
        <v>3885</v>
      </c>
      <c r="B56" s="4145" t="s">
        <v>3886</v>
      </c>
      <c r="C56" s="4118" t="s">
        <v>3824</v>
      </c>
      <c r="D56" s="4145" t="s">
        <v>3887</v>
      </c>
      <c r="E56" s="4146" t="s">
        <v>3888</v>
      </c>
      <c r="F56" s="719"/>
      <c r="G56" s="490"/>
      <c r="I56" s="989" t="s">
        <v>801</v>
      </c>
      <c r="J56" s="990" t="s">
        <v>4155</v>
      </c>
      <c r="K56" s="991" t="s">
        <v>802</v>
      </c>
      <c r="L56" s="4019">
        <f ca="1">INDIRECT("'数据-取费表'!d"&amp;$G$1)</f>
        <v>50</v>
      </c>
      <c r="M56" s="957" t="str">
        <f>IF(ISNUMBER(FIND("住宅",C1)),"住宅","非住宅")</f>
        <v>非住宅</v>
      </c>
      <c r="O56" s="4162" t="s">
        <v>397</v>
      </c>
      <c r="P56" s="4163" t="s">
        <v>3917</v>
      </c>
      <c r="Q56" s="4165">
        <f ca="1">C28+J31</f>
        <v>1059</v>
      </c>
      <c r="R56" s="4164" t="s">
        <v>3918</v>
      </c>
    </row>
    <row r="57" spans="1:18" s="961" customFormat="1" ht="42.75" thickBot="1">
      <c r="A57" s="671" t="s">
        <v>432</v>
      </c>
      <c r="B57" s="184" t="s">
        <v>679</v>
      </c>
      <c r="C57" s="4147">
        <f ca="1">ROUND(C58+C62+C64,0)</f>
        <v>0</v>
      </c>
      <c r="D57" s="4124" t="s">
        <v>3891</v>
      </c>
      <c r="E57" s="4148"/>
      <c r="F57" s="656"/>
      <c r="G57" s="490"/>
      <c r="H57" s="491"/>
      <c r="I57" s="996" t="s">
        <v>805</v>
      </c>
      <c r="J57" s="997" t="s">
        <v>4156</v>
      </c>
      <c r="K57" s="998" t="s">
        <v>806</v>
      </c>
      <c r="L57" s="4008">
        <f ca="1">INDIRECT("'数据-取费表'!f"&amp;$G$1)</f>
        <v>28.51</v>
      </c>
      <c r="O57" s="4162" t="s">
        <v>398</v>
      </c>
      <c r="P57" s="4163" t="s">
        <v>3919</v>
      </c>
      <c r="Q57" s="4165">
        <f ca="1">J69</f>
        <v>170</v>
      </c>
      <c r="R57" s="4164" t="s">
        <v>3920</v>
      </c>
    </row>
    <row r="58" spans="1:18" s="961" customFormat="1" ht="15.75" thickBot="1">
      <c r="A58" s="3984" t="s">
        <v>392</v>
      </c>
      <c r="B58" s="2786" t="s">
        <v>3801</v>
      </c>
      <c r="C58" s="3976">
        <f ca="1">C59-C61</f>
        <v>0</v>
      </c>
      <c r="D58" s="2787" t="s">
        <v>3805</v>
      </c>
      <c r="E58" s="2811" t="s">
        <v>3441</v>
      </c>
      <c r="F58" s="3525"/>
      <c r="H58" s="491"/>
      <c r="I58" s="996" t="s">
        <v>809</v>
      </c>
      <c r="J58" s="4006">
        <v>2021</v>
      </c>
      <c r="K58" s="998" t="s">
        <v>810</v>
      </c>
      <c r="L58" s="4020"/>
      <c r="O58" s="1002" t="s">
        <v>399</v>
      </c>
      <c r="P58" s="994" t="s">
        <v>811</v>
      </c>
      <c r="Q58" s="3542">
        <f ca="1">C51</f>
        <v>3022</v>
      </c>
      <c r="R58" s="995" t="s">
        <v>804</v>
      </c>
    </row>
    <row r="59" spans="1:18" s="961" customFormat="1" ht="13.5" thickBot="1">
      <c r="A59" s="3991" t="s">
        <v>391</v>
      </c>
      <c r="B59" s="4617" t="s">
        <v>3799</v>
      </c>
      <c r="C59" s="4618">
        <f ca="1">ROUND(F58*F60*F59/10000,2)</f>
        <v>0</v>
      </c>
      <c r="D59" s="4616" t="s">
        <v>3474</v>
      </c>
      <c r="E59" s="716" t="s">
        <v>683</v>
      </c>
      <c r="F59" s="3526">
        <f ca="1">F7</f>
        <v>4784.37</v>
      </c>
      <c r="H59" s="491"/>
      <c r="I59" s="996" t="s">
        <v>812</v>
      </c>
      <c r="J59" s="4007">
        <f>SUMPRODUCT((I72:I74=J56)*(J71:L71=J57)*(J72:L74))</f>
        <v>60</v>
      </c>
      <c r="K59" s="998" t="s">
        <v>813</v>
      </c>
      <c r="L59" s="4020"/>
      <c r="M59" s="1004"/>
      <c r="O59" s="1002" t="s">
        <v>400</v>
      </c>
      <c r="P59" s="994" t="s">
        <v>814</v>
      </c>
      <c r="Q59" s="3539">
        <f ca="1">J67</f>
        <v>0.442</v>
      </c>
      <c r="R59" s="995"/>
    </row>
    <row r="60" spans="1:18" s="961" customFormat="1" ht="13.5" thickBot="1">
      <c r="A60" s="3992"/>
      <c r="B60" s="4617"/>
      <c r="C60" s="4619"/>
      <c r="D60" s="4616"/>
      <c r="E60" s="675" t="s">
        <v>684</v>
      </c>
      <c r="F60" s="3520">
        <f ca="1">F8</f>
        <v>365</v>
      </c>
      <c r="I60" s="1006" t="s">
        <v>815</v>
      </c>
      <c r="J60" s="4008">
        <f>IF(J58="",J59,J58+J59-YEAR('数据-取费表'!B2))</f>
        <v>55</v>
      </c>
      <c r="K60" s="1007" t="s">
        <v>816</v>
      </c>
      <c r="L60" s="3996">
        <f ca="1">ROUND(-PV(INDIRECT("'数据-取费表'!h"&amp;$G$1),J60,(C27-C52*C88),0),0)</f>
        <v>933</v>
      </c>
      <c r="M60" s="1009"/>
      <c r="O60" s="1002" t="s">
        <v>401</v>
      </c>
      <c r="P60" s="994" t="s">
        <v>817</v>
      </c>
      <c r="Q60" s="3539">
        <f>J61</f>
        <v>7.4999999999999997E-2</v>
      </c>
      <c r="R60" s="995"/>
    </row>
    <row r="61" spans="1:18" s="961" customFormat="1" ht="13.5" thickBot="1">
      <c r="A61" s="3993" t="s">
        <v>393</v>
      </c>
      <c r="B61" s="3687" t="s">
        <v>3800</v>
      </c>
      <c r="C61" s="3977">
        <f ca="1">ROUND(C59*F61,2)</f>
        <v>0</v>
      </c>
      <c r="D61" s="2787" t="s">
        <v>3804</v>
      </c>
      <c r="E61" s="675" t="s">
        <v>685</v>
      </c>
      <c r="F61" s="2838"/>
      <c r="I61" s="1010" t="s">
        <v>818</v>
      </c>
      <c r="J61" s="4009">
        <v>7.4999999999999997E-2</v>
      </c>
      <c r="K61" s="1010" t="s">
        <v>819</v>
      </c>
      <c r="L61" s="4009"/>
      <c r="O61" s="1002" t="s">
        <v>402</v>
      </c>
      <c r="P61" s="994" t="s">
        <v>820</v>
      </c>
      <c r="Q61" s="3538">
        <f ca="1">J62</f>
        <v>28.51</v>
      </c>
      <c r="R61" s="995" t="s">
        <v>821</v>
      </c>
    </row>
    <row r="62" spans="1:18" s="961" customFormat="1" ht="25.5" thickBot="1">
      <c r="A62" s="3994" t="s">
        <v>396</v>
      </c>
      <c r="B62" s="950" t="s">
        <v>686</v>
      </c>
      <c r="C62" s="2773">
        <f ca="1">ROUND(IF(F62="押一",C58/12*F11,IF(F62="押二",C58/12*2*F11,IF(F62="押三",C58/12*3*F11,C63*F11))),2)</f>
        <v>0</v>
      </c>
      <c r="D62" s="59" t="s">
        <v>2025</v>
      </c>
      <c r="E62" s="197" t="s">
        <v>687</v>
      </c>
      <c r="F62" s="3527"/>
      <c r="I62" s="1012" t="s">
        <v>822</v>
      </c>
      <c r="J62" s="4010">
        <f ca="1">IF(M56="住宅",IF(D1="——",MAX(J60,L57),MAX(J60,L57-'数据-取费表'!B24)),IF(D1="——",MIN(J60,L57),MIN(J60,L57-'数据-取费表'!B24)))</f>
        <v>28.51</v>
      </c>
      <c r="K62" s="4611" t="s">
        <v>823</v>
      </c>
      <c r="L62" s="4612"/>
      <c r="O62" s="4162" t="s">
        <v>403</v>
      </c>
      <c r="P62" s="4166" t="s">
        <v>3924</v>
      </c>
      <c r="Q62" s="4165">
        <f ca="1">ROUND((Q56+Q57)*(1+F31),0)</f>
        <v>1340</v>
      </c>
      <c r="R62" s="4164" t="s">
        <v>3925</v>
      </c>
    </row>
    <row r="63" spans="1:18" s="961" customFormat="1" ht="13.5" thickBot="1">
      <c r="A63" s="3985"/>
      <c r="B63" s="3128" t="s">
        <v>3479</v>
      </c>
      <c r="C63" s="279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11"/>
      <c r="K63" s="1015"/>
      <c r="L63" s="1015"/>
      <c r="O63" s="978" t="s">
        <v>825</v>
      </c>
      <c r="P63" s="958"/>
      <c r="Q63" s="958"/>
      <c r="R63" s="958"/>
    </row>
    <row r="64" spans="1:18" s="961" customFormat="1" ht="13.5" thickBot="1">
      <c r="A64" s="3986" t="s">
        <v>431</v>
      </c>
      <c r="B64" s="946" t="s">
        <v>689</v>
      </c>
      <c r="C64" s="3973"/>
      <c r="D64" s="59"/>
      <c r="E64" s="951"/>
      <c r="F64" s="1013"/>
      <c r="I64" s="1016" t="s">
        <v>826</v>
      </c>
      <c r="J64" s="4012">
        <f ca="1">ROUND(IF(J56="钢混",J66/J59,1-(1-2%)*(J59-J66)/J59),3)</f>
        <v>0.442</v>
      </c>
      <c r="K64" s="1018" t="s">
        <v>827</v>
      </c>
      <c r="L64" s="1019"/>
      <c r="O64" s="4159" t="s">
        <v>1327</v>
      </c>
      <c r="P64" s="4160" t="s">
        <v>3914</v>
      </c>
      <c r="Q64" s="4161" t="s">
        <v>3915</v>
      </c>
      <c r="R64" s="4161" t="s">
        <v>3916</v>
      </c>
    </row>
    <row r="65" spans="1:18" s="961" customFormat="1" ht="25.5" thickTop="1" thickBot="1">
      <c r="A65" s="199" t="s">
        <v>3682</v>
      </c>
      <c r="B65" s="652" t="s">
        <v>700</v>
      </c>
      <c r="C65" s="2817">
        <f ca="1">ROUND(C66+C74+C76+C78,0)</f>
        <v>10</v>
      </c>
      <c r="D65" s="4149" t="s">
        <v>3912</v>
      </c>
      <c r="E65" s="655"/>
      <c r="F65" s="656"/>
      <c r="I65" s="1022" t="s">
        <v>828</v>
      </c>
      <c r="J65" s="4013" t="s">
        <v>4157</v>
      </c>
      <c r="K65" s="996" t="s">
        <v>829</v>
      </c>
      <c r="L65" s="4008" t="str">
        <f ca="1">IF(L57&lt;J60,"——",L57-J62)</f>
        <v>——</v>
      </c>
      <c r="O65" s="4162" t="s">
        <v>397</v>
      </c>
      <c r="P65" s="4163" t="s">
        <v>3917</v>
      </c>
      <c r="Q65" s="4165">
        <f ca="1">C28+J31</f>
        <v>1059</v>
      </c>
      <c r="R65" s="4164" t="s">
        <v>3918</v>
      </c>
    </row>
    <row r="66" spans="1:18" s="961" customFormat="1" ht="24.75" thickBot="1">
      <c r="A66" s="537" t="s">
        <v>392</v>
      </c>
      <c r="B66" s="2766" t="s">
        <v>3982</v>
      </c>
      <c r="C66" s="2773">
        <f ca="1">ROUND(IF(AND(项目基本情况!B11="自然人",项目基本情况!B10="北京市",M56="住宅"),C58*F66,C67+C71+C72),2)</f>
        <v>1.55</v>
      </c>
      <c r="D66" s="657" t="s">
        <v>3446</v>
      </c>
      <c r="E66" s="658" t="str">
        <f>E14</f>
        <v/>
      </c>
      <c r="F66" s="3951" t="str">
        <f>IF(M56="非住宅","",IF(F58*F59*F60/12/(1+'数据-取费表'!F30)&gt;100000,4%,2.5%))</f>
        <v/>
      </c>
      <c r="I66" s="1028" t="s">
        <v>830</v>
      </c>
      <c r="J66" s="4014">
        <f ca="1">IF(OR(M56="住宅",J60&lt;L57,J65="是"),"——",J60-L57)</f>
        <v>26.49</v>
      </c>
      <c r="K66" s="996" t="s">
        <v>831</v>
      </c>
      <c r="L66" s="4021" t="str">
        <f ca="1">IF(L57&lt;J60,"——",IF(L64="比较法",L58,IF(L64="基准地价",L59,L60)))</f>
        <v>——</v>
      </c>
      <c r="O66" s="4162" t="s">
        <v>398</v>
      </c>
      <c r="P66" s="4163" t="s">
        <v>3921</v>
      </c>
      <c r="Q66" s="4167">
        <f ca="1">L69</f>
        <v>0</v>
      </c>
      <c r="R66" s="4164" t="s">
        <v>3922</v>
      </c>
    </row>
    <row r="67" spans="1:18" s="961" customFormat="1" ht="24.75" thickBot="1">
      <c r="A67" s="3966" t="s">
        <v>391</v>
      </c>
      <c r="B67" s="2785" t="s">
        <v>3978</v>
      </c>
      <c r="C67" s="2773">
        <f ca="1">C70</f>
        <v>-0.09</v>
      </c>
      <c r="D67" s="4620" t="s">
        <v>3977</v>
      </c>
      <c r="E67" s="4621"/>
      <c r="F67" s="4621"/>
      <c r="I67" s="1028" t="s">
        <v>833</v>
      </c>
      <c r="J67" s="4015">
        <f ca="1">IF(J64&lt;0.4,0.4,J64)</f>
        <v>0.442</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75" thickBot="1">
      <c r="A68" s="2570" t="s">
        <v>3285</v>
      </c>
      <c r="B68" s="2789" t="s">
        <v>3404</v>
      </c>
      <c r="C68" s="2773">
        <f ca="1">ROUND(C58*F68,2)</f>
        <v>0</v>
      </c>
      <c r="D68" s="1020" t="s">
        <v>3863</v>
      </c>
      <c r="E68" s="2795" t="s">
        <v>3406</v>
      </c>
      <c r="F68" s="2841">
        <f>F16</f>
        <v>0.09</v>
      </c>
      <c r="I68" s="1028" t="s">
        <v>836</v>
      </c>
      <c r="J68" s="4016">
        <f ca="1">IF(OR(M56="住宅",J60&lt;L57,J65="是"),"——",ROUND(C51*J67,0))</f>
        <v>1336</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5" thickBot="1">
      <c r="A69" s="2570" t="s">
        <v>3286</v>
      </c>
      <c r="B69" s="2789" t="s">
        <v>3405</v>
      </c>
      <c r="C69" s="2773">
        <f ca="1">ROUND(C74*F68+((C76+C78)*F69),2)</f>
        <v>0.71</v>
      </c>
      <c r="D69" s="4101" t="s">
        <v>3864</v>
      </c>
      <c r="E69" s="2796"/>
      <c r="F69" s="2841">
        <f t="shared" ref="F69" si="0">F17</f>
        <v>0.06</v>
      </c>
      <c r="I69" s="1031" t="s">
        <v>838</v>
      </c>
      <c r="J69" s="4017">
        <f ca="1">IF(OR(M56="住宅",J60&lt;L57,J65="是"),"0",ROUND(J68/(1+J61)^J62,0))</f>
        <v>170</v>
      </c>
      <c r="K69" s="1033" t="s">
        <v>839</v>
      </c>
      <c r="L69" s="4017">
        <f ca="1">IF(OR(M56="住宅",L57&lt;J60),0,ROUND(L66*(L67/L68-1),0))</f>
        <v>0</v>
      </c>
      <c r="O69" s="1002" t="s">
        <v>401</v>
      </c>
      <c r="P69" s="994" t="s">
        <v>840</v>
      </c>
      <c r="Q69" s="3541" t="e">
        <f ca="1">L67</f>
        <v>#DIV/0!</v>
      </c>
      <c r="R69" s="995" t="s">
        <v>841</v>
      </c>
    </row>
    <row r="70" spans="1:18" s="961" customFormat="1" ht="13.5" thickBot="1">
      <c r="A70" s="2570" t="s">
        <v>3287</v>
      </c>
      <c r="B70" s="2789" t="s">
        <v>3973</v>
      </c>
      <c r="C70" s="2773">
        <f ca="1">ROUND((C68-C69)*F70,2)</f>
        <v>-0.09</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25.5" thickBot="1">
      <c r="A71" s="3987" t="s">
        <v>767</v>
      </c>
      <c r="B71" s="2766" t="s">
        <v>3979</v>
      </c>
      <c r="C71" s="2773">
        <f ca="1">IF(项目基本情况!B11="自然人","——",IF(D71="按不含税租金收入（有效毛租金收入）计税",ROUND(C58*F71/(1+'数据-取费表'!C43),2),IF(D71="按房产原值计税",ROUND(F74*F71*0.7,2),INDIRECT("'数据-取费表'!Aj"&amp;$G$1))))</f>
        <v>0</v>
      </c>
      <c r="D71" s="947"/>
      <c r="E71" s="644" t="s">
        <v>698</v>
      </c>
      <c r="F71" s="2841">
        <f t="shared" ref="F71:F73" si="1">F19</f>
        <v>0.12</v>
      </c>
      <c r="I71" s="1035" t="s">
        <v>843</v>
      </c>
      <c r="J71" s="1036" t="s">
        <v>844</v>
      </c>
      <c r="K71" s="1036" t="s">
        <v>845</v>
      </c>
      <c r="L71" s="1036" t="s">
        <v>846</v>
      </c>
      <c r="M71" s="1037" t="s">
        <v>847</v>
      </c>
      <c r="O71" s="4162" t="s">
        <v>403</v>
      </c>
      <c r="P71" s="4166" t="s">
        <v>3924</v>
      </c>
      <c r="Q71" s="4167">
        <f ca="1">ROUND((Q65+Q66)*(1+F31),0)</f>
        <v>1154</v>
      </c>
      <c r="R71" s="4164" t="s">
        <v>3925</v>
      </c>
    </row>
    <row r="72" spans="1:18" s="961" customFormat="1" ht="13.5" thickBot="1">
      <c r="A72" s="3966" t="s">
        <v>770</v>
      </c>
      <c r="B72" s="4211" t="s">
        <v>3980</v>
      </c>
      <c r="C72" s="2791">
        <f ca="1">IF(项目基本情况!B11="自然人","——",ROUND(F72*F73/10000,2))</f>
        <v>1.64</v>
      </c>
      <c r="D72" s="659" t="s">
        <v>717</v>
      </c>
      <c r="E72" s="644" t="s">
        <v>718</v>
      </c>
      <c r="F72" s="3528">
        <f t="shared" si="1"/>
        <v>12</v>
      </c>
      <c r="I72" s="1035" t="s">
        <v>849</v>
      </c>
      <c r="J72" s="223">
        <v>70</v>
      </c>
      <c r="K72" s="223">
        <v>50</v>
      </c>
      <c r="L72" s="223">
        <v>80</v>
      </c>
      <c r="M72" s="1038">
        <v>0.02</v>
      </c>
      <c r="O72" s="978" t="s">
        <v>850</v>
      </c>
      <c r="P72" s="958"/>
      <c r="Q72" s="958"/>
      <c r="R72" s="958"/>
    </row>
    <row r="73" spans="1:18" s="961" customFormat="1" ht="13.5" thickBot="1">
      <c r="A73" s="209"/>
      <c r="B73" s="3978"/>
      <c r="C73" s="2792"/>
      <c r="D73" s="660"/>
      <c r="E73" s="644" t="s">
        <v>722</v>
      </c>
      <c r="F73" s="3133">
        <f t="shared" ca="1" si="1"/>
        <v>1370.73</v>
      </c>
      <c r="I73" s="1035" t="s">
        <v>851</v>
      </c>
      <c r="J73" s="223">
        <v>50</v>
      </c>
      <c r="K73" s="223">
        <v>35</v>
      </c>
      <c r="L73" s="223">
        <v>60</v>
      </c>
      <c r="M73" s="1037">
        <v>0</v>
      </c>
      <c r="O73" s="986" t="s">
        <v>797</v>
      </c>
      <c r="P73" s="987" t="s">
        <v>798</v>
      </c>
      <c r="Q73" s="988" t="s">
        <v>799</v>
      </c>
      <c r="R73" s="988" t="s">
        <v>800</v>
      </c>
    </row>
    <row r="74" spans="1:18" s="961" customFormat="1" ht="13.5" thickBot="1">
      <c r="A74" s="3988" t="s">
        <v>396</v>
      </c>
      <c r="B74" s="643" t="s">
        <v>724</v>
      </c>
      <c r="C74" s="3980">
        <f ca="1">ROUND(F74*F75,2)</f>
        <v>6.04</v>
      </c>
      <c r="D74" s="3982" t="s">
        <v>725</v>
      </c>
      <c r="E74" s="3995" t="s">
        <v>3806</v>
      </c>
      <c r="F74" s="3996">
        <f ca="1">C51</f>
        <v>3022</v>
      </c>
      <c r="I74" s="1035" t="s">
        <v>852</v>
      </c>
      <c r="J74" s="223">
        <v>40</v>
      </c>
      <c r="K74" s="223">
        <v>30</v>
      </c>
      <c r="L74" s="223">
        <v>50</v>
      </c>
      <c r="M74" s="1038">
        <v>0.02</v>
      </c>
      <c r="O74" s="4162" t="s">
        <v>397</v>
      </c>
      <c r="P74" s="4163" t="s">
        <v>3917</v>
      </c>
      <c r="Q74" s="4165">
        <f ca="1">C28+J31</f>
        <v>1059</v>
      </c>
      <c r="R74" s="4164" t="s">
        <v>3918</v>
      </c>
    </row>
    <row r="75" spans="1:18" s="961" customFormat="1" ht="15" thickBot="1">
      <c r="A75" s="3989"/>
      <c r="B75" s="650"/>
      <c r="C75" s="3981"/>
      <c r="D75" s="3983"/>
      <c r="E75" s="644" t="s">
        <v>698</v>
      </c>
      <c r="F75" s="2843">
        <f ca="1">F22</f>
        <v>2E-3</v>
      </c>
      <c r="O75" s="4162" t="s">
        <v>398</v>
      </c>
      <c r="P75" s="4163" t="s">
        <v>3921</v>
      </c>
      <c r="Q75" s="4167">
        <f ca="1">L69</f>
        <v>0</v>
      </c>
      <c r="R75" s="4164" t="s">
        <v>3923</v>
      </c>
    </row>
    <row r="76" spans="1:18" s="961" customFormat="1" ht="13.5" thickBot="1">
      <c r="A76" s="3988" t="s">
        <v>778</v>
      </c>
      <c r="B76" s="643" t="s">
        <v>728</v>
      </c>
      <c r="C76" s="3980">
        <f ca="1">ROUND(F76*F77,2)</f>
        <v>2.78</v>
      </c>
      <c r="D76" s="3982" t="s">
        <v>3443</v>
      </c>
      <c r="E76" s="3995" t="s">
        <v>3442</v>
      </c>
      <c r="F76" s="3997">
        <f ca="1">C53</f>
        <v>2780</v>
      </c>
      <c r="O76" s="993"/>
      <c r="P76" s="994"/>
      <c r="Q76" s="3538"/>
      <c r="R76" s="995"/>
    </row>
    <row r="77" spans="1:18" s="961" customFormat="1" ht="16.5" thickBot="1">
      <c r="A77" s="3990"/>
      <c r="B77" s="650"/>
      <c r="C77" s="3981"/>
      <c r="D77" s="3983"/>
      <c r="E77" s="644" t="s">
        <v>698</v>
      </c>
      <c r="F77" s="2843">
        <f ca="1">F24</f>
        <v>1E-3</v>
      </c>
      <c r="O77" s="1002" t="s">
        <v>399</v>
      </c>
      <c r="P77" s="994" t="s">
        <v>835</v>
      </c>
      <c r="Q77" s="3542">
        <f ca="1">L60</f>
        <v>933</v>
      </c>
      <c r="R77" s="995" t="s">
        <v>855</v>
      </c>
    </row>
    <row r="78" spans="1:18" s="961" customFormat="1" ht="13.5" thickBot="1">
      <c r="A78" s="3990" t="s">
        <v>779</v>
      </c>
      <c r="B78" s="644" t="s">
        <v>714</v>
      </c>
      <c r="C78" s="2773">
        <f ca="1">ROUND(C57*F78,2)</f>
        <v>0</v>
      </c>
      <c r="D78" s="658" t="s">
        <v>3870</v>
      </c>
      <c r="E78" s="644" t="s">
        <v>698</v>
      </c>
      <c r="F78" s="2843">
        <f ca="1">F26</f>
        <v>0.01</v>
      </c>
      <c r="O78" s="1002"/>
      <c r="P78" s="994"/>
      <c r="Q78" s="3542"/>
      <c r="R78" s="995"/>
    </row>
    <row r="79" spans="1:18" s="961" customFormat="1" ht="16.5" thickBot="1">
      <c r="A79" s="651" t="s">
        <v>387</v>
      </c>
      <c r="B79" s="661" t="s">
        <v>738</v>
      </c>
      <c r="C79" s="2817">
        <f ca="1">C57-C65</f>
        <v>-10</v>
      </c>
      <c r="D79" s="4150" t="s">
        <v>3896</v>
      </c>
      <c r="E79" s="4151"/>
      <c r="F79" s="4152"/>
      <c r="O79" s="1002" t="s">
        <v>400</v>
      </c>
      <c r="P79" s="1040" t="s">
        <v>856</v>
      </c>
      <c r="Q79" s="3542">
        <f ca="1">ROUND(Q80-Q81*Q82,0)</f>
        <v>50</v>
      </c>
      <c r="R79" s="995" t="s">
        <v>408</v>
      </c>
    </row>
    <row r="80" spans="1:18" s="961" customFormat="1" ht="13.5" thickBot="1">
      <c r="A80" s="3307" t="s">
        <v>388</v>
      </c>
      <c r="B80" s="642" t="s">
        <v>760</v>
      </c>
      <c r="C80" s="3965">
        <f ca="1">ROUND(C79*(1-((1+F82)/(1+F80))^F81)/(F80-F82),0)</f>
        <v>-177</v>
      </c>
      <c r="D80" s="4153" t="s">
        <v>3898</v>
      </c>
      <c r="E80" s="652" t="s">
        <v>3899</v>
      </c>
      <c r="F80" s="2843">
        <f ca="1">F28</f>
        <v>5.5E-2</v>
      </c>
      <c r="O80" s="1002" t="s">
        <v>405</v>
      </c>
      <c r="P80" s="1040" t="s">
        <v>857</v>
      </c>
      <c r="Q80" s="3542">
        <f ca="1">C27</f>
        <v>67</v>
      </c>
      <c r="R80" s="995" t="s">
        <v>804</v>
      </c>
    </row>
    <row r="81" spans="1:18" s="961" customFormat="1" ht="13.5" thickBot="1">
      <c r="A81" s="3308"/>
      <c r="B81" s="646"/>
      <c r="C81" s="3517"/>
      <c r="D81" s="4154" t="s">
        <v>3903</v>
      </c>
      <c r="E81" s="652" t="s">
        <v>3902</v>
      </c>
      <c r="F81" s="2844">
        <f ca="1">F29</f>
        <v>28.51</v>
      </c>
      <c r="O81" s="1002" t="s">
        <v>406</v>
      </c>
      <c r="P81" s="1040" t="s">
        <v>858</v>
      </c>
      <c r="Q81" s="3542">
        <f ca="1">C52</f>
        <v>242</v>
      </c>
      <c r="R81" s="995" t="s">
        <v>804</v>
      </c>
    </row>
    <row r="82" spans="1:18" s="961" customFormat="1" ht="13.5" thickBot="1">
      <c r="A82" s="3309"/>
      <c r="B82" s="2860"/>
      <c r="C82" s="2860"/>
      <c r="D82" s="4155"/>
      <c r="E82" s="652" t="s">
        <v>3904</v>
      </c>
      <c r="F82" s="2838">
        <v>0.02</v>
      </c>
      <c r="O82" s="1002" t="s">
        <v>407</v>
      </c>
      <c r="P82" s="1040" t="s">
        <v>859</v>
      </c>
      <c r="Q82" s="3539">
        <f ca="1">C88</f>
        <v>7.0000000000000007E-2</v>
      </c>
      <c r="R82" s="995"/>
    </row>
    <row r="83" spans="1:18" s="961" customFormat="1" ht="13.5" thickBot="1">
      <c r="A83" s="648" t="s">
        <v>389</v>
      </c>
      <c r="B83" s="2816" t="s">
        <v>3447</v>
      </c>
      <c r="C83" s="3968">
        <f ca="1">ROUND(C80*(1+F31),0)</f>
        <v>-193</v>
      </c>
      <c r="D83" s="4156" t="str">
        <f>D31</f>
        <v>其他类型公式—收益价值×（1+9%）</v>
      </c>
      <c r="E83" s="1044"/>
      <c r="F83" s="4157"/>
      <c r="O83" s="1002" t="s">
        <v>401</v>
      </c>
      <c r="P83" s="994" t="s">
        <v>837</v>
      </c>
      <c r="Q83" s="3539">
        <f>L61</f>
        <v>0</v>
      </c>
      <c r="R83" s="995"/>
    </row>
    <row r="84" spans="1:18" ht="16.5" thickBot="1">
      <c r="A84" s="665" t="s">
        <v>390</v>
      </c>
      <c r="B84" s="666" t="s">
        <v>762</v>
      </c>
      <c r="C84" s="2828">
        <f ca="1">ROUND(C83*10000/F84,0)</f>
        <v>-403</v>
      </c>
      <c r="D84" s="4158" t="s">
        <v>3907</v>
      </c>
      <c r="E84" s="666" t="s">
        <v>3908</v>
      </c>
      <c r="F84" s="2845">
        <f ca="1">F32</f>
        <v>4784.37</v>
      </c>
      <c r="G84" s="961"/>
      <c r="H84" s="961"/>
      <c r="O84" s="1002" t="s">
        <v>402</v>
      </c>
      <c r="P84" s="994" t="s">
        <v>840</v>
      </c>
      <c r="Q84" s="4168" t="e">
        <f ca="1">L67</f>
        <v>#DIV/0!</v>
      </c>
      <c r="R84" s="995" t="s">
        <v>841</v>
      </c>
    </row>
    <row r="85" spans="1:18" ht="13.5" thickBot="1">
      <c r="A85" s="961"/>
      <c r="B85" s="494"/>
      <c r="C85" s="494"/>
      <c r="D85" s="961"/>
      <c r="E85" s="961"/>
      <c r="F85" s="961"/>
      <c r="O85" s="1002" t="s">
        <v>409</v>
      </c>
      <c r="P85" s="994" t="str">
        <f>K68</f>
        <v>建筑物剩余耐用年限下的土地年期修正系数Kn</v>
      </c>
      <c r="Q85" s="4168" t="e">
        <f ca="1">L68</f>
        <v>#DIV/0!</v>
      </c>
      <c r="R85" s="995" t="s">
        <v>842</v>
      </c>
    </row>
    <row r="86" spans="1:18" ht="25.5" thickBot="1">
      <c r="A86" s="961"/>
      <c r="B86" s="168" t="s">
        <v>860</v>
      </c>
      <c r="C86" s="1042"/>
      <c r="D86" s="961"/>
      <c r="E86" s="961"/>
      <c r="F86" s="961"/>
      <c r="K86" s="977"/>
      <c r="L86" s="961"/>
      <c r="O86" s="4162" t="s">
        <v>403</v>
      </c>
      <c r="P86" s="4166" t="s">
        <v>3924</v>
      </c>
      <c r="Q86" s="4165">
        <f ca="1">ROUND((Q74+Q75)*(1+F31),0)</f>
        <v>1154</v>
      </c>
      <c r="R86" s="4164" t="s">
        <v>3925</v>
      </c>
    </row>
    <row r="87" spans="1:18">
      <c r="A87" s="961"/>
      <c r="B87" s="222" t="s">
        <v>781</v>
      </c>
      <c r="C87" s="2908">
        <f ca="1">ROUND(C53*C88,0)</f>
        <v>195</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-1.9100000000000001</v>
      </c>
    </row>
    <row r="92" spans="1:18">
      <c r="B92" s="222" t="s">
        <v>786</v>
      </c>
      <c r="C92" s="2909">
        <f ca="1">ROUND(C87/C27,3)</f>
        <v>2.91</v>
      </c>
    </row>
    <row r="93" spans="1:18">
      <c r="B93" s="165" t="s">
        <v>787</v>
      </c>
      <c r="C93" s="133"/>
    </row>
    <row r="94" spans="1:18">
      <c r="B94" s="168" t="s">
        <v>788</v>
      </c>
      <c r="C94" s="2910">
        <f ca="1">1-C95</f>
        <v>-1.262</v>
      </c>
    </row>
    <row r="95" spans="1:18">
      <c r="B95" s="168" t="s">
        <v>789</v>
      </c>
      <c r="C95" s="2909">
        <f ca="1">ROUND(C53/(C28+J31+L55),3)</f>
        <v>2.262</v>
      </c>
    </row>
  </sheetData>
  <sheetProtection password="CEE9" sheet="1" objects="1" scenarios="1"/>
  <mergeCells count="15">
    <mergeCell ref="B59:B60"/>
    <mergeCell ref="C59:C60"/>
    <mergeCell ref="D59:D60"/>
    <mergeCell ref="A7:A8"/>
    <mergeCell ref="B7:B8"/>
    <mergeCell ref="C7:C8"/>
    <mergeCell ref="D7:D8"/>
    <mergeCell ref="K62:L62"/>
    <mergeCell ref="D67:F67"/>
    <mergeCell ref="J7:J8"/>
    <mergeCell ref="K7:K8"/>
    <mergeCell ref="D15:F15"/>
    <mergeCell ref="K15:M15"/>
    <mergeCell ref="H7:H8"/>
    <mergeCell ref="I7:I8"/>
  </mergeCells>
  <phoneticPr fontId="134" type="noConversion"/>
  <conditionalFormatting sqref="C11">
    <cfRule type="expression" dxfId="121" priority="3">
      <formula>$F$10="自定义"</formula>
    </cfRule>
  </conditionalFormatting>
  <conditionalFormatting sqref="C63">
    <cfRule type="expression" dxfId="120" priority="1">
      <formula>$F$62="自定义"</formula>
    </cfRule>
  </conditionalFormatting>
  <conditionalFormatting sqref="I64 I69">
    <cfRule type="expression" dxfId="119" priority="5">
      <formula>$J$60&gt;$L$57</formula>
    </cfRule>
  </conditionalFormatting>
  <conditionalFormatting sqref="J11">
    <cfRule type="expression" dxfId="118" priority="2">
      <formula>$M$10="自定义"</formula>
    </cfRule>
  </conditionalFormatting>
  <conditionalFormatting sqref="K64 K69">
    <cfRule type="expression" dxfId="117" priority="4">
      <formula>$L$57&gt;$J$60</formula>
    </cfRule>
  </conditionalFormatting>
  <dataValidations count="11">
    <dataValidation type="list" allowBlank="1" showInputMessage="1" showErrorMessage="1" sqref="K19" xr:uid="{D5BFB994-6612-4A6C-B755-D7FF96966BCF}">
      <formula1>"按不含税租金收入（有效毛租金收入）计税,按房产原值计税"</formula1>
    </dataValidation>
    <dataValidation type="list" allowBlank="1" showInputMessage="1" showErrorMessage="1" sqref="D71 D19" xr:uid="{E80FB8A3-872B-44B4-87CD-A8D49DF3B81A}">
      <formula1>"按不含税租金收入（有效毛租金收入）计税,按房产原值计税,按票据"</formula1>
    </dataValidation>
    <dataValidation type="list" allowBlank="1" showInputMessage="1" showErrorMessage="1" sqref="C1" xr:uid="{CFC0373F-D543-4504-AB3F-11F3C883D27A}">
      <formula1>项目类型</formula1>
    </dataValidation>
    <dataValidation type="list" allowBlank="1" showInputMessage="1" showErrorMessage="1" sqref="J56" xr:uid="{592A4E79-FCAC-455B-BE01-484CEC0F7640}">
      <formula1>"钢,钢混,砖混"</formula1>
    </dataValidation>
    <dataValidation type="list" allowBlank="1" showInputMessage="1" showErrorMessage="1" sqref="J57" xr:uid="{E999B774-747C-4A75-84C1-876515D4C051}">
      <formula1>"非生产用房,生产用房,受腐蚀的生产用房"</formula1>
    </dataValidation>
    <dataValidation type="list" allowBlank="1" showInputMessage="1" showErrorMessage="1" sqref="J65" xr:uid="{01B31F23-8DE8-4F36-BDE2-C51D990C925F}">
      <formula1>估价范围判定</formula1>
    </dataValidation>
    <dataValidation type="list" allowBlank="1" showInputMessage="1" showErrorMessage="1" sqref="L64" xr:uid="{BEF0401E-FE40-49BA-8BFC-98AFFB3E76BD}">
      <formula1>"比较法,基准地价,收益还原"</formula1>
    </dataValidation>
    <dataValidation type="list" allowBlank="1" showInputMessage="1" showErrorMessage="1" sqref="M10 F10 F62" xr:uid="{382691CA-5F80-4542-976A-848A30113ED6}">
      <formula1>"押一,押二,押三,自定义"</formula1>
    </dataValidation>
    <dataValidation type="list" allowBlank="1" showInputMessage="1" showErrorMessage="1" sqref="D1" xr:uid="{C26B7369-A33F-4393-813D-7602FB620EB6}">
      <formula1>"在建（套用方法）,土地（套用方法）,——"</formula1>
    </dataValidation>
    <dataValidation type="list" allowBlank="1" showInputMessage="1" showErrorMessage="1" sqref="D2" xr:uid="{2046C15A-5E36-40EB-8090-947453C808AB}">
      <formula1>"含税,不含税"</formula1>
    </dataValidation>
    <dataValidation type="list" allowBlank="1" showInputMessage="1" showErrorMessage="1" sqref="D31" xr:uid="{BE189981-412B-400F-B656-C88233EE343C}">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49" t="s">
        <v>883</v>
      </c>
    </row>
    <row r="3" spans="1:1" ht="18">
      <c r="A3" s="1050" t="str">
        <f>项目基本情况!B5&amp;"："</f>
        <v>：</v>
      </c>
    </row>
    <row r="4" spans="1:1" ht="18">
      <c r="A4" s="1051" t="str">
        <f>"受贵公司委托，我公司对"&amp;项目基本情况!S1&amp;"进行了预评估。"</f>
        <v>受贵公司委托，我公司对北京市房地产抵押价值进行了预评估。</v>
      </c>
    </row>
    <row r="5" spans="1:1" ht="18.75">
      <c r="A5" s="1052" t="s">
        <v>884</v>
      </c>
    </row>
    <row r="6" spans="1:1" ht="18.75">
      <c r="A6" s="1053" t="s">
        <v>885</v>
      </c>
    </row>
    <row r="7" spans="1:1" ht="54">
      <c r="A7" s="10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估价对象为北京市房地产，为所有。根据《国有土地使用证》[]，估价对象（分摊）出让国有建设用地使用权面积为16447.62平方米，建筑面积为57408.26平方米。</v>
      </c>
    </row>
    <row r="8" spans="1:1" ht="57.75">
      <c r="A8" s="1054" t="s">
        <v>886</v>
      </c>
    </row>
    <row r="9" spans="1:1" ht="18.75">
      <c r="A9" s="1053" t="s">
        <v>887</v>
      </c>
    </row>
    <row r="10" spans="1:1" ht="54">
      <c r="A10" s="10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估价对象为北京市房地产,为开发建设的，该项目尚在开发建设中。根据《国有土地使用证》[]，估价对象（分摊）出让国有建设用地使用权面积为16447.62平方米，规划建筑面积为57408.26平方米。</v>
      </c>
    </row>
    <row r="11" spans="1:1" ht="76.5">
      <c r="A11" s="1054" t="s">
        <v>888</v>
      </c>
    </row>
    <row r="12" spans="1:1" ht="18.75">
      <c r="A12" s="1052" t="s">
        <v>889</v>
      </c>
    </row>
    <row r="13" spans="1:1" ht="38.25" customHeight="1">
      <c r="A13" s="10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50" t="s">
        <v>890</v>
      </c>
    </row>
    <row r="15" spans="1:1" ht="18">
      <c r="A15" s="1055" t="str">
        <f>TEXT(项目基本情况!D3,"yyyy年m月d日;;")&amp;IF(项目基本情况!D3=项目基本情况!B3,"（评估专业人员实地查勘之日）","")</f>
        <v>2026年1月27日（评估专业人员实地查勘之日）</v>
      </c>
    </row>
    <row r="16" spans="1:1" ht="18.75">
      <c r="A16" s="1050" t="s">
        <v>891</v>
      </c>
    </row>
    <row r="17" spans="1:1" ht="75">
      <c r="A17" s="1051" t="s">
        <v>892</v>
      </c>
    </row>
    <row r="18" spans="1:1" ht="54">
      <c r="A18" s="10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9" spans="1:1" ht="157.5" customHeight="1">
      <c r="A19" s="10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51" t="str">
        <f>IF(项目基本情况!B9="房地产市场价值","——",IF(项目基本情况!E9="——","",定义!C57))</f>
        <v/>
      </c>
    </row>
    <row r="23" spans="1:1" ht="18.75">
      <c r="A23" s="1050" t="s">
        <v>881</v>
      </c>
    </row>
    <row r="24" spans="1:1" ht="18">
      <c r="A24" s="1056" t="str">
        <f>"本次评估采用的主估价方法为"&amp;结果表!K4&amp;"和"&amp;结果表!L4&amp;"。"</f>
        <v>本次评估采用的主估价方法为比较法和收益法。</v>
      </c>
    </row>
    <row r="25" spans="1:1" ht="18">
      <c r="A25" s="1056"/>
    </row>
    <row r="26" spans="1:1" ht="18.75">
      <c r="A26" s="1057" t="s">
        <v>882</v>
      </c>
    </row>
    <row r="27" spans="1:1">
      <c r="A27" s="1058"/>
    </row>
    <row r="28" spans="1:1">
      <c r="A28" s="1058"/>
    </row>
    <row r="29" spans="1:1">
      <c r="A29" s="1058"/>
    </row>
    <row r="30" spans="1:1">
      <c r="A30" s="1058"/>
    </row>
    <row r="31" spans="1:1">
      <c r="A31" s="1058"/>
    </row>
    <row r="32" spans="1:1">
      <c r="A32" s="1058"/>
    </row>
    <row r="33" spans="1:1">
      <c r="A33" s="1058"/>
    </row>
    <row r="34" spans="1:1">
      <c r="A34" s="1058"/>
    </row>
    <row r="35" spans="1:1">
      <c r="A35" s="1058"/>
    </row>
    <row r="36" spans="1:1">
      <c r="A36" s="1058"/>
    </row>
    <row r="37" spans="1:1">
      <c r="A37" s="1058"/>
    </row>
    <row r="38" spans="1:1">
      <c r="A38" s="1058"/>
    </row>
    <row r="39" spans="1:1">
      <c r="A39" s="1058"/>
    </row>
    <row r="40" spans="1:1">
      <c r="A40" s="1058"/>
    </row>
    <row r="41" spans="1:1">
      <c r="A41" s="1058"/>
    </row>
    <row r="42" spans="1:1">
      <c r="A42" s="1058"/>
    </row>
    <row r="43" spans="1:1">
      <c r="A43" s="1058"/>
    </row>
    <row r="44" spans="1:1">
      <c r="A44" s="1058"/>
    </row>
    <row r="45" spans="1:1">
      <c r="A45" s="1058"/>
    </row>
    <row r="46" spans="1:1">
      <c r="A46" s="1058"/>
    </row>
    <row r="47" spans="1:1">
      <c r="A47" s="1058"/>
    </row>
    <row r="48" spans="1:1">
      <c r="A48" s="1058"/>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Normal="100" zoomScaleSheetLayoutView="100" workbookViewId="0">
      <selection activeCell="J65" sqref="J65"/>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3535" customWidth="1"/>
    <col min="18" max="18" width="20.5" style="961" customWidth="1"/>
    <col min="19" max="19" width="13.25" style="961" customWidth="1"/>
    <col min="20" max="37" width="9" style="961"/>
    <col min="38" max="16384" width="9" style="153"/>
  </cols>
  <sheetData>
    <row r="1" spans="1:37" s="178" customFormat="1" ht="21">
      <c r="A1" s="952" t="s">
        <v>862</v>
      </c>
      <c r="B1" s="481"/>
      <c r="C1" s="2859" t="s">
        <v>4011</v>
      </c>
      <c r="D1" s="940" t="s">
        <v>41</v>
      </c>
      <c r="E1" s="941" t="s">
        <v>665</v>
      </c>
      <c r="F1" s="722">
        <f ca="1">J62</f>
        <v>28.51</v>
      </c>
      <c r="G1" s="955">
        <f>MATCH(C1,'数据-取费表'!A6:A16,0)+5</f>
        <v>8</v>
      </c>
      <c r="H1" s="1986"/>
      <c r="I1" s="1987"/>
      <c r="J1" s="1987"/>
      <c r="K1" s="1988"/>
      <c r="L1" s="1987"/>
      <c r="M1" s="1987"/>
      <c r="N1" s="492"/>
      <c r="O1" s="492"/>
      <c r="P1" s="492"/>
      <c r="Q1" s="353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67">
        <f ca="1">ROUND(D3/10000,4)</f>
        <v>52.482799999999997</v>
      </c>
      <c r="C2" s="958" t="s">
        <v>791</v>
      </c>
      <c r="D2" s="3429" t="s">
        <v>3994</v>
      </c>
      <c r="E2" s="963"/>
      <c r="F2" s="964"/>
      <c r="G2" s="1999"/>
      <c r="H2" s="1989"/>
      <c r="I2" s="1989"/>
      <c r="J2" s="1989"/>
      <c r="K2" s="1990"/>
      <c r="L2" s="1989"/>
      <c r="M2" s="1989"/>
    </row>
    <row r="3" spans="1:37" ht="18" customHeight="1" thickBot="1">
      <c r="A3" s="965" t="s">
        <v>792</v>
      </c>
      <c r="B3" s="966">
        <f ca="1">IF(ISERROR(D3/F32),0,ROUND(D3/F32,0))</f>
        <v>2689</v>
      </c>
      <c r="C3" s="958" t="s">
        <v>793</v>
      </c>
      <c r="D3" s="958">
        <f ca="1">IF(D2="含税",ROUND((C28+J31+L55)*(1+F31),0),C28+J31+L55)</f>
        <v>524828</v>
      </c>
      <c r="E3" s="963"/>
      <c r="F3" s="964"/>
      <c r="G3" s="1999"/>
      <c r="H3" s="467" t="s">
        <v>861</v>
      </c>
      <c r="I3" s="959"/>
      <c r="J3" s="959"/>
      <c r="K3" s="960"/>
      <c r="L3" s="959"/>
      <c r="M3" s="959"/>
    </row>
    <row r="4" spans="1:37" s="4189" customFormat="1" ht="18" customHeight="1">
      <c r="A4" s="2797" t="s">
        <v>3885</v>
      </c>
      <c r="B4" s="2798" t="s">
        <v>3886</v>
      </c>
      <c r="C4" s="3684" t="s">
        <v>3963</v>
      </c>
      <c r="D4" s="2798" t="s">
        <v>3887</v>
      </c>
      <c r="E4" s="4121" t="s">
        <v>3888</v>
      </c>
      <c r="F4" s="4188"/>
      <c r="G4" s="4177"/>
      <c r="H4" s="2797" t="s">
        <v>3885</v>
      </c>
      <c r="I4" s="2798" t="s">
        <v>3886</v>
      </c>
      <c r="J4" s="3684" t="s">
        <v>3964</v>
      </c>
      <c r="K4" s="2798" t="s">
        <v>3887</v>
      </c>
      <c r="L4" s="4190" t="s">
        <v>3888</v>
      </c>
      <c r="M4" s="4191"/>
      <c r="N4" s="4177"/>
      <c r="O4" s="4177"/>
      <c r="P4" s="4177"/>
      <c r="Q4" s="4177"/>
      <c r="R4" s="4177"/>
      <c r="S4" s="4177"/>
      <c r="T4" s="4177"/>
      <c r="U4" s="4177"/>
      <c r="V4" s="4177"/>
      <c r="W4" s="4177"/>
      <c r="X4" s="4177"/>
      <c r="Y4" s="4177"/>
      <c r="Z4" s="4177"/>
      <c r="AA4" s="4177"/>
      <c r="AB4" s="4177"/>
      <c r="AC4" s="4177"/>
      <c r="AD4" s="4177"/>
      <c r="AE4" s="4177"/>
      <c r="AF4" s="4177"/>
      <c r="AG4" s="4177"/>
      <c r="AH4" s="4177"/>
      <c r="AI4" s="4177"/>
      <c r="AJ4" s="4177"/>
      <c r="AK4" s="4177"/>
    </row>
    <row r="5" spans="1:37" s="118" customFormat="1" ht="18" customHeight="1">
      <c r="A5" s="183">
        <v>1</v>
      </c>
      <c r="B5" s="4033" t="s">
        <v>3402</v>
      </c>
      <c r="C5" s="3517">
        <f ca="1">C6+C10+C12</f>
        <v>32098</v>
      </c>
      <c r="D5" s="4124" t="s">
        <v>3891</v>
      </c>
      <c r="E5" s="4125"/>
      <c r="F5" s="4126"/>
      <c r="G5" s="4123"/>
      <c r="H5" s="183">
        <v>1</v>
      </c>
      <c r="I5" s="184" t="s">
        <v>3928</v>
      </c>
      <c r="J5" s="3517">
        <f ca="1">J6+J10+J12</f>
        <v>0</v>
      </c>
      <c r="K5" s="4124" t="s">
        <v>3891</v>
      </c>
      <c r="L5" s="2867"/>
      <c r="M5" s="4126"/>
      <c r="N5" s="4123"/>
      <c r="O5" s="4123"/>
      <c r="P5" s="4123"/>
      <c r="Q5" s="4169"/>
      <c r="R5" s="4123"/>
      <c r="S5" s="4123"/>
      <c r="T5" s="4123"/>
      <c r="U5" s="4123"/>
      <c r="V5" s="4123"/>
      <c r="W5" s="4123"/>
      <c r="X5" s="4123"/>
      <c r="Y5" s="4123"/>
      <c r="Z5" s="4123"/>
      <c r="AA5" s="4123"/>
      <c r="AB5" s="4123"/>
      <c r="AC5" s="4123"/>
      <c r="AD5" s="4123"/>
      <c r="AE5" s="4123"/>
      <c r="AF5" s="4123"/>
      <c r="AG5" s="4123"/>
      <c r="AH5" s="4123"/>
      <c r="AI5" s="4123"/>
      <c r="AJ5" s="4123"/>
      <c r="AK5" s="4123"/>
    </row>
    <row r="6" spans="1:37" s="118" customFormat="1" ht="18" customHeight="1">
      <c r="A6" s="4170" t="s">
        <v>433</v>
      </c>
      <c r="B6" s="4171" t="s">
        <v>3801</v>
      </c>
      <c r="C6" s="3529">
        <f ca="1">C7-C9</f>
        <v>32058</v>
      </c>
      <c r="D6" s="4043" t="s">
        <v>3805</v>
      </c>
      <c r="E6" s="2802" t="s">
        <v>3929</v>
      </c>
      <c r="F6" s="3133">
        <f ca="1">INDIRECT("'数据-取费表'!u"&amp;$G$1)</f>
        <v>0.5</v>
      </c>
      <c r="G6" s="4123"/>
      <c r="H6" s="4170" t="s">
        <v>433</v>
      </c>
      <c r="I6" s="4171" t="s">
        <v>3801</v>
      </c>
      <c r="J6" s="2817">
        <f ca="1">J7-J9</f>
        <v>0</v>
      </c>
      <c r="K6" s="4043" t="s">
        <v>3805</v>
      </c>
      <c r="L6" s="2802" t="s">
        <v>3929</v>
      </c>
      <c r="M6" s="3551">
        <f ca="1">INDIRECT("'数据-取费表'!z"&amp;$G$1)</f>
        <v>0</v>
      </c>
      <c r="N6" s="4123"/>
      <c r="O6" s="4123"/>
      <c r="P6" s="4123"/>
      <c r="Q6" s="4169"/>
      <c r="R6" s="4123"/>
      <c r="S6" s="4123"/>
      <c r="T6" s="4123"/>
      <c r="U6" s="4123"/>
      <c r="V6" s="4123"/>
      <c r="W6" s="4123"/>
      <c r="X6" s="4123"/>
      <c r="Y6" s="4123"/>
      <c r="Z6" s="4123"/>
      <c r="AA6" s="4123"/>
      <c r="AB6" s="4123"/>
      <c r="AC6" s="4123"/>
      <c r="AD6" s="4123"/>
      <c r="AE6" s="4123"/>
      <c r="AF6" s="4123"/>
      <c r="AG6" s="4123"/>
      <c r="AH6" s="4123"/>
      <c r="AI6" s="4123"/>
      <c r="AJ6" s="4123"/>
      <c r="AK6" s="4123"/>
    </row>
    <row r="7" spans="1:37" ht="18" customHeight="1">
      <c r="A7" s="4622" t="s">
        <v>391</v>
      </c>
      <c r="B7" s="4613" t="s">
        <v>3799</v>
      </c>
      <c r="C7" s="4624">
        <f ca="1">ROUND(F6*F7*F8,0)</f>
        <v>35620</v>
      </c>
      <c r="D7" s="4616" t="s">
        <v>3474</v>
      </c>
      <c r="E7" s="736" t="s">
        <v>683</v>
      </c>
      <c r="F7" s="3520">
        <f ca="1">IF(INDIRECT("'数据-取费表'!ah"&amp;$G$1)="",INDIRECT("'数据-取费表'!k"&amp;$G$1),INDIRECT("'数据-取费表'!ah"&amp;$G$1))</f>
        <v>195.18</v>
      </c>
      <c r="G7" s="961"/>
      <c r="H7" s="4622" t="s">
        <v>391</v>
      </c>
      <c r="I7" s="4613" t="s">
        <v>3799</v>
      </c>
      <c r="J7" s="4625">
        <f ca="1">ROUND(M6*M8*M7,0)</f>
        <v>0</v>
      </c>
      <c r="K7" s="4616" t="s">
        <v>3474</v>
      </c>
      <c r="L7" s="186" t="s">
        <v>683</v>
      </c>
      <c r="M7" s="3552">
        <f ca="1">F7</f>
        <v>195.18</v>
      </c>
    </row>
    <row r="8" spans="1:37" ht="18" customHeight="1">
      <c r="A8" s="4623"/>
      <c r="B8" s="4614"/>
      <c r="C8" s="4624"/>
      <c r="D8" s="4616"/>
      <c r="E8" s="186" t="s">
        <v>684</v>
      </c>
      <c r="F8" s="3520">
        <f ca="1">INDIRECT("'数据-取费表'!ai"&amp;$G$1)</f>
        <v>365</v>
      </c>
      <c r="G8" s="961"/>
      <c r="H8" s="4623"/>
      <c r="I8" s="4614"/>
      <c r="J8" s="4625"/>
      <c r="K8" s="4616"/>
      <c r="L8" s="186" t="s">
        <v>684</v>
      </c>
      <c r="M8" s="3552">
        <f ca="1">INDIRECT("'数据-取费表'!ai"&amp;$G$1)</f>
        <v>365</v>
      </c>
    </row>
    <row r="9" spans="1:37" ht="18" customHeight="1">
      <c r="A9" s="2771" t="s">
        <v>3401</v>
      </c>
      <c r="B9" s="3140" t="s">
        <v>3800</v>
      </c>
      <c r="C9" s="3517">
        <f ca="1">ROUND(C7*F9,0)</f>
        <v>3562</v>
      </c>
      <c r="D9" s="2787" t="s">
        <v>3804</v>
      </c>
      <c r="E9" s="186" t="s">
        <v>685</v>
      </c>
      <c r="F9" s="2843">
        <f ca="1">INDIRECT("'数据-取费表'!w"&amp;$G$1)</f>
        <v>0.1</v>
      </c>
      <c r="G9" s="961"/>
      <c r="H9" s="2771" t="s">
        <v>3401</v>
      </c>
      <c r="I9" s="3140" t="s">
        <v>3800</v>
      </c>
      <c r="J9" s="2817">
        <f ca="1">ROUND(J7*M9,0)</f>
        <v>0</v>
      </c>
      <c r="K9" s="2787" t="s">
        <v>3804</v>
      </c>
      <c r="L9" s="197" t="s">
        <v>685</v>
      </c>
      <c r="M9" s="3543">
        <f ca="1">INDIRECT("'数据-取费表'!ab"&amp;$G$1)</f>
        <v>0</v>
      </c>
    </row>
    <row r="10" spans="1:37" ht="18" customHeight="1">
      <c r="A10" s="729" t="s">
        <v>396</v>
      </c>
      <c r="B10" s="943" t="s">
        <v>686</v>
      </c>
      <c r="C10" s="2817">
        <f ca="1">ROUND(IF(F10="押一",C6/12*F11,IF(F10="押二",C6/12*2*F11,IF(F10="押三",C6/12*3*F11,C11*F11))),0)</f>
        <v>40</v>
      </c>
      <c r="D10" s="59" t="s">
        <v>2025</v>
      </c>
      <c r="E10" s="197" t="s">
        <v>687</v>
      </c>
      <c r="F10" s="771" t="s">
        <v>4153</v>
      </c>
      <c r="G10" s="961"/>
      <c r="H10" s="729" t="s">
        <v>396</v>
      </c>
      <c r="I10" s="943" t="s">
        <v>686</v>
      </c>
      <c r="J10" s="3965">
        <f ca="1">ROUND(IF(M10="押一",J6/12*M11,IF(M10="押二",J6/12*2*M11,IF(M10="押三",J6/12*3*M11,J11*M11))),0)</f>
        <v>0</v>
      </c>
      <c r="K10" s="59" t="s">
        <v>2025</v>
      </c>
      <c r="L10" s="197" t="s">
        <v>687</v>
      </c>
      <c r="M10" s="3544"/>
    </row>
    <row r="11" spans="1:37" ht="18" customHeight="1">
      <c r="A11" s="192"/>
      <c r="B11" s="944" t="s">
        <v>666</v>
      </c>
      <c r="C11" s="3531"/>
      <c r="D11" s="945"/>
      <c r="E11" s="197" t="s">
        <v>688</v>
      </c>
      <c r="F11" s="2906">
        <f ca="1">'数据-取费表'!B40</f>
        <v>1.4999999999999999E-2</v>
      </c>
      <c r="G11" s="961"/>
      <c r="H11" s="737"/>
      <c r="I11" s="944" t="s">
        <v>666</v>
      </c>
      <c r="J11" s="3530"/>
      <c r="K11" s="464"/>
      <c r="L11" s="197" t="s">
        <v>688</v>
      </c>
      <c r="M11" s="3543">
        <f ca="1">'数据-取费表'!B40</f>
        <v>1.4999999999999999E-2</v>
      </c>
    </row>
    <row r="12" spans="1:37" ht="18" customHeight="1" thickBot="1">
      <c r="A12" s="742" t="s">
        <v>431</v>
      </c>
      <c r="B12" s="946" t="s">
        <v>689</v>
      </c>
      <c r="C12" s="2819"/>
      <c r="D12" s="744"/>
      <c r="E12" s="749"/>
      <c r="F12" s="745"/>
      <c r="G12" s="961"/>
      <c r="H12" s="742" t="s">
        <v>431</v>
      </c>
      <c r="I12" s="946" t="s">
        <v>689</v>
      </c>
      <c r="J12" s="2819"/>
      <c r="K12" s="757"/>
      <c r="L12" s="749"/>
      <c r="M12" s="3545"/>
    </row>
    <row r="13" spans="1:37" s="118" customFormat="1" ht="18" customHeight="1" thickTop="1">
      <c r="A13" s="738" t="s">
        <v>3682</v>
      </c>
      <c r="B13" s="739" t="s">
        <v>3930</v>
      </c>
      <c r="C13" s="3968">
        <f ca="1">ROUND(C14+C22+C24+C26,0)</f>
        <v>8746</v>
      </c>
      <c r="D13" s="4127" t="s">
        <v>3931</v>
      </c>
      <c r="E13" s="4128"/>
      <c r="F13" s="4126"/>
      <c r="G13" s="4123"/>
      <c r="H13" s="738" t="s">
        <v>3682</v>
      </c>
      <c r="I13" s="739" t="s">
        <v>3930</v>
      </c>
      <c r="J13" s="3968">
        <f ca="1">ROUND(J14+J22+J24+J26,0)</f>
        <v>13458</v>
      </c>
      <c r="K13" s="4129" t="s">
        <v>3932</v>
      </c>
      <c r="L13" s="4192"/>
      <c r="M13" s="4130"/>
      <c r="N13" s="4123"/>
      <c r="O13" s="4123"/>
      <c r="P13" s="4123"/>
      <c r="Q13" s="4169"/>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3981</v>
      </c>
      <c r="C14" s="2774">
        <f ca="1">ROUND(IF(AND(项目基本情况!B11="自然人",项目基本情况!B10="北京市",M56="住宅"),C6*F14,C15+C19+C20),2)</f>
        <v>4827</v>
      </c>
      <c r="D14" s="926" t="s">
        <v>3446</v>
      </c>
      <c r="E14" s="925" t="str">
        <f>IF(M56="非住宅","","综合税率")</f>
        <v/>
      </c>
      <c r="F14" s="3951" t="str">
        <f>IF(M56="非住宅","",IF(F6*F7*F8/12/(1+'数据-取费表'!F30)&gt;100000,4%,2.5%))</f>
        <v/>
      </c>
      <c r="G14" s="961"/>
      <c r="H14" s="676" t="s">
        <v>392</v>
      </c>
      <c r="I14" s="2785" t="s">
        <v>3986</v>
      </c>
      <c r="J14" s="2774">
        <f ca="1">ROUND(IF(AND(项目基本情况!B11="自然人",项目基本情况!B10="北京市",M56="住宅"),J6*M14/(1+'数据-取费表'!C43),J15+J19+J20),0)</f>
        <v>10994</v>
      </c>
      <c r="K14" s="2814" t="s">
        <v>3445</v>
      </c>
      <c r="L14" s="925" t="str">
        <f>E14</f>
        <v/>
      </c>
      <c r="M14" s="3951" t="str">
        <f>IF(M56="非住宅","",IF(M6*M7*M8/12/(1+'数据-取费表'!F30)&gt;100000,4%,2.5%))</f>
        <v/>
      </c>
    </row>
    <row r="15" spans="1:37" s="972" customFormat="1" ht="18" customHeight="1">
      <c r="A15" s="2771" t="s">
        <v>391</v>
      </c>
      <c r="B15" s="2785" t="s">
        <v>3978</v>
      </c>
      <c r="C15" s="2774">
        <f ca="1">C18</f>
        <v>309</v>
      </c>
      <c r="D15" s="4620" t="s">
        <v>3977</v>
      </c>
      <c r="E15" s="4621"/>
      <c r="F15" s="4621"/>
      <c r="G15" s="971"/>
      <c r="H15" s="2771" t="s">
        <v>391</v>
      </c>
      <c r="I15" s="2785" t="s">
        <v>3978</v>
      </c>
      <c r="J15" s="2774">
        <f ca="1">J18</f>
        <v>-27</v>
      </c>
      <c r="K15" s="4620" t="s">
        <v>3977</v>
      </c>
      <c r="L15" s="4621"/>
      <c r="M15" s="4621"/>
      <c r="N15" s="971"/>
      <c r="O15" s="971"/>
      <c r="P15" s="971"/>
      <c r="Q15" s="3536"/>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21">
        <f ca="1">ROUND(C6*F16,0)</f>
        <v>2885</v>
      </c>
      <c r="D16" s="1020" t="s">
        <v>3865</v>
      </c>
      <c r="E16" s="2795" t="s">
        <v>3406</v>
      </c>
      <c r="F16" s="2841">
        <v>0.09</v>
      </c>
      <c r="G16" s="961"/>
      <c r="H16" s="2570" t="s">
        <v>3285</v>
      </c>
      <c r="I16" s="2789" t="s">
        <v>3404</v>
      </c>
      <c r="J16" s="2721">
        <f ca="1">ROUND(J6*M16,0)</f>
        <v>0</v>
      </c>
      <c r="K16" s="4101" t="s">
        <v>3866</v>
      </c>
      <c r="L16" s="2795" t="s">
        <v>3406</v>
      </c>
      <c r="M16" s="3546">
        <v>0.09</v>
      </c>
    </row>
    <row r="17" spans="1:37" s="972" customFormat="1" ht="18" customHeight="1">
      <c r="A17" s="2570" t="s">
        <v>3286</v>
      </c>
      <c r="B17" s="2789" t="s">
        <v>3405</v>
      </c>
      <c r="C17" s="3129">
        <f ca="1">ROUND(C22*F16+((C24+C26)*F17),0)</f>
        <v>309</v>
      </c>
      <c r="D17" s="4101" t="s">
        <v>3868</v>
      </c>
      <c r="E17" s="2796"/>
      <c r="F17" s="2841">
        <v>0.06</v>
      </c>
      <c r="G17" s="971"/>
      <c r="H17" s="2570" t="s">
        <v>3286</v>
      </c>
      <c r="I17" s="2789" t="s">
        <v>3405</v>
      </c>
      <c r="J17" s="3129">
        <f ca="1">ROUND(J22*M16+((J24+J26)*M17),0)</f>
        <v>222</v>
      </c>
      <c r="K17" s="4103" t="s">
        <v>3867</v>
      </c>
      <c r="L17" s="2796"/>
      <c r="M17" s="3546">
        <v>0.06</v>
      </c>
      <c r="N17" s="971"/>
      <c r="O17" s="971"/>
      <c r="P17" s="971"/>
      <c r="Q17" s="3536"/>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3975</v>
      </c>
      <c r="B18" s="2789" t="s">
        <v>3973</v>
      </c>
      <c r="C18" s="3129">
        <f ca="1">ROUND((C16-C17)*F18,0)</f>
        <v>309</v>
      </c>
      <c r="D18" s="2814" t="s">
        <v>3974</v>
      </c>
      <c r="E18" s="186" t="s">
        <v>3439</v>
      </c>
      <c r="F18" s="2841">
        <f>'数据-取费表'!B44</f>
        <v>0.12000000000000001</v>
      </c>
      <c r="G18" s="971"/>
      <c r="H18" s="2570" t="s">
        <v>3975</v>
      </c>
      <c r="I18" s="2789" t="s">
        <v>3973</v>
      </c>
      <c r="J18" s="3129">
        <f ca="1">ROUND((J16-J17)*M18,0)</f>
        <v>-27</v>
      </c>
      <c r="K18" s="2814" t="s">
        <v>3974</v>
      </c>
      <c r="L18" s="186" t="s">
        <v>3439</v>
      </c>
      <c r="M18" s="3546">
        <f>'数据-取费表'!B44</f>
        <v>0.12000000000000001</v>
      </c>
      <c r="N18" s="971"/>
      <c r="O18" s="971"/>
      <c r="P18" s="971"/>
      <c r="Q18" s="3536"/>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3979</v>
      </c>
      <c r="C19" s="2774">
        <f ca="1">IF(AND(项目基本情况!B11="自然人",M56="住宅"),"——",IF(D19="按不含税租金收入（有效毛租金收入）计税",ROUND(C6*F19,0),IF(D19="按房产原值计税",ROUND(C51*F19*0.7,0),INDIRECT("'数据-取费表'!Aj"&amp;$G$1))))</f>
        <v>3847</v>
      </c>
      <c r="D19" s="2788" t="s">
        <v>4154</v>
      </c>
      <c r="E19" s="186" t="s">
        <v>698</v>
      </c>
      <c r="F19" s="2841">
        <f>IF(D19="按票据","——",IF(D19="按不含税租金收入（有效毛租金收入）计税",'数据-取费表'!B52,'数据-取费表'!B51))</f>
        <v>0.12</v>
      </c>
      <c r="G19" s="971"/>
      <c r="H19" s="2771" t="s">
        <v>393</v>
      </c>
      <c r="I19" s="2785" t="s">
        <v>3984</v>
      </c>
      <c r="J19" s="2774">
        <f ca="1">IF(K19="按不含税租金收入（有效毛租金收入）计税",ROUND(J6*M19,0),ROUND(C51*M19*0.7,0))</f>
        <v>10350</v>
      </c>
      <c r="K19" s="947"/>
      <c r="L19" s="186" t="s">
        <v>698</v>
      </c>
      <c r="M19" s="3546">
        <f>IF(K19="按不含税租金收入（有效毛租金收入）计税",'数据-取费表'!B52,'数据-取费表'!B51)</f>
        <v>1.2E-2</v>
      </c>
      <c r="N19" s="971"/>
      <c r="O19" s="971"/>
      <c r="P19" s="971"/>
      <c r="Q19" s="3536"/>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4046" t="s">
        <v>3980</v>
      </c>
      <c r="C20" s="3130">
        <f ca="1">IF(AND(项目基本情况!B11="自然人",M56="住宅"),"——",ROUND(F20*F21,0))</f>
        <v>671</v>
      </c>
      <c r="D20" s="207" t="s">
        <v>717</v>
      </c>
      <c r="E20" s="186" t="s">
        <v>718</v>
      </c>
      <c r="F20" s="3528">
        <f>'数据-取费表'!B53</f>
        <v>12</v>
      </c>
      <c r="G20" s="961"/>
      <c r="H20" s="3966" t="s">
        <v>667</v>
      </c>
      <c r="I20" s="4046" t="s">
        <v>3980</v>
      </c>
      <c r="J20" s="3130">
        <f ca="1">ROUND(M20*M21,0)</f>
        <v>671</v>
      </c>
      <c r="K20" s="207" t="s">
        <v>717</v>
      </c>
      <c r="L20" s="186" t="s">
        <v>718</v>
      </c>
      <c r="M20" s="3550">
        <f>'数据-取费表'!B53</f>
        <v>12</v>
      </c>
    </row>
    <row r="21" spans="1:37" s="972" customFormat="1" ht="18" customHeight="1">
      <c r="A21" s="209"/>
      <c r="B21" s="760"/>
      <c r="C21" s="3131"/>
      <c r="D21" s="210"/>
      <c r="E21" s="186" t="s">
        <v>722</v>
      </c>
      <c r="F21" s="3133">
        <f ca="1">INDIRECT("'数据-取费表'!r"&amp;$G$1)</f>
        <v>55.92</v>
      </c>
      <c r="G21" s="971"/>
      <c r="H21" s="209"/>
      <c r="I21" s="195"/>
      <c r="J21" s="3131"/>
      <c r="K21" s="210"/>
      <c r="L21" s="186" t="s">
        <v>722</v>
      </c>
      <c r="M21" s="3551">
        <f ca="1">INDIRECT("'数据-取费表'!r"&amp;$G$1)</f>
        <v>55.92</v>
      </c>
      <c r="N21" s="971"/>
      <c r="O21" s="971"/>
      <c r="P21" s="971"/>
      <c r="Q21" s="3536"/>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99">
        <f ca="1">ROUND(C51*F22,0)</f>
        <v>2464</v>
      </c>
      <c r="D22" s="1809" t="s">
        <v>725</v>
      </c>
      <c r="E22" s="186" t="s">
        <v>698</v>
      </c>
      <c r="F22" s="2843">
        <f ca="1">INDIRECT("'数据-取费表'!Ak"&amp;$G$1)</f>
        <v>2E-3</v>
      </c>
      <c r="G22" s="971"/>
      <c r="H22" s="3979" t="s">
        <v>396</v>
      </c>
      <c r="I22" s="56" t="s">
        <v>724</v>
      </c>
      <c r="J22" s="3999">
        <f ca="1">ROUND(J35*M22,0)</f>
        <v>2464</v>
      </c>
      <c r="K22" s="1809" t="s">
        <v>725</v>
      </c>
      <c r="L22" s="186" t="s">
        <v>698</v>
      </c>
      <c r="M22" s="4022">
        <f ca="1">INDIRECT("'数据-取费表'!Ak"&amp;$G$1)</f>
        <v>2E-3</v>
      </c>
      <c r="N22" s="971"/>
      <c r="O22" s="971"/>
      <c r="P22" s="971"/>
      <c r="Q22" s="3536"/>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4000"/>
      <c r="D23" s="4047"/>
      <c r="E23" s="2785" t="s">
        <v>3826</v>
      </c>
      <c r="F23" s="3520">
        <f ca="1">C51</f>
        <v>1232120</v>
      </c>
      <c r="G23" s="971"/>
      <c r="H23" s="209"/>
      <c r="I23" s="195"/>
      <c r="J23" s="4000"/>
      <c r="K23" s="4047"/>
      <c r="L23" s="2785" t="s">
        <v>3826</v>
      </c>
      <c r="M23" s="3552">
        <f ca="1">J35</f>
        <v>1232120</v>
      </c>
      <c r="N23" s="971"/>
      <c r="O23" s="971"/>
      <c r="P23" s="971"/>
      <c r="Q23" s="3536"/>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99">
        <f ca="1">ROUND(C53*F24,0)</f>
        <v>1134</v>
      </c>
      <c r="D24" s="1809" t="s">
        <v>3443</v>
      </c>
      <c r="E24" s="186" t="s">
        <v>698</v>
      </c>
      <c r="F24" s="2843">
        <f ca="1">INDIRECT("'数据-取费表'!Al"&amp;$G$1)</f>
        <v>1E-3</v>
      </c>
      <c r="G24" s="961"/>
      <c r="H24" s="3979" t="s">
        <v>431</v>
      </c>
      <c r="I24" s="56" t="s">
        <v>728</v>
      </c>
      <c r="J24" s="3999">
        <f ca="1">ROUND(J37*M24,0)</f>
        <v>0</v>
      </c>
      <c r="K24" s="1809" t="s">
        <v>729</v>
      </c>
      <c r="L24" s="186" t="s">
        <v>698</v>
      </c>
      <c r="M24" s="4022">
        <f ca="1">INDIRECT("'数据-取费表'!Al"&amp;$G$1)</f>
        <v>1E-3</v>
      </c>
    </row>
    <row r="25" spans="1:37" ht="18" customHeight="1">
      <c r="A25" s="209"/>
      <c r="B25" s="195"/>
      <c r="C25" s="4000"/>
      <c r="D25" s="4047"/>
      <c r="E25" s="4046" t="s">
        <v>3827</v>
      </c>
      <c r="F25" s="3520">
        <f ca="1">C53</f>
        <v>1133550</v>
      </c>
      <c r="G25" s="961"/>
      <c r="H25" s="209"/>
      <c r="I25" s="195"/>
      <c r="J25" s="4000"/>
      <c r="K25" s="4047"/>
      <c r="L25" s="4046" t="s">
        <v>3827</v>
      </c>
      <c r="M25" s="3552">
        <f ca="1">J37</f>
        <v>0</v>
      </c>
    </row>
    <row r="26" spans="1:37" s="972" customFormat="1" ht="18" customHeight="1" thickBot="1">
      <c r="A26" s="748" t="s">
        <v>670</v>
      </c>
      <c r="B26" s="749" t="s">
        <v>714</v>
      </c>
      <c r="C26" s="3132">
        <f ca="1">ROUND(C5*F26,0)</f>
        <v>321</v>
      </c>
      <c r="D26" s="751" t="s">
        <v>3872</v>
      </c>
      <c r="E26" s="749" t="s">
        <v>698</v>
      </c>
      <c r="F26" s="2907">
        <f ca="1">INDIRECT("'数据-取费表'!Am"&amp;$G$1)</f>
        <v>0.01</v>
      </c>
      <c r="G26" s="971"/>
      <c r="H26" s="748" t="s">
        <v>670</v>
      </c>
      <c r="I26" s="749" t="s">
        <v>714</v>
      </c>
      <c r="J26" s="3132">
        <f ca="1">ROUND(J5*M26,0)</f>
        <v>0</v>
      </c>
      <c r="K26" s="751" t="s">
        <v>3872</v>
      </c>
      <c r="L26" s="749" t="s">
        <v>698</v>
      </c>
      <c r="M26" s="3547">
        <f ca="1">INDIRECT("'数据-取费表'!Am"&amp;$G$1)</f>
        <v>0.01</v>
      </c>
      <c r="N26" s="971"/>
      <c r="O26" s="971"/>
      <c r="P26" s="971"/>
      <c r="Q26" s="3536"/>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3297</v>
      </c>
      <c r="B27" s="753" t="s">
        <v>3933</v>
      </c>
      <c r="C27" s="3968">
        <f ca="1">C5-C13</f>
        <v>23352</v>
      </c>
      <c r="D27" s="4131" t="s">
        <v>3913</v>
      </c>
      <c r="E27" s="4132"/>
      <c r="F27" s="4133"/>
      <c r="G27" s="498"/>
      <c r="H27" s="738" t="s">
        <v>3297</v>
      </c>
      <c r="I27" s="753" t="s">
        <v>3933</v>
      </c>
      <c r="J27" s="3968">
        <f ca="1">J5-J13</f>
        <v>-13458</v>
      </c>
      <c r="K27" s="4131" t="s">
        <v>3913</v>
      </c>
      <c r="L27" s="4193"/>
      <c r="M27" s="4134"/>
      <c r="N27" s="498"/>
      <c r="O27" s="498"/>
      <c r="P27" s="498"/>
      <c r="Q27" s="417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3684</v>
      </c>
      <c r="B28" s="184" t="s">
        <v>3897</v>
      </c>
      <c r="C28" s="3965">
        <f ca="1">ROUND(C27*(1-((1+F30)/(1+F28))^F29)/(F28-F30),0)</f>
        <v>412212</v>
      </c>
      <c r="D28" s="4135" t="s">
        <v>3934</v>
      </c>
      <c r="E28" s="2799" t="s">
        <v>3899</v>
      </c>
      <c r="F28" s="2843">
        <f ca="1">INDIRECT("'数据-取费表'!I"&amp;$G$1)</f>
        <v>5.5E-2</v>
      </c>
      <c r="G28" s="4123"/>
      <c r="H28" s="183" t="s">
        <v>3684</v>
      </c>
      <c r="I28" s="4033" t="s">
        <v>3818</v>
      </c>
      <c r="J28" s="4049">
        <f ca="1">IF(J5&lt;&gt;0,ROUND(J27*(1-((1+M30)/(1+M28))^M29)/(M28-M30),0),0)</f>
        <v>0</v>
      </c>
      <c r="K28" s="4135" t="s">
        <v>3934</v>
      </c>
      <c r="L28" s="4136" t="s">
        <v>3899</v>
      </c>
      <c r="M28" s="3543">
        <f ca="1">INDIRECT("'数据-取费表'!I"&amp;$G$1)</f>
        <v>5.5E-2</v>
      </c>
      <c r="N28" s="4123"/>
      <c r="O28" s="4123"/>
      <c r="P28" s="4123"/>
      <c r="Q28" s="4169"/>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18.75" customHeight="1">
      <c r="A29" s="188"/>
      <c r="B29" s="189"/>
      <c r="C29" s="4050"/>
      <c r="D29" s="4137"/>
      <c r="E29" s="2799" t="s">
        <v>3902</v>
      </c>
      <c r="F29" s="2844">
        <f ca="1">IF(INDIRECT("'数据-取费表'!af"&amp;$G$1)=0,INDIRECT("'数据-取费表'!ae"&amp;$G$1),INDIRECT("'数据-取费表'!af"&amp;$G$1))</f>
        <v>28.51</v>
      </c>
      <c r="G29" s="4123"/>
      <c r="H29" s="188"/>
      <c r="I29" s="189"/>
      <c r="J29" s="4050"/>
      <c r="K29" s="4137"/>
      <c r="L29" s="2799" t="s">
        <v>3902</v>
      </c>
      <c r="M29" s="3548">
        <f ca="1">INDIRECT("'数据-取费表'!ag"&amp;$G$1)</f>
        <v>0</v>
      </c>
      <c r="N29" s="4123"/>
      <c r="O29" s="4123"/>
      <c r="P29" s="4123"/>
      <c r="Q29" s="4169"/>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0.02</v>
      </c>
      <c r="G30" s="4123"/>
      <c r="H30" s="192"/>
      <c r="I30" s="193"/>
      <c r="J30" s="4051"/>
      <c r="K30" s="753"/>
      <c r="L30" s="2799" t="s">
        <v>3904</v>
      </c>
      <c r="M30" s="3549">
        <f ca="1">INDIRECT("'数据-取费表'!aa"&amp;$G$1)</f>
        <v>0</v>
      </c>
      <c r="N30" s="4123"/>
      <c r="O30" s="4123"/>
      <c r="P30" s="4123"/>
      <c r="Q30" s="4169"/>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3685</v>
      </c>
      <c r="B31" s="3949" t="s">
        <v>3905</v>
      </c>
      <c r="C31" s="3952">
        <f ca="1">ROUND(C28*(1+F31),0)</f>
        <v>449311</v>
      </c>
      <c r="D31" s="4138" t="s">
        <v>3688</v>
      </c>
      <c r="E31" s="4139" t="str">
        <f>IF(D31="其他类型公式—收益价值×（1+9%）","销项税率","征收率")</f>
        <v>销项税率</v>
      </c>
      <c r="F31" s="4173">
        <f>IF(D31="其他类型公式—收益价值×（1+9%）",9%,3%)</f>
        <v>0.09</v>
      </c>
      <c r="G31" s="498"/>
      <c r="H31" s="199" t="s">
        <v>3685</v>
      </c>
      <c r="I31" s="2799" t="s">
        <v>3906</v>
      </c>
      <c r="J31" s="2817">
        <f ca="1">ROUND(J28/(1+F28)^F29,0)</f>
        <v>0</v>
      </c>
      <c r="K31" s="2755" t="s">
        <v>3935</v>
      </c>
      <c r="L31" s="2799"/>
      <c r="M31" s="3548">
        <f ca="1">INDIRECT("'数据-取费表'!k"&amp;$G$1)</f>
        <v>195.18</v>
      </c>
      <c r="N31" s="498"/>
      <c r="O31" s="498"/>
      <c r="P31" s="498"/>
      <c r="Q31" s="417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ROUND(C31/F32,0)</f>
        <v>2302</v>
      </c>
      <c r="D32" s="4140" t="s">
        <v>3907</v>
      </c>
      <c r="E32" s="217" t="s">
        <v>3908</v>
      </c>
      <c r="F32" s="2845">
        <f ca="1">INDIRECT("'数据-取费表'!k"&amp;$G$1)</f>
        <v>195.18</v>
      </c>
      <c r="G32" s="498"/>
      <c r="H32" s="3945" t="s">
        <v>3687</v>
      </c>
      <c r="I32" s="3946" t="s">
        <v>3909</v>
      </c>
      <c r="J32" s="3954">
        <f ca="1">ROUND(J31*(1+F31),0)</f>
        <v>0</v>
      </c>
      <c r="K32" s="4141" t="str">
        <f>D31</f>
        <v>其他类型公式—收益价值×（1+9%）</v>
      </c>
      <c r="L32" s="4142"/>
      <c r="M32" s="4174"/>
      <c r="N32" s="498"/>
      <c r="O32" s="498"/>
      <c r="P32" s="498"/>
      <c r="Q32" s="417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0.27247803601470499</v>
      </c>
      <c r="G33" s="961"/>
    </row>
    <row r="34" spans="1:37" s="118" customFormat="1" ht="18" customHeight="1" thickBot="1">
      <c r="A34" s="4116" t="s">
        <v>3936</v>
      </c>
      <c r="B34" s="4117" t="s">
        <v>3937</v>
      </c>
      <c r="C34" s="4118" t="s">
        <v>3824</v>
      </c>
      <c r="D34" s="4117" t="s">
        <v>3938</v>
      </c>
      <c r="E34" s="4119" t="s">
        <v>3939</v>
      </c>
      <c r="F34" s="4120"/>
      <c r="G34" s="4123"/>
      <c r="H34" s="4116" t="s">
        <v>3936</v>
      </c>
      <c r="I34" s="4117" t="s">
        <v>3937</v>
      </c>
      <c r="J34" s="4118" t="s">
        <v>3824</v>
      </c>
      <c r="K34" s="4117" t="s">
        <v>3938</v>
      </c>
      <c r="L34" s="4119" t="s">
        <v>3939</v>
      </c>
      <c r="M34" s="4120"/>
      <c r="N34" s="4123"/>
      <c r="O34" s="4123"/>
      <c r="P34" s="4123"/>
      <c r="Q34" s="4169"/>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2797" t="s">
        <v>3407</v>
      </c>
      <c r="B35" s="2798" t="s">
        <v>3408</v>
      </c>
      <c r="C35" s="3522">
        <f ca="1">SUM(C36:C41)</f>
        <v>1093008</v>
      </c>
      <c r="D35" s="2810" t="s">
        <v>3415</v>
      </c>
      <c r="E35" s="2806"/>
      <c r="F35" s="2807"/>
      <c r="G35" s="961"/>
      <c r="H35" s="2820" t="s">
        <v>3407</v>
      </c>
      <c r="I35" s="2823" t="s">
        <v>3448</v>
      </c>
      <c r="J35" s="2824">
        <f ca="1">C51</f>
        <v>1232120</v>
      </c>
      <c r="K35" s="3306" t="s">
        <v>3444</v>
      </c>
      <c r="L35" s="2825"/>
      <c r="M35" s="3139"/>
    </row>
    <row r="36" spans="1:37" ht="18" customHeight="1">
      <c r="A36" s="2771" t="s">
        <v>391</v>
      </c>
      <c r="B36" s="2736" t="s">
        <v>693</v>
      </c>
      <c r="C36" s="2676">
        <f ca="1">ROUND(INDIRECT("'数据-取费表'!l"&amp;$G$1)*F32+'数据-取费表'!L14*INDIRECT("'数据-取费表'!S"&amp;$G$1),0)</f>
        <v>975900</v>
      </c>
      <c r="D36" s="925" t="s">
        <v>694</v>
      </c>
      <c r="E36" s="925"/>
      <c r="F36" s="215"/>
      <c r="G36" s="961"/>
      <c r="H36" s="2821" t="s">
        <v>396</v>
      </c>
      <c r="I36" s="2826" t="s">
        <v>3435</v>
      </c>
      <c r="J36" s="2721">
        <f ca="1">ROUND(J35*(1-M36),0)</f>
        <v>1232120</v>
      </c>
      <c r="K36" s="186" t="s">
        <v>3438</v>
      </c>
      <c r="L36" s="2787" t="s">
        <v>3451</v>
      </c>
      <c r="M36" s="2843">
        <f ca="1">INDIRECT("'数据-取费表'!ad"&amp;$G$1)</f>
        <v>0</v>
      </c>
    </row>
    <row r="37" spans="1:37" ht="18" customHeight="1" thickBot="1">
      <c r="A37" s="2771" t="s">
        <v>3401</v>
      </c>
      <c r="B37" s="2736" t="s">
        <v>696</v>
      </c>
      <c r="C37" s="2774">
        <f ca="1">ROUND(C36*F37,0)</f>
        <v>48795</v>
      </c>
      <c r="D37" s="186" t="s">
        <v>697</v>
      </c>
      <c r="E37" s="186" t="s">
        <v>698</v>
      </c>
      <c r="F37" s="2841">
        <f>'数据-取费表'!B33</f>
        <v>0.05</v>
      </c>
      <c r="G37" s="961"/>
      <c r="H37" s="2822" t="s">
        <v>3426</v>
      </c>
      <c r="I37" s="2827" t="s">
        <v>3437</v>
      </c>
      <c r="J37" s="2828">
        <f ca="1">J35-J36</f>
        <v>0</v>
      </c>
      <c r="K37" s="2808" t="s">
        <v>3475</v>
      </c>
      <c r="L37" s="219"/>
      <c r="M37" s="2829"/>
    </row>
    <row r="38" spans="1:37" ht="18" customHeight="1">
      <c r="A38" s="2771" t="s">
        <v>667</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3411</v>
      </c>
      <c r="B39" s="2736" t="s">
        <v>702</v>
      </c>
      <c r="C39" s="2774">
        <f ca="1">ROUND(F39*(F32+INDIRECT("'数据-取费表'!S"&amp;$G$1)),0)</f>
        <v>58554</v>
      </c>
      <c r="D39" s="186" t="s">
        <v>703</v>
      </c>
      <c r="E39" s="186" t="s">
        <v>3879</v>
      </c>
      <c r="F39" s="3532">
        <f>'数据-取费表'!B35</f>
        <v>300</v>
      </c>
      <c r="G39" s="961"/>
    </row>
    <row r="40" spans="1:37" ht="18" customHeight="1">
      <c r="A40" s="2771" t="s">
        <v>669</v>
      </c>
      <c r="B40" s="2789" t="s">
        <v>3289</v>
      </c>
      <c r="C40" s="2774">
        <f ca="1">ROUND(C36*F40,0)</f>
        <v>9759</v>
      </c>
      <c r="D40" s="186" t="s">
        <v>697</v>
      </c>
      <c r="E40" s="186" t="s">
        <v>698</v>
      </c>
      <c r="F40" s="2841">
        <f>'数据-取费表'!B36</f>
        <v>0.01</v>
      </c>
      <c r="G40" s="961"/>
      <c r="H40" s="47"/>
      <c r="I40" s="47"/>
      <c r="J40" s="47"/>
      <c r="K40" s="1894"/>
      <c r="L40" s="47"/>
      <c r="M40" s="47"/>
    </row>
    <row r="41" spans="1:37" ht="18" customHeight="1">
      <c r="A41" s="2771" t="s">
        <v>669</v>
      </c>
      <c r="B41" s="2789" t="s">
        <v>3290</v>
      </c>
      <c r="C41" s="2774">
        <f ca="1">ROUND(C36*F41,0)</f>
        <v>0</v>
      </c>
      <c r="D41" s="186" t="s">
        <v>697</v>
      </c>
      <c r="E41" s="186" t="s">
        <v>698</v>
      </c>
      <c r="F41" s="2841">
        <f>'数据-取费表'!B37</f>
        <v>0</v>
      </c>
      <c r="G41" s="961"/>
      <c r="H41" s="47"/>
      <c r="I41" s="47"/>
      <c r="J41" s="47"/>
      <c r="K41" s="1894"/>
      <c r="L41" s="47"/>
      <c r="M41" s="47"/>
    </row>
    <row r="42" spans="1:37" ht="18" customHeight="1">
      <c r="A42" s="199" t="s">
        <v>3422</v>
      </c>
      <c r="B42" s="2799" t="s">
        <v>3423</v>
      </c>
      <c r="C42" s="2817">
        <f ca="1">ROUND(C35*F42,0)</f>
        <v>21860</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3428</v>
      </c>
      <c r="E43" s="2799" t="s">
        <v>3429</v>
      </c>
      <c r="F43" s="2843">
        <f>'数据-取费表'!B39</f>
        <v>0.02</v>
      </c>
      <c r="G43" s="961"/>
      <c r="H43" s="47"/>
      <c r="I43" s="47"/>
      <c r="J43" s="47"/>
      <c r="K43" s="1894"/>
      <c r="L43" s="47"/>
      <c r="M43" s="47"/>
    </row>
    <row r="44" spans="1:37" ht="18" customHeight="1">
      <c r="A44" s="199" t="s">
        <v>3430</v>
      </c>
      <c r="B44" s="2802" t="s">
        <v>3367</v>
      </c>
      <c r="C44" s="3523" t="str">
        <f ca="1">C45&amp;"+"&amp;C46&amp;"V建"</f>
        <v>34895+0.0006V建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34895</v>
      </c>
      <c r="D45" s="55" t="str">
        <f>IF(F45&lt;=1,"(建造成本+管理费用)×利率×(建设周期÷2)","(建造成本+管理费用)×((1+利率)^(建设周期÷2)-1)")</f>
        <v>(建造成本+管理费用)×((1+利率)^(建设周期÷2)-1)</v>
      </c>
      <c r="E45" s="186" t="s">
        <v>727</v>
      </c>
      <c r="F45" s="3528">
        <f>'数据-取费表'!B20</f>
        <v>2</v>
      </c>
      <c r="G45" s="961"/>
      <c r="H45" s="47"/>
      <c r="I45" s="47"/>
      <c r="J45" s="47"/>
      <c r="K45" s="1894"/>
      <c r="L45" s="47"/>
      <c r="M45" s="47"/>
    </row>
    <row r="46" spans="1:37" ht="18" customHeight="1">
      <c r="A46" s="2771" t="s">
        <v>731</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3308</v>
      </c>
      <c r="C47" s="3523" t="str">
        <f ca="1">C48&amp;"+"&amp;C49&amp;"V建"</f>
        <v>55743+0.001V建</v>
      </c>
      <c r="D47" s="2755" t="s">
        <v>3432</v>
      </c>
      <c r="E47" s="200"/>
      <c r="F47" s="2842"/>
      <c r="G47" s="961"/>
      <c r="H47" s="47"/>
      <c r="I47" s="47"/>
      <c r="J47" s="47"/>
      <c r="K47" s="1894"/>
      <c r="L47" s="47"/>
      <c r="M47" s="47"/>
    </row>
    <row r="48" spans="1:37" ht="18" customHeight="1">
      <c r="A48" s="2771" t="s">
        <v>391</v>
      </c>
      <c r="B48" s="186" t="s">
        <v>740</v>
      </c>
      <c r="C48" s="2774">
        <f ca="1">ROUND((C35+C42)*F48,0)</f>
        <v>55743</v>
      </c>
      <c r="D48" s="206" t="s">
        <v>741</v>
      </c>
      <c r="E48" s="186" t="s">
        <v>742</v>
      </c>
      <c r="F48" s="2843">
        <f ca="1">INDIRECT("'数据-取费表'!q"&amp;$G$1)</f>
        <v>0.05</v>
      </c>
      <c r="G48" s="961"/>
      <c r="H48" s="47"/>
      <c r="I48" s="47"/>
      <c r="J48" s="47"/>
      <c r="K48" s="1894"/>
      <c r="L48" s="47"/>
      <c r="M48" s="47"/>
    </row>
    <row r="49" spans="1:37" ht="18" customHeight="1">
      <c r="A49" s="2771" t="s">
        <v>393</v>
      </c>
      <c r="B49" s="186" t="s">
        <v>746</v>
      </c>
      <c r="C49" s="3521">
        <f ca="1">ROUND(F43*F48,4)</f>
        <v>1E-3</v>
      </c>
      <c r="D49" s="206" t="s">
        <v>747</v>
      </c>
      <c r="E49" s="186"/>
      <c r="F49" s="2841"/>
      <c r="G49" s="961"/>
      <c r="H49" s="47"/>
      <c r="I49" s="47"/>
      <c r="J49" s="47"/>
      <c r="K49" s="1894"/>
      <c r="L49" s="47"/>
      <c r="M49" s="47"/>
    </row>
    <row r="50" spans="1:37" s="118" customFormat="1" ht="18" customHeight="1">
      <c r="A50" s="199" t="s">
        <v>3941</v>
      </c>
      <c r="B50" s="2799" t="s">
        <v>3419</v>
      </c>
      <c r="C50" s="2817">
        <f>ROUND(F50/(1+'数据-取费表'!C43),4)</f>
        <v>0</v>
      </c>
      <c r="D50" s="4104" t="s">
        <v>3878</v>
      </c>
      <c r="E50" s="2799"/>
      <c r="F50" s="2843"/>
      <c r="G50" s="4123"/>
      <c r="H50" s="4175"/>
      <c r="I50" s="4175"/>
      <c r="J50" s="4175"/>
      <c r="K50" s="4176"/>
      <c r="L50" s="4175"/>
      <c r="M50" s="4175"/>
      <c r="N50" s="4123"/>
      <c r="O50" s="4123"/>
      <c r="P50" s="4123"/>
      <c r="Q50" s="4169"/>
      <c r="R50" s="4123"/>
      <c r="S50" s="4123"/>
      <c r="T50" s="4123"/>
      <c r="U50" s="4123"/>
      <c r="V50" s="4123"/>
      <c r="W50" s="4123"/>
      <c r="X50" s="4123"/>
      <c r="Y50" s="4123"/>
      <c r="Z50" s="4123"/>
      <c r="AA50" s="4123"/>
      <c r="AB50" s="4123"/>
      <c r="AC50" s="4123"/>
      <c r="AD50" s="4123"/>
      <c r="AE50" s="4123"/>
      <c r="AF50" s="4123"/>
      <c r="AG50" s="4123"/>
      <c r="AH50" s="4123"/>
      <c r="AI50" s="4123"/>
      <c r="AJ50" s="4123"/>
      <c r="AK50" s="4123"/>
    </row>
    <row r="51" spans="1:37" s="4123" customFormat="1" ht="18" customHeight="1">
      <c r="A51" s="199" t="s">
        <v>3942</v>
      </c>
      <c r="B51" s="2799" t="s">
        <v>3943</v>
      </c>
      <c r="C51" s="2817">
        <f ca="1">ROUND((C35+C42+C45+C48)/(1-F43-C46-C49-C50),0)</f>
        <v>1232120</v>
      </c>
      <c r="D51" s="2813" t="s">
        <v>3444</v>
      </c>
      <c r="E51" s="2799"/>
      <c r="F51" s="2843"/>
      <c r="K51" s="4177"/>
      <c r="Q51" s="4169"/>
    </row>
    <row r="52" spans="1:37" s="4123" customFormat="1" ht="18" customHeight="1">
      <c r="A52" s="2803" t="s">
        <v>3433</v>
      </c>
      <c r="B52" s="2802" t="s">
        <v>3435</v>
      </c>
      <c r="C52" s="2817">
        <f ca="1">ROUND(C51*(1-F52),0)</f>
        <v>98570</v>
      </c>
      <c r="D52" s="2799" t="s">
        <v>3944</v>
      </c>
      <c r="E52" s="2799" t="s">
        <v>3945</v>
      </c>
      <c r="F52" s="2843">
        <f ca="1">INDIRECT("'数据-取费表'!y"&amp;$G$1)</f>
        <v>0.92</v>
      </c>
      <c r="K52" s="4177"/>
      <c r="Q52" s="4169"/>
    </row>
    <row r="53" spans="1:37" s="4123" customFormat="1" ht="18" customHeight="1" thickBot="1">
      <c r="A53" s="2804" t="s">
        <v>3940</v>
      </c>
      <c r="B53" s="2812" t="s">
        <v>3442</v>
      </c>
      <c r="C53" s="2828">
        <f ca="1">C51-C52</f>
        <v>1133550</v>
      </c>
      <c r="D53" s="2808" t="s">
        <v>3946</v>
      </c>
      <c r="E53" s="217"/>
      <c r="F53" s="2809"/>
      <c r="K53" s="4177"/>
      <c r="Q53" s="4169"/>
    </row>
    <row r="54" spans="1:37" s="961" customFormat="1" ht="18" customHeight="1" thickBot="1">
      <c r="A54" s="975"/>
      <c r="B54" s="975"/>
      <c r="C54" s="976"/>
      <c r="D54" s="975"/>
      <c r="E54" s="975"/>
      <c r="F54" s="975"/>
      <c r="I54" s="2830" t="s">
        <v>3452</v>
      </c>
      <c r="J54" s="494"/>
      <c r="O54" s="1998" t="s">
        <v>794</v>
      </c>
      <c r="P54" s="1034"/>
      <c r="Q54" s="3537"/>
      <c r="R54" s="1034"/>
    </row>
    <row r="55" spans="1:37" s="961" customFormat="1" ht="13.5" thickBot="1">
      <c r="A55" s="2538" t="s">
        <v>3976</v>
      </c>
      <c r="C55" s="2834">
        <f ca="1">IF(D2="含税",C83-C31,C80-C28)</f>
        <v>-514987</v>
      </c>
      <c r="D55" s="981" t="str">
        <f>C2</f>
        <v>万元</v>
      </c>
      <c r="E55" s="975"/>
      <c r="F55" s="975"/>
      <c r="I55" s="982" t="s">
        <v>796</v>
      </c>
      <c r="J55" s="983"/>
      <c r="K55" s="984"/>
      <c r="L55" s="4018">
        <f ca="1">IF(M56="住宅",0,IF(L57&gt;J60,L69,J69))</f>
        <v>69282</v>
      </c>
      <c r="O55" s="4159" t="s">
        <v>1327</v>
      </c>
      <c r="P55" s="4160" t="s">
        <v>3914</v>
      </c>
      <c r="Q55" s="4183" t="s">
        <v>3915</v>
      </c>
      <c r="R55" s="4161" t="s">
        <v>3916</v>
      </c>
    </row>
    <row r="56" spans="1:37" s="961" customFormat="1" ht="13.5" thickBot="1">
      <c r="A56" s="4144" t="s">
        <v>3885</v>
      </c>
      <c r="B56" s="4145" t="s">
        <v>3886</v>
      </c>
      <c r="C56" s="4118" t="s">
        <v>3964</v>
      </c>
      <c r="D56" s="4145" t="s">
        <v>3887</v>
      </c>
      <c r="E56" s="4146" t="s">
        <v>3888</v>
      </c>
      <c r="F56" s="4178"/>
      <c r="G56" s="490"/>
      <c r="I56" s="989" t="s">
        <v>801</v>
      </c>
      <c r="J56" s="990" t="s">
        <v>4155</v>
      </c>
      <c r="K56" s="991" t="s">
        <v>802</v>
      </c>
      <c r="L56" s="4019">
        <f ca="1">INDIRECT("'数据-取费表'!d"&amp;$G$1)</f>
        <v>50</v>
      </c>
      <c r="M56" s="957" t="str">
        <f>IF(ISNUMBER(FIND("住宅",C1)),"住宅","非住宅")</f>
        <v>非住宅</v>
      </c>
      <c r="O56" s="4162" t="s">
        <v>397</v>
      </c>
      <c r="P56" s="4166" t="s">
        <v>3957</v>
      </c>
      <c r="Q56" s="4167">
        <f ca="1">C28+J31</f>
        <v>412212</v>
      </c>
      <c r="R56" s="4164" t="s">
        <v>3918</v>
      </c>
    </row>
    <row r="57" spans="1:37" s="961" customFormat="1" ht="42.75" thickBot="1">
      <c r="A57" s="670" t="s">
        <v>432</v>
      </c>
      <c r="B57" s="184" t="s">
        <v>3910</v>
      </c>
      <c r="C57" s="4147">
        <f ca="1">C58+C62+C64</f>
        <v>0</v>
      </c>
      <c r="D57" s="4124" t="s">
        <v>3947</v>
      </c>
      <c r="E57" s="4148"/>
      <c r="F57" s="4179"/>
      <c r="G57" s="490"/>
      <c r="H57" s="491"/>
      <c r="I57" s="996" t="s">
        <v>805</v>
      </c>
      <c r="J57" s="997" t="s">
        <v>4156</v>
      </c>
      <c r="K57" s="998" t="s">
        <v>806</v>
      </c>
      <c r="L57" s="4008">
        <f ca="1">INDIRECT("'数据-取费表'!f"&amp;$G$1)</f>
        <v>28.51</v>
      </c>
      <c r="O57" s="4162" t="s">
        <v>398</v>
      </c>
      <c r="P57" s="4163" t="s">
        <v>3919</v>
      </c>
      <c r="Q57" s="4167">
        <f ca="1">J69</f>
        <v>69282</v>
      </c>
      <c r="R57" s="4164" t="s">
        <v>3920</v>
      </c>
    </row>
    <row r="58" spans="1:37" s="961" customFormat="1" ht="15" customHeight="1" thickBot="1">
      <c r="A58" s="3984" t="s">
        <v>3814</v>
      </c>
      <c r="B58" s="2786" t="s">
        <v>3801</v>
      </c>
      <c r="C58" s="2831">
        <f ca="1">C59-C61</f>
        <v>0</v>
      </c>
      <c r="D58" s="2787" t="s">
        <v>3805</v>
      </c>
      <c r="E58" s="2811" t="s">
        <v>3441</v>
      </c>
      <c r="F58" s="2835"/>
      <c r="H58" s="491"/>
      <c r="I58" s="996" t="s">
        <v>809</v>
      </c>
      <c r="J58" s="4006">
        <v>2021</v>
      </c>
      <c r="K58" s="998" t="s">
        <v>810</v>
      </c>
      <c r="L58" s="4020"/>
      <c r="O58" s="1002" t="s">
        <v>399</v>
      </c>
      <c r="P58" s="4185" t="s">
        <v>3958</v>
      </c>
      <c r="Q58" s="3538">
        <f ca="1">C51</f>
        <v>1232120</v>
      </c>
      <c r="R58" s="995" t="s">
        <v>804</v>
      </c>
    </row>
    <row r="59" spans="1:37" s="961" customFormat="1" ht="15" customHeight="1" thickBot="1">
      <c r="A59" s="3970" t="s">
        <v>3802</v>
      </c>
      <c r="B59" s="4613" t="s">
        <v>3799</v>
      </c>
      <c r="C59" s="3965">
        <f ca="1">ROUND(F58*F60*F59,0)</f>
        <v>0</v>
      </c>
      <c r="D59" s="4616" t="s">
        <v>3474</v>
      </c>
      <c r="E59" s="716" t="s">
        <v>683</v>
      </c>
      <c r="F59" s="2836">
        <f ca="1">F7</f>
        <v>195.18</v>
      </c>
      <c r="H59" s="491"/>
      <c r="I59" s="996" t="s">
        <v>812</v>
      </c>
      <c r="J59" s="4024">
        <f>SUMPRODUCT((I72:I74=J56)*(J71:L71=J57)*(J72:L74))</f>
        <v>60</v>
      </c>
      <c r="K59" s="998" t="s">
        <v>813</v>
      </c>
      <c r="L59" s="4020"/>
      <c r="M59" s="1004"/>
      <c r="O59" s="1002" t="s">
        <v>400</v>
      </c>
      <c r="P59" s="994" t="s">
        <v>814</v>
      </c>
      <c r="Q59" s="3539">
        <f ca="1">J67</f>
        <v>0.442</v>
      </c>
      <c r="R59" s="995"/>
    </row>
    <row r="60" spans="1:37" s="961" customFormat="1" ht="15" customHeight="1" thickBot="1">
      <c r="A60" s="3971"/>
      <c r="B60" s="4614"/>
      <c r="C60" s="3972"/>
      <c r="D60" s="4616"/>
      <c r="E60" s="675" t="s">
        <v>684</v>
      </c>
      <c r="F60" s="2837">
        <f ca="1">F8</f>
        <v>365</v>
      </c>
      <c r="I60" s="1006" t="s">
        <v>815</v>
      </c>
      <c r="J60" s="4008">
        <f>IF(J58="",J59,J58+J59-YEAR('数据-取费表'!B2))</f>
        <v>55</v>
      </c>
      <c r="K60" s="1007" t="s">
        <v>816</v>
      </c>
      <c r="L60" s="3996">
        <f ca="1">ROUND(-PV(INDIRECT("'数据-取费表'!h"&amp;$G$1),J60,(C27-C52*C88),0),0)</f>
        <v>306560</v>
      </c>
      <c r="M60" s="1009"/>
      <c r="O60" s="1002" t="s">
        <v>401</v>
      </c>
      <c r="P60" s="994" t="s">
        <v>817</v>
      </c>
      <c r="Q60" s="3539">
        <f>J61</f>
        <v>7.4999999999999997E-2</v>
      </c>
      <c r="R60" s="995"/>
    </row>
    <row r="61" spans="1:37" s="961" customFormat="1" ht="15" customHeight="1" thickBot="1">
      <c r="A61" s="3969" t="s">
        <v>3803</v>
      </c>
      <c r="B61" s="3140" t="s">
        <v>3800</v>
      </c>
      <c r="C61" s="2832">
        <f ca="1">ROUND(C59*F61,0)</f>
        <v>0</v>
      </c>
      <c r="D61" s="2787" t="s">
        <v>3804</v>
      </c>
      <c r="E61" s="675" t="s">
        <v>685</v>
      </c>
      <c r="F61" s="2838"/>
      <c r="I61" s="1010" t="s">
        <v>818</v>
      </c>
      <c r="J61" s="4009">
        <v>7.4999999999999997E-2</v>
      </c>
      <c r="K61" s="1010" t="s">
        <v>819</v>
      </c>
      <c r="L61" s="4023"/>
      <c r="O61" s="1002" t="s">
        <v>402</v>
      </c>
      <c r="P61" s="994" t="s">
        <v>820</v>
      </c>
      <c r="Q61" s="3538">
        <f ca="1">J62</f>
        <v>28.51</v>
      </c>
      <c r="R61" s="995" t="s">
        <v>821</v>
      </c>
    </row>
    <row r="62" spans="1:37" s="961" customFormat="1" ht="24.75" thickBot="1">
      <c r="A62" s="3994" t="s">
        <v>3449</v>
      </c>
      <c r="B62" s="950" t="s">
        <v>686</v>
      </c>
      <c r="C62" s="2817">
        <f ca="1">ROUND(IF(F62="押一",C58/12*F11,IF(F62="押二",C58/12*2*F11,IF(F62="押三",C58/12*3*F11,C63*F11))),0)</f>
        <v>0</v>
      </c>
      <c r="D62" s="59" t="s">
        <v>2025</v>
      </c>
      <c r="E62" s="197" t="s">
        <v>687</v>
      </c>
      <c r="F62" s="2839"/>
      <c r="I62" s="1012" t="s">
        <v>822</v>
      </c>
      <c r="J62" s="4010">
        <f ca="1">IF(M56="住宅",IF(D1="——",MAX(J60,L57),MAX(J60,L57-'数据-取费表'!B24)),IF(D1="——",MIN(J60,L57),MIN(J60,L57-'数据-取费表'!B24)))</f>
        <v>28.51</v>
      </c>
      <c r="K62" s="4611" t="s">
        <v>823</v>
      </c>
      <c r="L62" s="4612"/>
      <c r="O62" s="4162" t="s">
        <v>403</v>
      </c>
      <c r="P62" s="4166" t="s">
        <v>3959</v>
      </c>
      <c r="Q62" s="4167">
        <f ca="1">ROUND((Q56+Q57)*(1+F31),0)</f>
        <v>524828</v>
      </c>
      <c r="R62" s="4164" t="s">
        <v>3961</v>
      </c>
    </row>
    <row r="63" spans="1:37" s="961" customFormat="1" ht="13.5" thickBot="1">
      <c r="A63" s="786"/>
      <c r="B63" s="944" t="s">
        <v>666</v>
      </c>
      <c r="C63" s="353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15"/>
      <c r="K63" s="1015"/>
      <c r="L63" s="1015"/>
      <c r="O63" s="978" t="s">
        <v>825</v>
      </c>
      <c r="P63" s="958"/>
      <c r="Q63" s="3540"/>
      <c r="R63" s="958"/>
    </row>
    <row r="64" spans="1:37" s="961" customFormat="1" ht="13.5" thickBot="1">
      <c r="A64" s="742" t="s">
        <v>431</v>
      </c>
      <c r="B64" s="946" t="s">
        <v>689</v>
      </c>
      <c r="C64" s="2818"/>
      <c r="D64" s="59"/>
      <c r="E64" s="951"/>
      <c r="F64" s="1013"/>
      <c r="I64" s="1016" t="s">
        <v>826</v>
      </c>
      <c r="J64" s="1017">
        <f ca="1">ROUND(IF(J56="钢混",J66/J59,1-(1-2%)*(J59-J66)/J59),3)</f>
        <v>0.442</v>
      </c>
      <c r="K64" s="1018" t="s">
        <v>827</v>
      </c>
      <c r="L64" s="1019"/>
      <c r="O64" s="4159" t="s">
        <v>1327</v>
      </c>
      <c r="P64" s="4160" t="s">
        <v>3914</v>
      </c>
      <c r="Q64" s="4183" t="s">
        <v>3915</v>
      </c>
      <c r="R64" s="4161" t="s">
        <v>3916</v>
      </c>
    </row>
    <row r="65" spans="1:18" s="961" customFormat="1" ht="25.5" thickTop="1" thickBot="1">
      <c r="A65" s="199" t="s">
        <v>3948</v>
      </c>
      <c r="B65" s="652" t="s">
        <v>3930</v>
      </c>
      <c r="C65" s="2817">
        <f ca="1">ROUND(C66+C74+C76+C78,0)</f>
        <v>4234</v>
      </c>
      <c r="D65" s="4149" t="s">
        <v>3949</v>
      </c>
      <c r="E65" s="4180"/>
      <c r="F65" s="656"/>
      <c r="I65" s="1022" t="s">
        <v>828</v>
      </c>
      <c r="J65" s="1023" t="s">
        <v>4157</v>
      </c>
      <c r="K65" s="996" t="s">
        <v>829</v>
      </c>
      <c r="L65" s="4008" t="str">
        <f ca="1">IF(L57&lt;J60,"——",L57-J62)</f>
        <v>——</v>
      </c>
      <c r="O65" s="4162" t="s">
        <v>397</v>
      </c>
      <c r="P65" s="4166" t="s">
        <v>3957</v>
      </c>
      <c r="Q65" s="4167">
        <f ca="1">C28+J31</f>
        <v>412212</v>
      </c>
      <c r="R65" s="4164" t="s">
        <v>3918</v>
      </c>
    </row>
    <row r="66" spans="1:18" s="961" customFormat="1" ht="24.75" thickBot="1">
      <c r="A66" s="537" t="s">
        <v>392</v>
      </c>
      <c r="B66" s="2766" t="s">
        <v>3986</v>
      </c>
      <c r="C66" s="2774">
        <f ca="1">ROUND(IF(AND(项目基本情况!B11="自然人",项目基本情况!B10="北京市",M56="住宅"),C58*F66,C67+C71+C72),0)</f>
        <v>636</v>
      </c>
      <c r="D66" s="657" t="s">
        <v>3446</v>
      </c>
      <c r="E66" s="658" t="str">
        <f>E14</f>
        <v/>
      </c>
      <c r="F66" s="3951" t="str">
        <f>IF(M56="非住宅","",IF(F58*F59*F60/12/(1+'数据-取费表'!F30)&gt;100000,4%,2.5%))</f>
        <v/>
      </c>
      <c r="I66" s="1028" t="s">
        <v>830</v>
      </c>
      <c r="J66" s="4014">
        <f ca="1">IF(OR(M56="住宅",J60&lt;L57,J65="是"),"——",J60-L57)</f>
        <v>26.49</v>
      </c>
      <c r="K66" s="996" t="s">
        <v>831</v>
      </c>
      <c r="L66" s="4021" t="str">
        <f ca="1">IF(L57&lt;J60,"——",IF(L64="比较法",L58,IF(L64="基准地价",L59,L60)))</f>
        <v>——</v>
      </c>
      <c r="O66" s="4162" t="s">
        <v>398</v>
      </c>
      <c r="P66" s="4163" t="s">
        <v>3921</v>
      </c>
      <c r="Q66" s="4167">
        <f ca="1">L69</f>
        <v>0</v>
      </c>
      <c r="R66" s="4164" t="s">
        <v>3922</v>
      </c>
    </row>
    <row r="67" spans="1:18" s="961" customFormat="1" ht="24.75" thickBot="1">
      <c r="A67" s="2771" t="s">
        <v>391</v>
      </c>
      <c r="B67" s="2785" t="s">
        <v>3978</v>
      </c>
      <c r="C67" s="2774">
        <f ca="1">C70</f>
        <v>-35</v>
      </c>
      <c r="D67" s="4620" t="s">
        <v>3977</v>
      </c>
      <c r="E67" s="4621"/>
      <c r="F67" s="4621"/>
      <c r="I67" s="1028" t="s">
        <v>833</v>
      </c>
      <c r="J67" s="4015">
        <f ca="1">IF(J64&lt;0.4,0.4,J64)</f>
        <v>0.442</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75" thickBot="1">
      <c r="A68" s="2570" t="s">
        <v>3285</v>
      </c>
      <c r="B68" s="2789" t="s">
        <v>3404</v>
      </c>
      <c r="C68" s="2774">
        <f ca="1">ROUND(C58*F68,0)</f>
        <v>0</v>
      </c>
      <c r="D68" s="1020" t="s">
        <v>3874</v>
      </c>
      <c r="E68" s="2795" t="s">
        <v>3406</v>
      </c>
      <c r="F68" s="2841">
        <f>F16</f>
        <v>0.09</v>
      </c>
      <c r="I68" s="1028" t="s">
        <v>836</v>
      </c>
      <c r="J68" s="4016">
        <f ca="1">IF(OR(M56="住宅",J60&lt;L57,J65="是"),"——",ROUND(C51*J67,0))</f>
        <v>544597</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5" thickBot="1">
      <c r="A69" s="2570" t="s">
        <v>3286</v>
      </c>
      <c r="B69" s="2789" t="s">
        <v>3405</v>
      </c>
      <c r="C69" s="2774">
        <f ca="1">ROUND(C74*F68+((C76+C78)*F69),0)</f>
        <v>290</v>
      </c>
      <c r="D69" s="4101" t="s">
        <v>3868</v>
      </c>
      <c r="E69" s="2796"/>
      <c r="F69" s="2841">
        <f>F17</f>
        <v>0.06</v>
      </c>
      <c r="I69" s="1031" t="s">
        <v>838</v>
      </c>
      <c r="J69" s="4017">
        <f ca="1">IF(OR(M56="住宅",J60&lt;L57,J65="是"),"0",ROUND(J68/(1+J61)^J62,0))</f>
        <v>69282</v>
      </c>
      <c r="K69" s="1033" t="s">
        <v>839</v>
      </c>
      <c r="L69" s="4017">
        <f ca="1">IF(OR(M56="住宅",L57&lt;J60),0,ROUND(L66*(L67/L68-1),0))</f>
        <v>0</v>
      </c>
      <c r="O69" s="1002" t="s">
        <v>401</v>
      </c>
      <c r="P69" s="994" t="s">
        <v>840</v>
      </c>
      <c r="Q69" s="3541" t="e">
        <f ca="1">L67</f>
        <v>#DIV/0!</v>
      </c>
      <c r="R69" s="995" t="s">
        <v>841</v>
      </c>
    </row>
    <row r="70" spans="1:18" s="961" customFormat="1" ht="13.5" thickBot="1">
      <c r="A70" s="2570" t="s">
        <v>3975</v>
      </c>
      <c r="B70" s="2789" t="s">
        <v>3973</v>
      </c>
      <c r="C70" s="2774">
        <f ca="1">ROUND((C68-C69)*F70,0)</f>
        <v>-35</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13.5" thickBot="1">
      <c r="A71" s="2771" t="s">
        <v>767</v>
      </c>
      <c r="B71" s="2766" t="s">
        <v>3984</v>
      </c>
      <c r="C71" s="2774">
        <f ca="1">IF(项目基本情况!B11="自然人","——",IF(D71="按不含税租金收入（有效毛租金收入）计税",ROUND(C58*F71/(1+'数据-取费表'!C43),0),IF(D71="按房产原值计税",ROUND(F74*F71*0.7,0),INDIRECT("'数据-取费表'!Aj"&amp;$G$1))))</f>
        <v>0</v>
      </c>
      <c r="D71" s="947"/>
      <c r="E71" s="644" t="s">
        <v>698</v>
      </c>
      <c r="F71" s="2841">
        <f t="shared" ref="F71:F73" si="0">F19</f>
        <v>0.12</v>
      </c>
      <c r="I71" s="1035" t="s">
        <v>843</v>
      </c>
      <c r="J71" s="1036" t="s">
        <v>844</v>
      </c>
      <c r="K71" s="1036" t="s">
        <v>845</v>
      </c>
      <c r="L71" s="1036" t="s">
        <v>846</v>
      </c>
      <c r="M71" s="1037" t="s">
        <v>847</v>
      </c>
      <c r="O71" s="4162" t="s">
        <v>403</v>
      </c>
      <c r="P71" s="4166" t="s">
        <v>3960</v>
      </c>
      <c r="Q71" s="4167">
        <f ca="1">ROUND((Q65+Q66)*(1+F31),0)</f>
        <v>449311</v>
      </c>
      <c r="R71" s="4164" t="s">
        <v>3961</v>
      </c>
    </row>
    <row r="72" spans="1:18" s="961" customFormat="1" ht="13.5" thickBot="1">
      <c r="A72" s="3966" t="s">
        <v>770</v>
      </c>
      <c r="B72" s="4212" t="s">
        <v>3980</v>
      </c>
      <c r="C72" s="3130">
        <f ca="1">IF(项目基本情况!B11="自然人","——",ROUND(F72*F73,0))</f>
        <v>671</v>
      </c>
      <c r="D72" s="659" t="s">
        <v>772</v>
      </c>
      <c r="E72" s="644" t="s">
        <v>718</v>
      </c>
      <c r="F72" s="3528">
        <f t="shared" si="0"/>
        <v>12</v>
      </c>
      <c r="I72" s="3533" t="s">
        <v>849</v>
      </c>
      <c r="J72" s="223">
        <v>70</v>
      </c>
      <c r="K72" s="223">
        <v>50</v>
      </c>
      <c r="L72" s="223">
        <v>80</v>
      </c>
      <c r="M72" s="1038">
        <v>0.02</v>
      </c>
      <c r="O72" s="978" t="s">
        <v>850</v>
      </c>
      <c r="P72" s="958"/>
      <c r="Q72" s="3540"/>
      <c r="R72" s="958"/>
    </row>
    <row r="73" spans="1:18" s="961" customFormat="1" ht="13.5" thickBot="1">
      <c r="A73" s="3967"/>
      <c r="B73" s="650"/>
      <c r="C73" s="3131"/>
      <c r="D73" s="660"/>
      <c r="E73" s="644" t="s">
        <v>722</v>
      </c>
      <c r="F73" s="3133">
        <f t="shared" ca="1" si="0"/>
        <v>55.92</v>
      </c>
      <c r="I73" s="3533" t="s">
        <v>851</v>
      </c>
      <c r="J73" s="223">
        <v>50</v>
      </c>
      <c r="K73" s="223">
        <v>35</v>
      </c>
      <c r="L73" s="223">
        <v>60</v>
      </c>
      <c r="M73" s="1037">
        <v>0</v>
      </c>
      <c r="O73" s="4159" t="s">
        <v>1327</v>
      </c>
      <c r="P73" s="4160" t="s">
        <v>3914</v>
      </c>
      <c r="Q73" s="4183" t="s">
        <v>3915</v>
      </c>
      <c r="R73" s="4161" t="s">
        <v>3916</v>
      </c>
    </row>
    <row r="74" spans="1:18" s="961" customFormat="1" ht="13.5" thickBot="1">
      <c r="A74" s="3988" t="s">
        <v>775</v>
      </c>
      <c r="B74" s="643" t="s">
        <v>776</v>
      </c>
      <c r="C74" s="3999">
        <f ca="1">ROUND(F74*F75,0)</f>
        <v>2464</v>
      </c>
      <c r="D74" s="3982" t="s">
        <v>725</v>
      </c>
      <c r="E74" s="2766" t="s">
        <v>3813</v>
      </c>
      <c r="F74" s="2833">
        <f ca="1">C51</f>
        <v>1232120</v>
      </c>
      <c r="I74" s="3533" t="s">
        <v>852</v>
      </c>
      <c r="J74" s="223">
        <v>40</v>
      </c>
      <c r="K74" s="223">
        <v>30</v>
      </c>
      <c r="L74" s="223">
        <v>50</v>
      </c>
      <c r="M74" s="1038">
        <v>0.02</v>
      </c>
      <c r="O74" s="4162" t="s">
        <v>397</v>
      </c>
      <c r="P74" s="4163" t="s">
        <v>3917</v>
      </c>
      <c r="Q74" s="4165">
        <f ca="1">C28+J31</f>
        <v>412212</v>
      </c>
      <c r="R74" s="4164" t="s">
        <v>3918</v>
      </c>
    </row>
    <row r="75" spans="1:18" s="961" customFormat="1" ht="15" thickBot="1">
      <c r="A75" s="3990"/>
      <c r="B75" s="650"/>
      <c r="C75" s="4000"/>
      <c r="D75" s="3983"/>
      <c r="E75" s="644" t="s">
        <v>698</v>
      </c>
      <c r="F75" s="2843">
        <f ca="1">F22</f>
        <v>2E-3</v>
      </c>
      <c r="O75" s="4162" t="s">
        <v>398</v>
      </c>
      <c r="P75" s="4163" t="s">
        <v>3921</v>
      </c>
      <c r="Q75" s="4184">
        <f ca="1">L69</f>
        <v>0</v>
      </c>
      <c r="R75" s="4164" t="s">
        <v>3923</v>
      </c>
    </row>
    <row r="76" spans="1:18" s="961" customFormat="1" ht="13.5" thickBot="1">
      <c r="A76" s="3988" t="s">
        <v>778</v>
      </c>
      <c r="B76" s="643" t="s">
        <v>728</v>
      </c>
      <c r="C76" s="3999">
        <f ca="1">ROUND(F76*F77,0)</f>
        <v>1134</v>
      </c>
      <c r="D76" s="3982" t="s">
        <v>3443</v>
      </c>
      <c r="E76" s="2766" t="s">
        <v>3442</v>
      </c>
      <c r="F76" s="2586">
        <f ca="1">C53</f>
        <v>1133550</v>
      </c>
      <c r="O76" s="993"/>
      <c r="P76" s="994"/>
      <c r="Q76" s="3541"/>
      <c r="R76" s="995"/>
    </row>
    <row r="77" spans="1:18" s="961" customFormat="1" ht="16.5" thickBot="1">
      <c r="A77" s="3990"/>
      <c r="B77" s="650"/>
      <c r="C77" s="4000"/>
      <c r="D77" s="3983"/>
      <c r="E77" s="644" t="s">
        <v>698</v>
      </c>
      <c r="F77" s="2843">
        <f ca="1">F24</f>
        <v>1E-3</v>
      </c>
      <c r="O77" s="1002" t="s">
        <v>399</v>
      </c>
      <c r="P77" s="994" t="s">
        <v>835</v>
      </c>
      <c r="Q77" s="3542">
        <f ca="1">L60</f>
        <v>306560</v>
      </c>
      <c r="R77" s="995" t="s">
        <v>855</v>
      </c>
    </row>
    <row r="78" spans="1:18" s="4123" customFormat="1" ht="13.5" thickBot="1">
      <c r="A78" s="537" t="s">
        <v>779</v>
      </c>
      <c r="B78" s="644" t="s">
        <v>714</v>
      </c>
      <c r="C78" s="2774">
        <f ca="1">ROUND(C57*F78,0)</f>
        <v>0</v>
      </c>
      <c r="D78" s="658" t="s">
        <v>3872</v>
      </c>
      <c r="E78" s="644" t="s">
        <v>698</v>
      </c>
      <c r="F78" s="2843">
        <f ca="1">F26</f>
        <v>0.01</v>
      </c>
      <c r="G78" s="961"/>
      <c r="H78" s="961"/>
      <c r="O78" s="1002"/>
      <c r="P78" s="994"/>
      <c r="Q78" s="3542"/>
      <c r="R78" s="995"/>
    </row>
    <row r="79" spans="1:18" s="4123" customFormat="1" ht="16.5" thickBot="1">
      <c r="A79" s="651" t="s">
        <v>3950</v>
      </c>
      <c r="B79" s="661" t="s">
        <v>3895</v>
      </c>
      <c r="C79" s="2817">
        <f ca="1">C57-C65</f>
        <v>-4234</v>
      </c>
      <c r="D79" s="4150" t="s">
        <v>3896</v>
      </c>
      <c r="E79" s="4151"/>
      <c r="F79" s="4152"/>
      <c r="O79" s="1002" t="s">
        <v>400</v>
      </c>
      <c r="P79" s="1040" t="s">
        <v>3951</v>
      </c>
      <c r="Q79" s="3542">
        <f ca="1">ROUND(Q80-Q81*Q82,0)</f>
        <v>16452</v>
      </c>
      <c r="R79" s="995" t="s">
        <v>408</v>
      </c>
    </row>
    <row r="80" spans="1:18" s="4123" customFormat="1" ht="13.5" thickBot="1">
      <c r="A80" s="3307" t="s">
        <v>388</v>
      </c>
      <c r="B80" s="642" t="s">
        <v>3897</v>
      </c>
      <c r="C80" s="3965">
        <f ca="1">ROUND(C79*(1-((1+F82)/(1+F80))^F81)/(F80-F82),0)</f>
        <v>-60253</v>
      </c>
      <c r="D80" s="4153" t="s">
        <v>3898</v>
      </c>
      <c r="E80" s="652" t="s">
        <v>3899</v>
      </c>
      <c r="F80" s="2843">
        <f ca="1">F28</f>
        <v>5.5E-2</v>
      </c>
      <c r="O80" s="1002" t="s">
        <v>405</v>
      </c>
      <c r="P80" s="1040" t="s">
        <v>3952</v>
      </c>
      <c r="Q80" s="3542">
        <f ca="1">C27</f>
        <v>23352</v>
      </c>
      <c r="R80" s="995" t="s">
        <v>804</v>
      </c>
    </row>
    <row r="81" spans="1:18" s="4123" customFormat="1" ht="13.5" thickBot="1">
      <c r="A81" s="3308"/>
      <c r="B81" s="646"/>
      <c r="C81" s="3517"/>
      <c r="D81" s="4154" t="s">
        <v>3903</v>
      </c>
      <c r="E81" s="652" t="s">
        <v>3902</v>
      </c>
      <c r="F81" s="2844">
        <f ca="1">F29</f>
        <v>28.51</v>
      </c>
      <c r="O81" s="1002" t="s">
        <v>406</v>
      </c>
      <c r="P81" s="1040" t="s">
        <v>3953</v>
      </c>
      <c r="Q81" s="3542">
        <f ca="1">C52</f>
        <v>98570</v>
      </c>
      <c r="R81" s="995" t="s">
        <v>804</v>
      </c>
    </row>
    <row r="82" spans="1:18" s="4123" customFormat="1" ht="13.5" thickBot="1">
      <c r="A82" s="4181"/>
      <c r="B82" s="4182"/>
      <c r="C82" s="4182"/>
      <c r="D82" s="4155"/>
      <c r="E82" s="652" t="s">
        <v>3904</v>
      </c>
      <c r="F82" s="2838"/>
      <c r="O82" s="1002" t="s">
        <v>407</v>
      </c>
      <c r="P82" s="1040" t="s">
        <v>3954</v>
      </c>
      <c r="Q82" s="3539">
        <f ca="1">C88</f>
        <v>7.0000000000000007E-2</v>
      </c>
      <c r="R82" s="995"/>
    </row>
    <row r="83" spans="1:18" s="4123" customFormat="1" ht="13.5" thickBot="1">
      <c r="A83" s="648"/>
      <c r="B83" s="2816" t="s">
        <v>3956</v>
      </c>
      <c r="C83" s="3968">
        <f ca="1">ROUND(C80*(1+F31),0)</f>
        <v>-65676</v>
      </c>
      <c r="D83" s="4156" t="str">
        <f>D31</f>
        <v>其他类型公式—收益价值×（1+9%）</v>
      </c>
      <c r="E83" s="1044"/>
      <c r="F83" s="4157"/>
      <c r="O83" s="1002" t="s">
        <v>401</v>
      </c>
      <c r="P83" s="994" t="s">
        <v>3955</v>
      </c>
      <c r="Q83" s="3539">
        <f>L61</f>
        <v>0</v>
      </c>
      <c r="R83" s="995"/>
    </row>
    <row r="84" spans="1:18" ht="16.5" thickBot="1">
      <c r="A84" s="665" t="s">
        <v>389</v>
      </c>
      <c r="B84" s="666" t="s">
        <v>762</v>
      </c>
      <c r="C84" s="2828">
        <f ca="1">ROUND(C83/F84,0)</f>
        <v>-336</v>
      </c>
      <c r="D84" s="4158" t="s">
        <v>3907</v>
      </c>
      <c r="E84" s="666" t="s">
        <v>3908</v>
      </c>
      <c r="F84" s="2845">
        <f ca="1">F32</f>
        <v>195.18</v>
      </c>
      <c r="G84" s="4123"/>
      <c r="H84" s="4123"/>
      <c r="O84" s="1002" t="s">
        <v>402</v>
      </c>
      <c r="P84" s="994" t="s">
        <v>840</v>
      </c>
      <c r="Q84" s="3541" t="e">
        <f ca="1">L67</f>
        <v>#DIV/0!</v>
      </c>
      <c r="R84" s="995" t="s">
        <v>841</v>
      </c>
    </row>
    <row r="85" spans="1:18" ht="13.5" thickBot="1">
      <c r="A85" s="961"/>
      <c r="B85" s="494"/>
      <c r="C85" s="494"/>
      <c r="D85" s="961"/>
      <c r="E85" s="961"/>
      <c r="F85" s="961"/>
      <c r="O85" s="1002" t="s">
        <v>409</v>
      </c>
      <c r="P85" s="994" t="str">
        <f>K68</f>
        <v>建筑物剩余耐用年限下的土地年期修正系数Kn</v>
      </c>
      <c r="Q85" s="3541" t="e">
        <f ca="1">L68</f>
        <v>#DIV/0!</v>
      </c>
      <c r="R85" s="995" t="s">
        <v>842</v>
      </c>
    </row>
    <row r="86" spans="1:18" ht="13.5" thickBot="1">
      <c r="A86" s="961"/>
      <c r="B86" s="168" t="s">
        <v>860</v>
      </c>
      <c r="C86" s="1042"/>
      <c r="D86" s="961"/>
      <c r="E86" s="961"/>
      <c r="F86" s="961"/>
      <c r="K86" s="977"/>
      <c r="L86" s="961"/>
      <c r="O86" s="4162" t="s">
        <v>403</v>
      </c>
      <c r="P86" s="4166" t="s">
        <v>3960</v>
      </c>
      <c r="Q86" s="4165">
        <f ca="1">ROUND((Q74+Q75)*(1+F31),0)</f>
        <v>449311</v>
      </c>
      <c r="R86" s="4164" t="s">
        <v>3961</v>
      </c>
    </row>
    <row r="87" spans="1:18">
      <c r="A87" s="961"/>
      <c r="B87" s="222" t="s">
        <v>781</v>
      </c>
      <c r="C87" s="2908">
        <f ca="1">ROUND(C53*C88,0)</f>
        <v>79349</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-2.3980000000000001</v>
      </c>
    </row>
    <row r="92" spans="1:18">
      <c r="B92" s="222" t="s">
        <v>786</v>
      </c>
      <c r="C92" s="2909">
        <f ca="1">ROUND(C87/C27,3)</f>
        <v>3.3980000000000001</v>
      </c>
    </row>
    <row r="93" spans="1:18">
      <c r="B93" s="165" t="s">
        <v>787</v>
      </c>
      <c r="C93" s="133"/>
    </row>
    <row r="94" spans="1:18">
      <c r="B94" s="168" t="s">
        <v>788</v>
      </c>
      <c r="C94" s="2910">
        <f ca="1">1-C95</f>
        <v>-1.3540000000000001</v>
      </c>
    </row>
    <row r="95" spans="1:18">
      <c r="B95" s="168" t="s">
        <v>789</v>
      </c>
      <c r="C95" s="2909">
        <f ca="1">ROUND(C53/(C28+J31+L55),3)</f>
        <v>2.3540000000000001</v>
      </c>
    </row>
  </sheetData>
  <sheetProtection password="CEE9" sheet="1" objects="1" scenarios="1"/>
  <mergeCells count="14">
    <mergeCell ref="D67:F67"/>
    <mergeCell ref="K62:L62"/>
    <mergeCell ref="J7:J8"/>
    <mergeCell ref="K7:K8"/>
    <mergeCell ref="I7:I8"/>
    <mergeCell ref="B59:B60"/>
    <mergeCell ref="D59:D60"/>
    <mergeCell ref="D15:F15"/>
    <mergeCell ref="K15:M15"/>
    <mergeCell ref="A7:A8"/>
    <mergeCell ref="B7:B8"/>
    <mergeCell ref="C7:C8"/>
    <mergeCell ref="D7:D8"/>
    <mergeCell ref="H7:H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961" customWidth="1"/>
    <col min="18" max="18" width="20.5" style="961" customWidth="1"/>
    <col min="19" max="19" width="13.25" style="961" customWidth="1"/>
    <col min="20" max="37" width="9" style="961"/>
    <col min="38" max="16384" width="9" style="153"/>
  </cols>
  <sheetData>
    <row r="1" spans="1:37" s="178" customFormat="1" ht="21">
      <c r="A1" s="952" t="s">
        <v>862</v>
      </c>
      <c r="B1" s="481"/>
      <c r="C1" s="956"/>
      <c r="D1" s="940" t="s">
        <v>41</v>
      </c>
      <c r="E1" s="941" t="s">
        <v>665</v>
      </c>
      <c r="F1" s="722">
        <f ca="1">J53</f>
        <v>0</v>
      </c>
      <c r="G1" s="955">
        <f>MATCH(C1,'数据-取费表'!A6:A16,0)+5</f>
        <v>10</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863</v>
      </c>
      <c r="B2" s="2536" t="e">
        <f ca="1">ROUND(D2/10000,4)</f>
        <v>#DIV/0!</v>
      </c>
      <c r="C2" s="958" t="s">
        <v>864</v>
      </c>
      <c r="D2" s="1044" t="e">
        <f ca="1">C40+J29+L46</f>
        <v>#DIV/0!</v>
      </c>
      <c r="E2" s="963" t="s">
        <v>865</v>
      </c>
      <c r="F2" s="964"/>
      <c r="G2" s="1999"/>
      <c r="H2" s="1989"/>
      <c r="I2" s="1989"/>
      <c r="J2" s="1989"/>
      <c r="K2" s="1990"/>
      <c r="L2" s="1989"/>
      <c r="M2" s="1989"/>
    </row>
    <row r="3" spans="1:37" ht="18" customHeight="1" thickBot="1">
      <c r="A3" s="965" t="s">
        <v>866</v>
      </c>
      <c r="B3" s="966">
        <f ca="1">IF(ISERROR(D2/F43),0,ROUND(D2/F43,0))</f>
        <v>0</v>
      </c>
      <c r="C3" s="958" t="s">
        <v>867</v>
      </c>
      <c r="D3" s="958"/>
      <c r="E3" s="963"/>
      <c r="F3" s="964"/>
      <c r="G3" s="1999"/>
      <c r="H3" s="467" t="s">
        <v>861</v>
      </c>
      <c r="I3" s="959"/>
      <c r="J3" s="959"/>
      <c r="K3" s="960"/>
      <c r="L3" s="959"/>
      <c r="M3" s="959"/>
    </row>
    <row r="4" spans="1:37" ht="18" customHeight="1">
      <c r="A4" s="179" t="s">
        <v>868</v>
      </c>
      <c r="B4" s="180" t="s">
        <v>869</v>
      </c>
      <c r="C4" s="180" t="s">
        <v>870</v>
      </c>
      <c r="D4" s="180" t="s">
        <v>871</v>
      </c>
      <c r="E4" s="181" t="s">
        <v>872</v>
      </c>
      <c r="F4" s="182"/>
      <c r="G4" s="961"/>
      <c r="H4" s="179" t="s">
        <v>868</v>
      </c>
      <c r="I4" s="180" t="s">
        <v>869</v>
      </c>
      <c r="J4" s="180" t="s">
        <v>870</v>
      </c>
      <c r="K4" s="180" t="s">
        <v>871</v>
      </c>
      <c r="L4" s="181" t="s">
        <v>872</v>
      </c>
      <c r="M4" s="182"/>
    </row>
    <row r="5" spans="1:37" ht="18" customHeight="1">
      <c r="A5" s="183">
        <v>1</v>
      </c>
      <c r="B5" s="184" t="s">
        <v>873</v>
      </c>
      <c r="C5" s="730">
        <f ca="1">C6+C10+C12</f>
        <v>0</v>
      </c>
      <c r="D5" s="942" t="s">
        <v>874</v>
      </c>
      <c r="E5" s="731"/>
      <c r="F5" s="732"/>
      <c r="G5" s="961"/>
      <c r="H5" s="183">
        <v>1</v>
      </c>
      <c r="I5" s="184" t="s">
        <v>873</v>
      </c>
      <c r="J5" s="730">
        <f ca="1">J6+J10+J12</f>
        <v>0</v>
      </c>
      <c r="K5" s="942" t="s">
        <v>874</v>
      </c>
      <c r="L5" s="731"/>
      <c r="M5" s="732"/>
    </row>
    <row r="6" spans="1:37" ht="18" customHeight="1">
      <c r="A6" s="729" t="s">
        <v>392</v>
      </c>
      <c r="B6" s="4626" t="s">
        <v>680</v>
      </c>
      <c r="C6" s="734">
        <f ca="1">ROUND(F6*F8*F7*(1-F9),0)</f>
        <v>0</v>
      </c>
      <c r="D6" s="56" t="s">
        <v>2018</v>
      </c>
      <c r="E6" s="186" t="s">
        <v>682</v>
      </c>
      <c r="F6" s="187">
        <f ca="1">INDIRECT("'数据-取费表'!u"&amp;$G$1)</f>
        <v>0</v>
      </c>
      <c r="G6" s="961"/>
      <c r="H6" s="729" t="s">
        <v>392</v>
      </c>
      <c r="I6" s="4626" t="s">
        <v>680</v>
      </c>
      <c r="J6" s="185">
        <f ca="1">ROUND(M6*M8*M7*(1-M9),0)</f>
        <v>0</v>
      </c>
      <c r="K6" s="953" t="s">
        <v>2019</v>
      </c>
      <c r="L6" s="186" t="s">
        <v>682</v>
      </c>
      <c r="M6" s="187">
        <f ca="1">INDIRECT("'数据-取费表'!z"&amp;$G$1)</f>
        <v>0</v>
      </c>
    </row>
    <row r="7" spans="1:37" ht="18" customHeight="1">
      <c r="A7" s="733"/>
      <c r="B7" s="4627"/>
      <c r="C7" s="735"/>
      <c r="D7" s="191"/>
      <c r="E7" s="736" t="s">
        <v>683</v>
      </c>
      <c r="F7" s="187">
        <f ca="1">IF(INDIRECT("'数据-取费表'!ah"&amp;$G$1)="",INDIRECT("'数据-取费表'!k"&amp;$G$1),INDIRECT("'数据-取费表'!ah"&amp;$G$1))</f>
        <v>0</v>
      </c>
      <c r="G7" s="961"/>
      <c r="H7" s="188"/>
      <c r="I7" s="4627"/>
      <c r="J7" s="190"/>
      <c r="K7" s="191"/>
      <c r="L7" s="186" t="s">
        <v>683</v>
      </c>
      <c r="M7" s="187">
        <f ca="1">F7</f>
        <v>0</v>
      </c>
    </row>
    <row r="8" spans="1:37" ht="18" customHeight="1">
      <c r="A8" s="188"/>
      <c r="B8" s="4627"/>
      <c r="C8" s="190"/>
      <c r="D8" s="191"/>
      <c r="E8" s="186" t="s">
        <v>684</v>
      </c>
      <c r="F8" s="187">
        <f ca="1">INDIRECT("'数据-取费表'!ai"&amp;$G$1)</f>
        <v>0</v>
      </c>
      <c r="G8" s="961"/>
      <c r="H8" s="188"/>
      <c r="I8" s="4627"/>
      <c r="J8" s="190"/>
      <c r="K8" s="191"/>
      <c r="L8" s="186" t="s">
        <v>684</v>
      </c>
      <c r="M8" s="187">
        <f ca="1">INDIRECT("'数据-取费表'!ai"&amp;$G$1)</f>
        <v>0</v>
      </c>
    </row>
    <row r="9" spans="1:37" ht="18" customHeight="1">
      <c r="A9" s="188"/>
      <c r="B9" s="4628"/>
      <c r="C9" s="190"/>
      <c r="D9" s="191"/>
      <c r="E9" s="186" t="s">
        <v>685</v>
      </c>
      <c r="F9" s="196">
        <f ca="1">INDIRECT("'数据-取费表'!w"&amp;$G$1)</f>
        <v>0</v>
      </c>
      <c r="G9" s="961"/>
      <c r="H9" s="188"/>
      <c r="I9" s="4628"/>
      <c r="J9" s="190"/>
      <c r="K9" s="191"/>
      <c r="L9" s="197" t="s">
        <v>685</v>
      </c>
      <c r="M9" s="198">
        <f ca="1">INDIRECT("'数据-取费表'!ab"&amp;$G$1)</f>
        <v>0</v>
      </c>
    </row>
    <row r="10" spans="1:37" ht="18" customHeight="1">
      <c r="A10" s="729" t="s">
        <v>396</v>
      </c>
      <c r="B10" s="943" t="s">
        <v>686</v>
      </c>
      <c r="C10" s="200">
        <f ca="1">ROUND(IF(F10="押一",C6/12*F11,IF(F10="押二",C6/12*2*F11,IF(F10="押三",C6/12*3*F11,C11*F11))),0)</f>
        <v>0</v>
      </c>
      <c r="D10" s="59" t="s">
        <v>2025</v>
      </c>
      <c r="E10" s="197" t="s">
        <v>687</v>
      </c>
      <c r="F10" s="771"/>
      <c r="G10" s="961"/>
      <c r="H10" s="729" t="s">
        <v>396</v>
      </c>
      <c r="I10" s="943" t="s">
        <v>686</v>
      </c>
      <c r="J10" s="185">
        <f ca="1">ROUND(IF(M10="押一",J6/12*M11,IF(M10="押二",J6/12*2*M11,IF(M10="押三",J6/12*3*M11,J11*M11))),0)</f>
        <v>0</v>
      </c>
      <c r="K10" s="954" t="s">
        <v>2027</v>
      </c>
      <c r="L10" s="197" t="s">
        <v>687</v>
      </c>
      <c r="M10" s="771"/>
    </row>
    <row r="11" spans="1:37" ht="18" customHeight="1">
      <c r="A11" s="192"/>
      <c r="B11" s="944" t="s">
        <v>875</v>
      </c>
      <c r="C11" s="653"/>
      <c r="D11" s="191"/>
      <c r="E11" s="197" t="s">
        <v>688</v>
      </c>
      <c r="F11" s="198">
        <f ca="1">'数据-取费表'!B40</f>
        <v>1.4999999999999999E-2</v>
      </c>
      <c r="G11" s="961"/>
      <c r="H11" s="737"/>
      <c r="I11" s="944" t="s">
        <v>876</v>
      </c>
      <c r="J11" s="653"/>
      <c r="K11" s="464"/>
      <c r="L11" s="197" t="s">
        <v>688</v>
      </c>
      <c r="M11" s="568">
        <f ca="1">'数据-取费表'!B40</f>
        <v>1.4999999999999999E-2</v>
      </c>
    </row>
    <row r="12" spans="1:37" ht="18" customHeight="1" thickBot="1">
      <c r="A12" s="742" t="s">
        <v>431</v>
      </c>
      <c r="B12" s="946" t="s">
        <v>689</v>
      </c>
      <c r="C12" s="743"/>
      <c r="D12" s="744"/>
      <c r="E12" s="749"/>
      <c r="F12" s="745"/>
      <c r="G12" s="961"/>
      <c r="H12" s="742" t="s">
        <v>431</v>
      </c>
      <c r="I12" s="946" t="s">
        <v>689</v>
      </c>
      <c r="J12" s="743"/>
      <c r="K12" s="757"/>
      <c r="L12" s="749"/>
      <c r="M12" s="758"/>
    </row>
    <row r="13" spans="1:37" ht="18" customHeight="1" thickTop="1">
      <c r="A13" s="738">
        <v>2</v>
      </c>
      <c r="B13" s="739" t="s">
        <v>690</v>
      </c>
      <c r="C13" s="194">
        <f ca="1">ROUND(C29*F13,0)</f>
        <v>0</v>
      </c>
      <c r="D13" s="740" t="s">
        <v>691</v>
      </c>
      <c r="E13" s="740" t="s">
        <v>692</v>
      </c>
      <c r="F13" s="741">
        <f ca="1">INDIRECT("'数据-取费表'!y"&amp;$G$1)</f>
        <v>0</v>
      </c>
      <c r="G13" s="961"/>
      <c r="H13" s="738">
        <v>2</v>
      </c>
      <c r="I13" s="739" t="s">
        <v>690</v>
      </c>
      <c r="J13" s="728">
        <f ca="1">ROUND(J14*J15,0)</f>
        <v>0</v>
      </c>
      <c r="K13" s="746" t="s">
        <v>691</v>
      </c>
      <c r="L13" s="967"/>
      <c r="M13" s="968"/>
    </row>
    <row r="14" spans="1:37" ht="18" customHeight="1">
      <c r="A14" s="676" t="s">
        <v>391</v>
      </c>
      <c r="B14" s="186" t="s">
        <v>693</v>
      </c>
      <c r="C14" s="201">
        <f ca="1">ROUND(INDIRECT("'数据-取费表'!l"&amp;$G$1)*F43+'数据-取费表'!L14*INDIRECT("'数据-取费表'!S"&amp;$G$1),0)</f>
        <v>0</v>
      </c>
      <c r="D14" s="926" t="s">
        <v>694</v>
      </c>
      <c r="E14" s="924"/>
      <c r="F14" s="202"/>
      <c r="G14" s="961"/>
      <c r="H14" s="676" t="s">
        <v>392</v>
      </c>
      <c r="I14" s="186" t="s">
        <v>695</v>
      </c>
      <c r="J14" s="12">
        <f ca="1">C29</f>
        <v>0</v>
      </c>
      <c r="K14" s="8"/>
      <c r="L14" s="544"/>
      <c r="M14" s="545"/>
    </row>
    <row r="15" spans="1:37" s="972" customFormat="1" ht="18" customHeight="1" thickBot="1">
      <c r="A15" s="676" t="s">
        <v>393</v>
      </c>
      <c r="B15" s="186" t="s">
        <v>696</v>
      </c>
      <c r="C15" s="12">
        <f ca="1">ROUND(C14*F15,0)</f>
        <v>0</v>
      </c>
      <c r="D15" s="203" t="s">
        <v>697</v>
      </c>
      <c r="E15" s="203" t="s">
        <v>698</v>
      </c>
      <c r="F15" s="204">
        <f>'数据-取费表'!B33</f>
        <v>0.05</v>
      </c>
      <c r="G15" s="971"/>
      <c r="H15" s="748" t="s">
        <v>396</v>
      </c>
      <c r="I15" s="749" t="s">
        <v>692</v>
      </c>
      <c r="J15" s="758">
        <f ca="1">INDIRECT("'数据-取费表'!ad"&amp;$G$1)</f>
        <v>0</v>
      </c>
      <c r="K15" s="759"/>
      <c r="L15" s="969"/>
      <c r="M15" s="970"/>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thickTop="1">
      <c r="A16" s="676" t="s">
        <v>667</v>
      </c>
      <c r="B16" s="186" t="s">
        <v>699</v>
      </c>
      <c r="C16" s="12">
        <f ca="1">ROUND(INDIRECT("'数据-取费表'!l"&amp;$G$1)*F43*F16,0)</f>
        <v>0</v>
      </c>
      <c r="D16" s="186" t="s">
        <v>697</v>
      </c>
      <c r="E16" s="186" t="s">
        <v>698</v>
      </c>
      <c r="F16" s="205">
        <f ca="1">IF(INDIRECT("'数据-取费表'!c"&amp;$G$1)="住宅",'数据-取费表'!B34,0)</f>
        <v>0</v>
      </c>
      <c r="G16" s="961"/>
      <c r="H16" s="738" t="s">
        <v>387</v>
      </c>
      <c r="I16" s="739" t="s">
        <v>700</v>
      </c>
      <c r="J16" s="194">
        <f ca="1">ROUND(J17+J22+J23+J24,0)</f>
        <v>0</v>
      </c>
      <c r="K16" s="746" t="s">
        <v>701</v>
      </c>
      <c r="L16" s="747"/>
      <c r="M16" s="732"/>
    </row>
    <row r="17" spans="1:37" s="972" customFormat="1" ht="18" customHeight="1">
      <c r="A17" s="676" t="s">
        <v>668</v>
      </c>
      <c r="B17" s="186" t="s">
        <v>702</v>
      </c>
      <c r="C17" s="12">
        <f ca="1">ROUND(F17*(F43+INDIRECT("'数据-取费表'!S"&amp;$G$1)),0)</f>
        <v>0</v>
      </c>
      <c r="D17" s="186" t="s">
        <v>703</v>
      </c>
      <c r="E17" s="186" t="s">
        <v>704</v>
      </c>
      <c r="F17" s="14">
        <f>'数据-取费表'!B35</f>
        <v>300</v>
      </c>
      <c r="G17" s="971"/>
      <c r="H17" s="676" t="s">
        <v>392</v>
      </c>
      <c r="I17" s="186" t="s">
        <v>705</v>
      </c>
      <c r="J17" s="1726">
        <f ca="1">ROUND(IF(AND(项目基本情况!B11="自然人",项目基本情况!B10="北京市"),J6*M17/(1+'数据-取费表'!C43),J18+J19+J20),0)</f>
        <v>0</v>
      </c>
      <c r="K17" s="926" t="s">
        <v>706</v>
      </c>
      <c r="L17" s="925" t="s">
        <v>707</v>
      </c>
      <c r="M17" s="1725" t="str">
        <f>IF(项目基本情况!B11="企业","",IF('数据-取费表'!B10="住宅",IF(M6*M7*M8/12/(1+'数据-取费表'!F30)&gt;100000,4%,2.5%),IF(M6*M7*M8/12/(1+'数据-取费表'!F30)&gt;100000,12%,7%)))</f>
        <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676" t="s">
        <v>669</v>
      </c>
      <c r="B18" s="186" t="s">
        <v>708</v>
      </c>
      <c r="C18" s="12">
        <f ca="1">ROUND(C14*F18,0)</f>
        <v>0</v>
      </c>
      <c r="D18" s="186" t="s">
        <v>697</v>
      </c>
      <c r="E18" s="186" t="s">
        <v>698</v>
      </c>
      <c r="F18" s="205">
        <f>'数据-取费表'!B36</f>
        <v>0.01</v>
      </c>
      <c r="G18" s="971"/>
      <c r="H18" s="676" t="s">
        <v>391</v>
      </c>
      <c r="I18" s="186" t="s">
        <v>709</v>
      </c>
      <c r="J18" s="12">
        <f ca="1">ROUND(J6*M18/(1+'数据-取费表'!C43),0)</f>
        <v>0</v>
      </c>
      <c r="K18" s="925" t="s">
        <v>710</v>
      </c>
      <c r="L18" s="186" t="s">
        <v>698</v>
      </c>
      <c r="M18" s="205">
        <f>'数据-取费表'!B42</f>
        <v>0</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ht="18" customHeight="1">
      <c r="A19" s="676" t="s">
        <v>392</v>
      </c>
      <c r="B19" s="186" t="s">
        <v>711</v>
      </c>
      <c r="C19" s="12">
        <f ca="1">SUM(C14:C18)</f>
        <v>0</v>
      </c>
      <c r="D19" s="49" t="s">
        <v>712</v>
      </c>
      <c r="E19" s="938"/>
      <c r="F19" s="14"/>
      <c r="G19" s="961"/>
      <c r="H19" s="676" t="s">
        <v>393</v>
      </c>
      <c r="I19" s="186" t="s">
        <v>713</v>
      </c>
      <c r="J19" s="12">
        <f ca="1">IF(K19="按租金收入计税",ROUND(J6*M19/(1+'数据-取费表'!C43),0),ROUND(C29*M19*0.7,0))</f>
        <v>0</v>
      </c>
      <c r="K19" s="947" t="s">
        <v>3218</v>
      </c>
      <c r="L19" s="186" t="s">
        <v>698</v>
      </c>
      <c r="M19" s="205">
        <f>IF(K19="按租金收入计税",'数据-取费表'!B52,'数据-取费表'!B51)</f>
        <v>0.12</v>
      </c>
    </row>
    <row r="20" spans="1:37" s="972" customFormat="1" ht="18" customHeight="1">
      <c r="A20" s="676" t="s">
        <v>396</v>
      </c>
      <c r="B20" s="186" t="s">
        <v>714</v>
      </c>
      <c r="C20" s="12">
        <f ca="1">ROUND(C19*F20,0)</f>
        <v>0</v>
      </c>
      <c r="D20" s="206" t="s">
        <v>715</v>
      </c>
      <c r="E20" s="186" t="s">
        <v>698</v>
      </c>
      <c r="F20" s="205">
        <f>'数据-取费表'!B38</f>
        <v>0.02</v>
      </c>
      <c r="G20" s="971"/>
      <c r="H20" s="676" t="s">
        <v>667</v>
      </c>
      <c r="I20" s="56" t="s">
        <v>716</v>
      </c>
      <c r="J20" s="13">
        <f ca="1">ROUND(M20*M21,0)</f>
        <v>0</v>
      </c>
      <c r="K20" s="207" t="s">
        <v>717</v>
      </c>
      <c r="L20" s="186" t="s">
        <v>718</v>
      </c>
      <c r="M20" s="208">
        <f>'数据-取费表'!B53</f>
        <v>12</v>
      </c>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7" s="972" customFormat="1" ht="18" customHeight="1">
      <c r="A21" s="676" t="s">
        <v>431</v>
      </c>
      <c r="B21" s="186" t="s">
        <v>719</v>
      </c>
      <c r="C21" s="12" t="s">
        <v>0</v>
      </c>
      <c r="D21" s="206" t="s">
        <v>720</v>
      </c>
      <c r="E21" s="186" t="s">
        <v>721</v>
      </c>
      <c r="F21" s="205">
        <f>'数据-取费表'!B39</f>
        <v>0.02</v>
      </c>
      <c r="G21" s="971"/>
      <c r="H21" s="209"/>
      <c r="I21" s="195"/>
      <c r="J21" s="17"/>
      <c r="K21" s="210"/>
      <c r="L21" s="186" t="s">
        <v>722</v>
      </c>
      <c r="M21" s="187">
        <f ca="1">INDIRECT("'数据-取费表'!r"&amp;$G$1)</f>
        <v>0</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ht="18" customHeight="1">
      <c r="A22" s="676" t="s">
        <v>670</v>
      </c>
      <c r="B22" s="186" t="s">
        <v>723</v>
      </c>
      <c r="C22" s="12"/>
      <c r="D22" s="49" t="str">
        <f>IF(F23&lt;=1,"单利计息。","复利计息。")&amp;"建造成本、管理费用、销售费用产生的利息。"</f>
        <v>复利计息。建造成本、管理费用、销售费用产生的利息。</v>
      </c>
      <c r="E22" s="938"/>
      <c r="F22" s="14"/>
      <c r="G22" s="961"/>
      <c r="H22" s="676" t="s">
        <v>396</v>
      </c>
      <c r="I22" s="186" t="s">
        <v>724</v>
      </c>
      <c r="J22" s="12">
        <f ca="1">ROUND(J14*M22,0)</f>
        <v>0</v>
      </c>
      <c r="K22" s="925" t="s">
        <v>725</v>
      </c>
      <c r="L22" s="186" t="s">
        <v>698</v>
      </c>
      <c r="M22" s="211">
        <f ca="1">INDIRECT("'数据-取费表'!Ak"&amp;$G$1)</f>
        <v>0</v>
      </c>
    </row>
    <row r="23" spans="1:37" s="972" customFormat="1" ht="18" customHeight="1">
      <c r="A23" s="676" t="s">
        <v>391</v>
      </c>
      <c r="B23" s="186"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727</v>
      </c>
      <c r="F23" s="208">
        <f>'数据-取费表'!B20</f>
        <v>2</v>
      </c>
      <c r="G23" s="971"/>
      <c r="H23" s="676" t="s">
        <v>431</v>
      </c>
      <c r="I23" s="186" t="s">
        <v>728</v>
      </c>
      <c r="J23" s="12">
        <f ca="1">ROUND(J13*M23,0)</f>
        <v>0</v>
      </c>
      <c r="K23" s="925" t="s">
        <v>729</v>
      </c>
      <c r="L23" s="186" t="s">
        <v>730</v>
      </c>
      <c r="M23" s="212">
        <f ca="1">INDIRECT("'数据-取费表'!Al"&amp;$G$1)</f>
        <v>0</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s="972" customFormat="1" ht="18" customHeight="1" thickBot="1">
      <c r="A24" s="676" t="s">
        <v>731</v>
      </c>
      <c r="B24" s="186" t="s">
        <v>732</v>
      </c>
      <c r="C24" s="12">
        <f ca="1">ROUND(IF('数据-取费表'!B22&lt;=1,F21*F24*F23/2,F21*(POWER((1+F24),F23/2)-1)),4)</f>
        <v>5.9999999999999995E-4</v>
      </c>
      <c r="D24" s="55" t="str">
        <f>IF(F23&lt;=1,"销售费用×利率×(建设周期÷2)","销售费用×((1+利率)^(建设周期÷2)-1)")</f>
        <v>销售费用×((1+利率)^(建设周期÷2)-1)</v>
      </c>
      <c r="E24" s="186" t="s">
        <v>733</v>
      </c>
      <c r="F24" s="213">
        <f ca="1">'数据-取费表'!B41</f>
        <v>3.1300000000000001E-2</v>
      </c>
      <c r="G24" s="971"/>
      <c r="H24" s="748" t="s">
        <v>671</v>
      </c>
      <c r="I24" s="749" t="s">
        <v>714</v>
      </c>
      <c r="J24" s="750">
        <f ca="1">ROUND(J5*M24,0)</f>
        <v>0</v>
      </c>
      <c r="K24" s="751" t="s">
        <v>734</v>
      </c>
      <c r="L24" s="749" t="s">
        <v>730</v>
      </c>
      <c r="M24" s="745">
        <f ca="1">INDIRECT("'数据-取费表'!Am"&amp;$G$1)</f>
        <v>0</v>
      </c>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7" ht="18" customHeight="1" thickTop="1">
      <c r="A25" s="676" t="s">
        <v>735</v>
      </c>
      <c r="B25" s="186" t="s">
        <v>736</v>
      </c>
      <c r="C25" s="12"/>
      <c r="D25" s="49" t="s">
        <v>737</v>
      </c>
      <c r="E25" s="938"/>
      <c r="F25" s="14"/>
      <c r="G25" s="961"/>
      <c r="H25" s="738" t="s">
        <v>388</v>
      </c>
      <c r="I25" s="753" t="s">
        <v>738</v>
      </c>
      <c r="J25" s="194">
        <f ca="1">J5-J16</f>
        <v>0</v>
      </c>
      <c r="K25" s="754" t="s">
        <v>739</v>
      </c>
      <c r="L25" s="755"/>
      <c r="M25" s="756"/>
    </row>
    <row r="26" spans="1:37" ht="18" customHeight="1">
      <c r="A26" s="676" t="s">
        <v>391</v>
      </c>
      <c r="B26" s="186" t="s">
        <v>740</v>
      </c>
      <c r="C26" s="12">
        <f ca="1">ROUND((C19+C20)*F26,0)</f>
        <v>0</v>
      </c>
      <c r="D26" s="206" t="s">
        <v>741</v>
      </c>
      <c r="E26" s="197" t="s">
        <v>742</v>
      </c>
      <c r="F26" s="196">
        <f ca="1">INDIRECT("'数据-取费表'!q"&amp;$G$1)</f>
        <v>0</v>
      </c>
      <c r="G26" s="961"/>
      <c r="H26" s="183" t="s">
        <v>389</v>
      </c>
      <c r="I26" s="184" t="s">
        <v>743</v>
      </c>
      <c r="J26" s="185">
        <f ca="1">IF(J5&lt;&gt;0,ROUND(J25*(1-((1+M28)/(1+M26))^M27)/(M26-M28),0),0)</f>
        <v>0</v>
      </c>
      <c r="K26" s="207" t="s">
        <v>744</v>
      </c>
      <c r="L26" s="186" t="s">
        <v>745</v>
      </c>
      <c r="M26" s="196">
        <f ca="1">INDIRECT("'数据-取费表'!I"&amp;$G$1)</f>
        <v>0</v>
      </c>
    </row>
    <row r="27" spans="1:37" ht="18" customHeight="1">
      <c r="A27" s="676" t="s">
        <v>393</v>
      </c>
      <c r="B27" s="186" t="s">
        <v>746</v>
      </c>
      <c r="C27" s="12">
        <f ca="1">ROUND(F21*F26,4)</f>
        <v>0</v>
      </c>
      <c r="D27" s="206" t="s">
        <v>747</v>
      </c>
      <c r="E27" s="203"/>
      <c r="F27" s="204"/>
      <c r="G27" s="961"/>
      <c r="H27" s="188"/>
      <c r="I27" s="189"/>
      <c r="J27" s="190"/>
      <c r="K27" s="214" t="s">
        <v>748</v>
      </c>
      <c r="L27" s="186" t="s">
        <v>749</v>
      </c>
      <c r="M27" s="215">
        <f ca="1">INDIRECT("'数据-取费表'!ag"&amp;$G$1)</f>
        <v>0</v>
      </c>
    </row>
    <row r="28" spans="1:37" s="972" customFormat="1" ht="18" customHeight="1">
      <c r="A28" s="676" t="s">
        <v>394</v>
      </c>
      <c r="B28" s="186" t="s">
        <v>750</v>
      </c>
      <c r="C28" s="12">
        <f>ROUND(F28/(1+'数据-取费表'!C43),4)</f>
        <v>0</v>
      </c>
      <c r="D28" s="206" t="s">
        <v>751</v>
      </c>
      <c r="E28" s="186" t="s">
        <v>698</v>
      </c>
      <c r="F28" s="205">
        <f>'数据-取费表'!B42</f>
        <v>0</v>
      </c>
      <c r="G28" s="971"/>
      <c r="H28" s="192"/>
      <c r="I28" s="193"/>
      <c r="J28" s="194"/>
      <c r="K28" s="210"/>
      <c r="L28" s="186" t="s">
        <v>752</v>
      </c>
      <c r="M28" s="196">
        <f ca="1">INDIRECT("'数据-取费表'!aa"&amp;$G$1)</f>
        <v>0</v>
      </c>
      <c r="N28" s="971"/>
      <c r="O28" s="971"/>
      <c r="P28" s="971"/>
      <c r="Q28" s="971"/>
      <c r="R28" s="971"/>
      <c r="S28" s="971"/>
      <c r="T28" s="971"/>
      <c r="U28" s="971"/>
      <c r="V28" s="971"/>
      <c r="W28" s="971"/>
      <c r="X28" s="971"/>
      <c r="Y28" s="971"/>
      <c r="Z28" s="971"/>
      <c r="AA28" s="971"/>
      <c r="AB28" s="971"/>
      <c r="AC28" s="971"/>
      <c r="AD28" s="971"/>
      <c r="AE28" s="971"/>
      <c r="AF28" s="971"/>
      <c r="AG28" s="971"/>
      <c r="AH28" s="971"/>
      <c r="AI28" s="971"/>
      <c r="AJ28" s="971"/>
      <c r="AK28" s="971"/>
    </row>
    <row r="29" spans="1:37" s="972" customFormat="1" ht="18" customHeight="1" thickBot="1">
      <c r="A29" s="748" t="s">
        <v>395</v>
      </c>
      <c r="B29" s="749" t="s">
        <v>753</v>
      </c>
      <c r="C29" s="750">
        <f ca="1">ROUND((C19+C20+C23+C26)/(1-F21-C24-C27-C28),0)</f>
        <v>0</v>
      </c>
      <c r="D29" s="751"/>
      <c r="E29" s="749"/>
      <c r="F29" s="752"/>
      <c r="G29" s="971"/>
      <c r="H29" s="216" t="s">
        <v>390</v>
      </c>
      <c r="I29" s="217" t="s">
        <v>754</v>
      </c>
      <c r="J29" s="218">
        <f ca="1">ROUND(J26/(1+F40)^F41,0)</f>
        <v>0</v>
      </c>
      <c r="K29" s="219" t="s">
        <v>755</v>
      </c>
      <c r="L29" s="220"/>
      <c r="M29" s="221">
        <f ca="1">INDIRECT("'数据-取费表'!k"&amp;$G$1)</f>
        <v>0</v>
      </c>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row>
    <row r="30" spans="1:37" ht="18" customHeight="1" thickTop="1">
      <c r="A30" s="738" t="s">
        <v>387</v>
      </c>
      <c r="B30" s="739" t="s">
        <v>700</v>
      </c>
      <c r="C30" s="194">
        <f ca="1">ROUND(C31+C36+C37+C38,0)</f>
        <v>0</v>
      </c>
      <c r="D30" s="746" t="s">
        <v>701</v>
      </c>
      <c r="E30" s="747"/>
      <c r="F30" s="732"/>
      <c r="G30" s="961"/>
      <c r="H30" s="1991"/>
      <c r="I30" s="973"/>
      <c r="J30" s="974"/>
      <c r="K30" s="47"/>
      <c r="L30" s="1992"/>
      <c r="M30" s="1993"/>
    </row>
    <row r="31" spans="1:37" ht="18" customHeight="1">
      <c r="A31" s="676" t="s">
        <v>392</v>
      </c>
      <c r="B31" s="186" t="s">
        <v>705</v>
      </c>
      <c r="C31" s="1726">
        <f ca="1">ROUND(IF(AND(项目基本情况!B11="自然人",项目基本情况!B10="北京市"),C6*F31/(1+'数据-取费表'!C43),C32+C33+C34),0)</f>
        <v>0</v>
      </c>
      <c r="D31" s="926" t="s">
        <v>706</v>
      </c>
      <c r="E31" s="925" t="s">
        <v>756</v>
      </c>
      <c r="F31" s="1725" t="str">
        <f>IF(项目基本情况!B11="企业","——",IF(M47="住宅",IF(F6*F7*F8/12/(1+'数据-取费表'!F30)&gt;100000,4%,2.5%),IF(F6*F7*F8/12/(1+'数据-取费表'!F30)&gt;100000,12%,7%)))</f>
        <v>——</v>
      </c>
      <c r="G31" s="961"/>
      <c r="H31" s="2080" t="s">
        <v>2197</v>
      </c>
      <c r="I31" s="973"/>
      <c r="J31" s="974"/>
      <c r="K31" s="47"/>
      <c r="L31" s="1992"/>
      <c r="M31" s="1993"/>
    </row>
    <row r="32" spans="1:37" ht="18" customHeight="1">
      <c r="A32" s="676" t="s">
        <v>391</v>
      </c>
      <c r="B32" s="186" t="s">
        <v>709</v>
      </c>
      <c r="C32" s="12">
        <f ca="1">IF(项目基本情况!B11="自然人","——",ROUND(C6*F32/(1+'数据-取费表'!C43),0))</f>
        <v>0</v>
      </c>
      <c r="D32" s="925" t="s">
        <v>710</v>
      </c>
      <c r="E32" s="186" t="s">
        <v>698</v>
      </c>
      <c r="F32" s="213">
        <f>'数据-取费表'!B42</f>
        <v>0</v>
      </c>
      <c r="G32" s="961"/>
      <c r="H32" s="1991"/>
      <c r="I32" s="973"/>
      <c r="J32" s="974"/>
      <c r="K32" s="47"/>
      <c r="L32" s="1992"/>
      <c r="M32" s="1993"/>
    </row>
    <row r="33" spans="1:18" ht="18" customHeight="1">
      <c r="A33" s="676" t="s">
        <v>393</v>
      </c>
      <c r="B33" s="186" t="s">
        <v>713</v>
      </c>
      <c r="C33" s="12">
        <f ca="1">IF(项目基本情况!B11="自然人","——",IF(D33="按租金收入计税",ROUND(C6*F33/(1+'数据-取费表'!C43),0),IF(D33="按房产原值计税",ROUND(C29*F33*0.7,0),INDIRECT("'数据-取费表'!Aj"&amp;$G$1))))</f>
        <v>0</v>
      </c>
      <c r="D33" s="947" t="s">
        <v>3218</v>
      </c>
      <c r="E33" s="186" t="s">
        <v>698</v>
      </c>
      <c r="F33" s="205">
        <f>IF(D33="按票据","——",IF(D33="按租金收入计税",'数据-取费表'!B52,'数据-取费表'!B51))</f>
        <v>0.12</v>
      </c>
      <c r="G33" s="961"/>
      <c r="H33" s="1994"/>
      <c r="I33" s="973"/>
      <c r="J33" s="974"/>
      <c r="K33" s="1995"/>
      <c r="L33" s="1994"/>
      <c r="M33" s="1994"/>
    </row>
    <row r="34" spans="1:18" ht="18" customHeight="1">
      <c r="A34" s="729" t="s">
        <v>667</v>
      </c>
      <c r="B34" s="56" t="s">
        <v>716</v>
      </c>
      <c r="C34" s="13">
        <f ca="1">IF(项目基本情况!B11="自然人","——",ROUND(F34*F35,0))</f>
        <v>0</v>
      </c>
      <c r="D34" s="207" t="s">
        <v>717</v>
      </c>
      <c r="E34" s="186" t="s">
        <v>718</v>
      </c>
      <c r="F34" s="208">
        <f>'数据-取费表'!B53</f>
        <v>12</v>
      </c>
      <c r="G34" s="961"/>
      <c r="H34" s="1991"/>
      <c r="I34" s="973"/>
      <c r="J34" s="974"/>
      <c r="K34" s="1996"/>
      <c r="L34" s="1997"/>
      <c r="M34" s="1997"/>
    </row>
    <row r="35" spans="1:18" ht="18" customHeight="1">
      <c r="A35" s="762"/>
      <c r="B35" s="760"/>
      <c r="C35" s="17"/>
      <c r="D35" s="210"/>
      <c r="E35" s="186" t="s">
        <v>722</v>
      </c>
      <c r="F35" s="187">
        <f ca="1">INDIRECT("'数据-取费表'!r"&amp;$G$1)</f>
        <v>0</v>
      </c>
      <c r="G35" s="961"/>
      <c r="H35" s="1991"/>
      <c r="I35" s="973"/>
      <c r="J35" s="974"/>
      <c r="K35" s="1995"/>
      <c r="L35" s="1994"/>
      <c r="M35" s="1994"/>
    </row>
    <row r="36" spans="1:18" ht="18" customHeight="1">
      <c r="A36" s="761" t="s">
        <v>396</v>
      </c>
      <c r="B36" s="186" t="s">
        <v>724</v>
      </c>
      <c r="C36" s="12">
        <f ca="1">ROUND(C29*F36,0)</f>
        <v>0</v>
      </c>
      <c r="D36" s="925" t="s">
        <v>757</v>
      </c>
      <c r="E36" s="186" t="s">
        <v>698</v>
      </c>
      <c r="F36" s="211">
        <f ca="1">INDIRECT("'数据-取费表'!Ak"&amp;$G$1)</f>
        <v>0</v>
      </c>
      <c r="G36" s="961"/>
      <c r="H36" s="1994"/>
      <c r="I36" s="973"/>
      <c r="J36" s="974"/>
      <c r="K36" s="1894"/>
      <c r="L36" s="1994"/>
      <c r="M36" s="1994"/>
    </row>
    <row r="37" spans="1:18" ht="18" customHeight="1">
      <c r="A37" s="676" t="s">
        <v>431</v>
      </c>
      <c r="B37" s="186" t="s">
        <v>728</v>
      </c>
      <c r="C37" s="12">
        <f ca="1">ROUND(C13*F37,0)</f>
        <v>0</v>
      </c>
      <c r="D37" s="925" t="s">
        <v>729</v>
      </c>
      <c r="E37" s="186" t="s">
        <v>730</v>
      </c>
      <c r="F37" s="212">
        <f ca="1">INDIRECT("'数据-取费表'!Al"&amp;$G$1)</f>
        <v>0</v>
      </c>
      <c r="G37" s="961"/>
      <c r="H37" s="1994"/>
      <c r="I37" s="973"/>
      <c r="J37" s="974"/>
      <c r="K37" s="1894"/>
      <c r="L37" s="1994"/>
      <c r="M37" s="1994"/>
    </row>
    <row r="38" spans="1:18" ht="18" customHeight="1" thickBot="1">
      <c r="A38" s="748" t="s">
        <v>671</v>
      </c>
      <c r="B38" s="749" t="s">
        <v>714</v>
      </c>
      <c r="C38" s="750">
        <f ca="1">ROUND(C5*F38,0)</f>
        <v>0</v>
      </c>
      <c r="D38" s="751" t="s">
        <v>734</v>
      </c>
      <c r="E38" s="749" t="s">
        <v>730</v>
      </c>
      <c r="F38" s="745">
        <f ca="1">INDIRECT("'数据-取费表'!Am"&amp;$G$1)</f>
        <v>0</v>
      </c>
      <c r="G38" s="961"/>
      <c r="H38" s="1994"/>
      <c r="I38" s="973"/>
      <c r="J38" s="974"/>
      <c r="K38" s="1992"/>
      <c r="L38" s="1994"/>
      <c r="M38" s="1994"/>
    </row>
    <row r="39" spans="1:18" ht="24.6" customHeight="1" thickTop="1">
      <c r="A39" s="738" t="s">
        <v>388</v>
      </c>
      <c r="B39" s="753" t="s">
        <v>758</v>
      </c>
      <c r="C39" s="194">
        <f ca="1">C5-C30</f>
        <v>0</v>
      </c>
      <c r="D39" s="754" t="s">
        <v>759</v>
      </c>
      <c r="E39" s="755"/>
      <c r="F39" s="756"/>
      <c r="G39" s="961"/>
      <c r="H39" s="1994"/>
      <c r="I39" s="973"/>
      <c r="J39" s="974"/>
      <c r="K39" s="1992"/>
      <c r="L39" s="1994"/>
      <c r="M39" s="1994"/>
    </row>
    <row r="40" spans="1:18" ht="18" customHeight="1">
      <c r="A40" s="183" t="s">
        <v>389</v>
      </c>
      <c r="B40" s="184" t="s">
        <v>760</v>
      </c>
      <c r="C40" s="185" t="e">
        <f ca="1">ROUND(C39*(1-((1+F42)/(1+F40))^F41)/(F40-F42),0)</f>
        <v>#DIV/0!</v>
      </c>
      <c r="D40" s="207" t="s">
        <v>744</v>
      </c>
      <c r="E40" s="186" t="s">
        <v>745</v>
      </c>
      <c r="F40" s="196">
        <f ca="1">INDIRECT("'数据-取费表'!I"&amp;$G$1)</f>
        <v>0</v>
      </c>
      <c r="G40" s="961"/>
      <c r="H40" s="1034"/>
      <c r="I40" s="973"/>
      <c r="J40" s="974"/>
      <c r="K40" s="1992"/>
      <c r="L40" s="1034"/>
      <c r="M40" s="1034"/>
    </row>
    <row r="41" spans="1:18" ht="18" customHeight="1">
      <c r="A41" s="188"/>
      <c r="B41" s="189"/>
      <c r="C41" s="190"/>
      <c r="D41" s="214" t="s">
        <v>761</v>
      </c>
      <c r="E41" s="186" t="s">
        <v>749</v>
      </c>
      <c r="F41" s="215">
        <f ca="1">IF(INDIRECT("'数据-取费表'!af"&amp;$G$1)=0,INDIRECT("'数据-取费表'!ae"&amp;$G$1),INDIRECT("'数据-取费表'!af"&amp;$G$1))</f>
        <v>0</v>
      </c>
      <c r="G41" s="961"/>
      <c r="H41" s="47"/>
      <c r="I41" s="973"/>
      <c r="J41" s="974"/>
      <c r="K41" s="1894"/>
      <c r="L41" s="47"/>
      <c r="M41" s="47"/>
    </row>
    <row r="42" spans="1:18" ht="18" customHeight="1">
      <c r="A42" s="192"/>
      <c r="B42" s="193"/>
      <c r="C42" s="194"/>
      <c r="D42" s="210"/>
      <c r="E42" s="186" t="s">
        <v>752</v>
      </c>
      <c r="F42" s="196">
        <f ca="1">INDIRECT("'数据-取费表'!v"&amp;$G$1)</f>
        <v>0</v>
      </c>
      <c r="G42" s="961"/>
      <c r="H42" s="47"/>
      <c r="I42" s="973"/>
      <c r="J42" s="974"/>
      <c r="K42" s="1894"/>
      <c r="L42" s="47"/>
      <c r="M42" s="47"/>
    </row>
    <row r="43" spans="1:18" ht="18" customHeight="1" thickBot="1">
      <c r="A43" s="216" t="s">
        <v>390</v>
      </c>
      <c r="B43" s="217" t="s">
        <v>762</v>
      </c>
      <c r="C43" s="218" t="e">
        <f ca="1">ROUND(C40/F43,0)</f>
        <v>#DIV/0!</v>
      </c>
      <c r="D43" s="219" t="s">
        <v>763</v>
      </c>
      <c r="E43" s="220" t="s">
        <v>764</v>
      </c>
      <c r="F43" s="221">
        <f ca="1">INDIRECT("'数据-取费表'!k"&amp;$G$1)</f>
        <v>0</v>
      </c>
      <c r="G43" s="961"/>
      <c r="H43" s="47"/>
      <c r="I43" s="47"/>
      <c r="J43" s="47"/>
      <c r="K43" s="1894"/>
      <c r="L43" s="47"/>
      <c r="M43" s="47"/>
    </row>
    <row r="44" spans="1:18" s="961" customFormat="1" ht="18" customHeight="1">
      <c r="A44" s="975"/>
      <c r="B44" s="975"/>
      <c r="C44" s="976"/>
      <c r="D44" s="975"/>
      <c r="E44" s="975"/>
      <c r="F44" s="975"/>
      <c r="K44" s="977"/>
    </row>
    <row r="45" spans="1:18" s="961" customFormat="1" ht="18" customHeight="1" thickBot="1">
      <c r="A45" s="2538" t="s">
        <v>3234</v>
      </c>
      <c r="B45" s="975"/>
      <c r="C45" s="1045" t="e">
        <f ca="1">ROUND((C68-C40)/10000,4)</f>
        <v>#DIV/0!</v>
      </c>
      <c r="D45" s="2539" t="s">
        <v>3235</v>
      </c>
      <c r="E45" s="975"/>
      <c r="F45" s="975"/>
      <c r="O45" s="978" t="s">
        <v>794</v>
      </c>
      <c r="P45" s="1034"/>
      <c r="Q45" s="1034"/>
      <c r="R45" s="1034"/>
    </row>
    <row r="46" spans="1:18" s="961" customFormat="1" ht="13.5" thickBot="1">
      <c r="A46" s="979" t="s">
        <v>795</v>
      </c>
      <c r="C46" s="980" t="e">
        <f ca="1">ROUND(C45,0)</f>
        <v>#DIV/0!</v>
      </c>
      <c r="D46" s="981" t="str">
        <f>C2</f>
        <v>万元</v>
      </c>
      <c r="I46" s="982" t="s">
        <v>796</v>
      </c>
      <c r="J46" s="983"/>
      <c r="K46" s="984"/>
      <c r="L46" s="985" t="e">
        <f ca="1">IF(M47="住宅",0,IF(L48&gt;J51,L60,J60))</f>
        <v>#DIV/0!</v>
      </c>
      <c r="O46" s="986" t="s">
        <v>797</v>
      </c>
      <c r="P46" s="987" t="s">
        <v>798</v>
      </c>
      <c r="Q46" s="988" t="s">
        <v>799</v>
      </c>
      <c r="R46" s="988" t="s">
        <v>800</v>
      </c>
    </row>
    <row r="47" spans="1:18" s="961" customFormat="1" ht="13.5" thickBot="1">
      <c r="A47" s="640" t="s">
        <v>674</v>
      </c>
      <c r="B47" s="672" t="s">
        <v>675</v>
      </c>
      <c r="C47" s="672" t="s">
        <v>676</v>
      </c>
      <c r="D47" s="672" t="s">
        <v>677</v>
      </c>
      <c r="E47" s="718" t="s">
        <v>678</v>
      </c>
      <c r="F47" s="719"/>
      <c r="G47" s="490"/>
      <c r="I47" s="989" t="s">
        <v>801</v>
      </c>
      <c r="J47" s="990"/>
      <c r="K47" s="991" t="s">
        <v>802</v>
      </c>
      <c r="L47" s="992">
        <f ca="1">INDIRECT("'数据-取费表'!d"&amp;$G$1)</f>
        <v>0</v>
      </c>
      <c r="M47" s="957" t="str">
        <f>IF(ISNUMBER(FIND("住宅",C1)),"住宅","非住宅")</f>
        <v>非住宅</v>
      </c>
      <c r="O47" s="993" t="s">
        <v>397</v>
      </c>
      <c r="P47" s="994" t="s">
        <v>803</v>
      </c>
      <c r="Q47" s="995" t="e">
        <f ca="1">C40+J29</f>
        <v>#DIV/0!</v>
      </c>
      <c r="R47" s="995" t="s">
        <v>804</v>
      </c>
    </row>
    <row r="48" spans="1:18" s="961" customFormat="1" ht="28.5" thickBot="1">
      <c r="A48" s="766" t="s">
        <v>432</v>
      </c>
      <c r="B48" s="184" t="s">
        <v>679</v>
      </c>
      <c r="C48" s="937">
        <f ca="1">C49+C53+C55</f>
        <v>0</v>
      </c>
      <c r="D48" s="768"/>
      <c r="E48" s="769"/>
      <c r="F48" s="656"/>
      <c r="G48" s="490"/>
      <c r="H48" s="491"/>
      <c r="I48" s="996" t="s">
        <v>805</v>
      </c>
      <c r="J48" s="997"/>
      <c r="K48" s="998" t="s">
        <v>806</v>
      </c>
      <c r="L48" s="999">
        <f ca="1">INDIRECT("'数据-取费表'!f"&amp;$G$1)</f>
        <v>0</v>
      </c>
      <c r="O48" s="993" t="s">
        <v>398</v>
      </c>
      <c r="P48" s="994" t="s">
        <v>807</v>
      </c>
      <c r="Q48" s="995" t="e">
        <f ca="1">J60</f>
        <v>#DIV/0!</v>
      </c>
      <c r="R48" s="995" t="s">
        <v>808</v>
      </c>
    </row>
    <row r="49" spans="1:18" s="961" customFormat="1" ht="13.5" thickBot="1">
      <c r="A49" s="669" t="s">
        <v>433</v>
      </c>
      <c r="B49" s="948" t="s">
        <v>765</v>
      </c>
      <c r="C49" s="770">
        <f ca="1">ROUND(F49*F51*F50*(1-F52),0)</f>
        <v>0</v>
      </c>
      <c r="D49" s="715" t="s">
        <v>681</v>
      </c>
      <c r="E49" s="949" t="s">
        <v>766</v>
      </c>
      <c r="F49" s="720"/>
      <c r="H49" s="491"/>
      <c r="I49" s="996" t="s">
        <v>809</v>
      </c>
      <c r="J49" s="1000"/>
      <c r="K49" s="998" t="s">
        <v>810</v>
      </c>
      <c r="L49" s="1001"/>
      <c r="O49" s="1002" t="s">
        <v>399</v>
      </c>
      <c r="P49" s="994" t="s">
        <v>811</v>
      </c>
      <c r="Q49" s="995">
        <f ca="1">C29</f>
        <v>0</v>
      </c>
      <c r="R49" s="995" t="s">
        <v>804</v>
      </c>
    </row>
    <row r="50" spans="1:18" s="961" customFormat="1" ht="13.5" thickBot="1">
      <c r="A50" s="670"/>
      <c r="B50" s="673"/>
      <c r="C50" s="674"/>
      <c r="D50" s="647"/>
      <c r="E50" s="716" t="s">
        <v>683</v>
      </c>
      <c r="F50" s="717">
        <f ca="1">F7</f>
        <v>0</v>
      </c>
      <c r="H50" s="491"/>
      <c r="I50" s="996" t="s">
        <v>812</v>
      </c>
      <c r="J50" s="1003">
        <f>SUMPRODUCT((I63:I65=J47)*(J62:L62=J48)*(J63:L65))</f>
        <v>0</v>
      </c>
      <c r="K50" s="998" t="s">
        <v>813</v>
      </c>
      <c r="L50" s="1001"/>
      <c r="M50" s="1004"/>
      <c r="O50" s="1002" t="s">
        <v>400</v>
      </c>
      <c r="P50" s="994" t="s">
        <v>814</v>
      </c>
      <c r="Q50" s="1005" t="e">
        <f ca="1">J58</f>
        <v>#DIV/0!</v>
      </c>
      <c r="R50" s="995"/>
    </row>
    <row r="51" spans="1:18" s="961" customFormat="1" ht="13.5" thickBot="1">
      <c r="A51" s="671"/>
      <c r="B51" s="673"/>
      <c r="C51" s="674"/>
      <c r="D51" s="647"/>
      <c r="E51" s="675" t="s">
        <v>684</v>
      </c>
      <c r="F51" s="187">
        <f ca="1">F8</f>
        <v>0</v>
      </c>
      <c r="I51" s="1006" t="s">
        <v>815</v>
      </c>
      <c r="J51" s="999">
        <f>IF(J49="",J50,J49+J50-YEAR('数据-取费表'!B2))</f>
        <v>0</v>
      </c>
      <c r="K51" s="1007" t="s">
        <v>816</v>
      </c>
      <c r="L51" s="1008">
        <f ca="1">ROUND(-PV(INDIRECT("'数据-取费表'!h"&amp;$G$1),J51,(C39-C13*C76),0),0)</f>
        <v>0</v>
      </c>
      <c r="M51" s="1009"/>
      <c r="O51" s="1002" t="s">
        <v>401</v>
      </c>
      <c r="P51" s="994" t="s">
        <v>817</v>
      </c>
      <c r="Q51" s="1005">
        <f>J52</f>
        <v>0</v>
      </c>
      <c r="R51" s="995"/>
    </row>
    <row r="52" spans="1:18" s="961" customFormat="1" ht="13.5" thickBot="1">
      <c r="A52" s="671"/>
      <c r="B52" s="673"/>
      <c r="C52" s="674"/>
      <c r="D52" s="647"/>
      <c r="E52" s="675" t="s">
        <v>685</v>
      </c>
      <c r="F52" s="714"/>
      <c r="I52" s="1010" t="s">
        <v>818</v>
      </c>
      <c r="J52" s="1011"/>
      <c r="K52" s="1010" t="s">
        <v>819</v>
      </c>
      <c r="L52" s="1011"/>
      <c r="O52" s="1002" t="s">
        <v>402</v>
      </c>
      <c r="P52" s="994" t="s">
        <v>820</v>
      </c>
      <c r="Q52" s="995">
        <f ca="1">J53</f>
        <v>0</v>
      </c>
      <c r="R52" s="995" t="s">
        <v>821</v>
      </c>
    </row>
    <row r="53" spans="1:18" s="961" customFormat="1" ht="30.75" customHeight="1" thickBot="1">
      <c r="A53" s="767" t="s">
        <v>434</v>
      </c>
      <c r="B53" s="206" t="s">
        <v>686</v>
      </c>
      <c r="C53" s="200">
        <f ca="1">ROUND(IF(F53="押一",C49/12*F11,IF(F53="押二",C49/12*2*F11,IF(F53="押三",C49/12*3*F11,C54*F11))),0)</f>
        <v>0</v>
      </c>
      <c r="D53" s="59" t="s">
        <v>2028</v>
      </c>
      <c r="E53" s="197" t="s">
        <v>687</v>
      </c>
      <c r="F53" s="771"/>
      <c r="I53" s="1012" t="s">
        <v>822</v>
      </c>
      <c r="J53" s="1623">
        <f ca="1">IF(M47="住宅",IF(D1="——",MAX(J51,L48),MAX(J51,L48-'数据-取费表'!B24)),IF(D1="——",MIN(J51,L48),MIN(J51,L48-'数据-取费表'!B24)))</f>
        <v>0</v>
      </c>
      <c r="K53" s="4611" t="s">
        <v>823</v>
      </c>
      <c r="L53" s="4612"/>
      <c r="O53" s="993" t="s">
        <v>403</v>
      </c>
      <c r="P53" s="994" t="s">
        <v>824</v>
      </c>
      <c r="Q53" s="995" t="e">
        <f ca="1">Q47+Q48</f>
        <v>#DIV/0!</v>
      </c>
      <c r="R53" s="995" t="s">
        <v>404</v>
      </c>
    </row>
    <row r="54" spans="1:18" s="961" customFormat="1" ht="13.5" thickBot="1">
      <c r="A54" s="669"/>
      <c r="B54" s="1046" t="s">
        <v>876</v>
      </c>
      <c r="C54" s="653"/>
      <c r="D54" s="59"/>
      <c r="E54" s="951"/>
      <c r="F54" s="1013"/>
      <c r="I54" s="10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15"/>
      <c r="K54" s="1015"/>
      <c r="L54" s="1015"/>
      <c r="O54" s="978" t="s">
        <v>825</v>
      </c>
      <c r="P54" s="958"/>
      <c r="Q54" s="958"/>
      <c r="R54" s="958"/>
    </row>
    <row r="55" spans="1:18" s="961" customFormat="1" ht="13.5" thickBot="1">
      <c r="A55" s="742" t="s">
        <v>431</v>
      </c>
      <c r="B55" s="946" t="s">
        <v>689</v>
      </c>
      <c r="C55" s="743"/>
      <c r="D55" s="59"/>
      <c r="E55" s="951"/>
      <c r="F55" s="1013"/>
      <c r="I55" s="1016" t="s">
        <v>826</v>
      </c>
      <c r="J55" s="1017" t="e">
        <f ca="1">ROUND(IF(J47="钢混",J57/J50,1-(1-2%)*(J50-J57)/J50),3)</f>
        <v>#DIV/0!</v>
      </c>
      <c r="K55" s="1018" t="s">
        <v>827</v>
      </c>
      <c r="L55" s="1019"/>
      <c r="O55" s="986" t="s">
        <v>797</v>
      </c>
      <c r="P55" s="987" t="s">
        <v>798</v>
      </c>
      <c r="Q55" s="988" t="s">
        <v>799</v>
      </c>
      <c r="R55" s="988" t="s">
        <v>800</v>
      </c>
    </row>
    <row r="56" spans="1:18" s="961" customFormat="1" ht="36" customHeight="1" thickTop="1" thickBot="1">
      <c r="A56" s="651">
        <v>2</v>
      </c>
      <c r="B56" s="652" t="s">
        <v>690</v>
      </c>
      <c r="C56" s="127">
        <f ca="1">C13</f>
        <v>0</v>
      </c>
      <c r="D56" s="1020"/>
      <c r="E56" s="1021"/>
      <c r="F56" s="1013"/>
      <c r="I56" s="1022" t="s">
        <v>828</v>
      </c>
      <c r="J56" s="1023"/>
      <c r="K56" s="996" t="s">
        <v>829</v>
      </c>
      <c r="L56" s="999">
        <f ca="1">IF(L48&lt;J51,"——",L48-J51)</f>
        <v>0</v>
      </c>
      <c r="O56" s="993" t="s">
        <v>397</v>
      </c>
      <c r="P56" s="994" t="s">
        <v>803</v>
      </c>
      <c r="Q56" s="995" t="e">
        <f ca="1">C40+J29</f>
        <v>#DIV/0!</v>
      </c>
      <c r="R56" s="995" t="s">
        <v>804</v>
      </c>
    </row>
    <row r="57" spans="1:18" s="961" customFormat="1" ht="24.75" thickBot="1">
      <c r="A57" s="1024"/>
      <c r="B57" s="644" t="s">
        <v>753</v>
      </c>
      <c r="C57" s="133">
        <f ca="1">C29</f>
        <v>0</v>
      </c>
      <c r="D57" s="1025"/>
      <c r="E57" s="1026"/>
      <c r="F57" s="1027"/>
      <c r="I57" s="1028" t="s">
        <v>830</v>
      </c>
      <c r="J57" s="1029">
        <f ca="1">IF(OR(M47="住宅",J51&lt;L48,J56="是"),"——",J51-L48)</f>
        <v>0</v>
      </c>
      <c r="K57" s="996" t="s">
        <v>877</v>
      </c>
      <c r="L57" s="999">
        <f ca="1">IF(L48&lt;J51,"——",IF(L55="比较法",L49,IF(L55="基准地价",L50,L51)))</f>
        <v>0</v>
      </c>
      <c r="O57" s="993" t="s">
        <v>398</v>
      </c>
      <c r="P57" s="994" t="s">
        <v>878</v>
      </c>
      <c r="Q57" s="995" t="e">
        <f ca="1">L60</f>
        <v>#DIV/0!</v>
      </c>
      <c r="R57" s="995" t="s">
        <v>879</v>
      </c>
    </row>
    <row r="58" spans="1:18" s="961" customFormat="1" ht="24.75" thickBot="1">
      <c r="A58" s="199" t="s">
        <v>387</v>
      </c>
      <c r="B58" s="652" t="s">
        <v>700</v>
      </c>
      <c r="C58" s="200">
        <f ca="1">ROUND(C59+C64+C65+C66,0)</f>
        <v>0</v>
      </c>
      <c r="D58" s="654" t="s">
        <v>701</v>
      </c>
      <c r="E58" s="655"/>
      <c r="F58" s="656"/>
      <c r="I58" s="1028" t="s">
        <v>833</v>
      </c>
      <c r="J58" s="1030" t="e">
        <f ca="1">IF(J55&lt;0.4,0.4,J55)</f>
        <v>#DIV/0!</v>
      </c>
      <c r="K58" s="1007" t="s">
        <v>880</v>
      </c>
      <c r="L58" s="999" t="e">
        <f ca="1">ROUND(POWER(1+L52,L47-L48)*(POWER(1+L52,L48)-1)/(POWER(1+L52,L47)-1),4)</f>
        <v>#DIV/0!</v>
      </c>
      <c r="O58" s="1002" t="s">
        <v>399</v>
      </c>
      <c r="P58" s="994" t="s">
        <v>835</v>
      </c>
      <c r="Q58" s="995">
        <f>IF(L55="比较法",L49,IF(L55="基准地价",L50,0))</f>
        <v>0</v>
      </c>
      <c r="R58" s="995" t="s">
        <v>804</v>
      </c>
    </row>
    <row r="59" spans="1:18" s="961" customFormat="1" ht="24.75" thickBot="1">
      <c r="A59" s="676" t="s">
        <v>392</v>
      </c>
      <c r="B59" s="644" t="s">
        <v>705</v>
      </c>
      <c r="C59" s="1726">
        <f ca="1">ROUND(IF(AND(项目基本情况!B11="自然人",项目基本情况!B10="北京市"),C49*F59/(1+'数据-取费表'!C43),C60+C61+C62),0)</f>
        <v>0</v>
      </c>
      <c r="D59" s="657" t="s">
        <v>706</v>
      </c>
      <c r="E59" s="658" t="s">
        <v>707</v>
      </c>
      <c r="F59" s="1725" t="str">
        <f>IF(项目基本情况!B11="企业","——",IF('数据-取费表'!B10="住宅",IF(F49*F50*F51/12/(1+'数据-取费表'!F30)&gt;100000,4%,2.5%),IF(F49*F50*F51/12/(1+'数据-取费表'!F30)&gt;100000,12%,7%)))</f>
        <v>——</v>
      </c>
      <c r="I59" s="1028" t="s">
        <v>836</v>
      </c>
      <c r="J59" s="1029" t="e">
        <f ca="1">IF(OR(M47="住宅",J51&lt;L48,J56="是"),"——",ROUND(C29*J58,0))</f>
        <v>#DIV/0!</v>
      </c>
      <c r="K59"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9" t="e">
        <f ca="1">ROUND(IF(D1="在建（套用方法）",M59,IF(D1="土地（套用方法）",N59,POWER(1+L52,L47-J51)*(POWER(1+L52,J51)-1)/(POWER(1+L52,L47)-1))),4)</f>
        <v>#DIV/0!</v>
      </c>
      <c r="M59" s="958" t="e">
        <f ca="1">ROUND(POWER(1+L52,L47-(J51+'数据-取费表'!B24))*(POWER(1+L52,(J51+'数据-取费表'!B24))-1)/(POWER(1+L52,L47)-1),4)</f>
        <v>#DIV/0!</v>
      </c>
      <c r="N59" s="958" t="e">
        <f ca="1">ROUND(POWER(1+L52,L47-(J51+'数据-取费表'!B20))*(POWER(1+L52,(J51+'数据-取费表'!B20))-1)/(POWER(1+L52,L47)-1),4)</f>
        <v>#DIV/0!</v>
      </c>
      <c r="O59" s="1002" t="s">
        <v>400</v>
      </c>
      <c r="P59" s="994" t="s">
        <v>837</v>
      </c>
      <c r="Q59" s="1005">
        <f>L52</f>
        <v>0</v>
      </c>
      <c r="R59" s="995"/>
    </row>
    <row r="60" spans="1:18" s="961" customFormat="1" ht="16.5" thickBot="1">
      <c r="A60" s="676" t="s">
        <v>391</v>
      </c>
      <c r="B60" s="644" t="s">
        <v>709</v>
      </c>
      <c r="C60" s="12">
        <f ca="1">IF(项目基本情况!B11="自然人","——",ROUND(C48*F60/(1+'数据-取费表'!C43),0))</f>
        <v>0</v>
      </c>
      <c r="D60" s="658" t="s">
        <v>710</v>
      </c>
      <c r="E60" s="644" t="s">
        <v>698</v>
      </c>
      <c r="F60" s="213">
        <f t="shared" ref="F60:F66" si="0">F32</f>
        <v>0</v>
      </c>
      <c r="I60" s="1031" t="s">
        <v>838</v>
      </c>
      <c r="J60" s="1032" t="e">
        <f ca="1">IF(OR(M47="住宅",J51&lt;L48,J56="是"),"0",ROUND(J59/(1+J52)^J53,0))</f>
        <v>#DIV/0!</v>
      </c>
      <c r="K60" s="1033" t="s">
        <v>839</v>
      </c>
      <c r="L60" s="1032" t="e">
        <f ca="1">IF(OR(M47="住宅",L48&lt;J51),0,ROUND(L57*(L58/L59-1),0))</f>
        <v>#DIV/0!</v>
      </c>
      <c r="O60" s="1002" t="s">
        <v>401</v>
      </c>
      <c r="P60" s="994" t="s">
        <v>840</v>
      </c>
      <c r="Q60" s="995" t="e">
        <f ca="1">L58</f>
        <v>#DIV/0!</v>
      </c>
      <c r="R60" s="995" t="s">
        <v>841</v>
      </c>
    </row>
    <row r="61" spans="1:18" s="961" customFormat="1" ht="13.5" thickBot="1">
      <c r="A61" s="676" t="s">
        <v>767</v>
      </c>
      <c r="B61" s="644" t="s">
        <v>768</v>
      </c>
      <c r="C61" s="12">
        <f ca="1">IF(项目基本情况!B11="自然人","——",IF(D61="按租金收入计税",ROUND(C49*F61/(1+'数据-取费表'!C43),0),IF(D61="按房产原值计税",ROUND(C57*F61*0.7,0),INDIRECT("'数据-取费表'!Aj"&amp;$G$1))))</f>
        <v>0</v>
      </c>
      <c r="D61" s="947" t="s">
        <v>3218</v>
      </c>
      <c r="E61" s="644" t="s">
        <v>769</v>
      </c>
      <c r="F61" s="205">
        <f t="shared" si="0"/>
        <v>0.12</v>
      </c>
      <c r="I61" s="1034"/>
      <c r="J61" s="1034"/>
      <c r="K61" s="1034"/>
      <c r="L61" s="1034"/>
      <c r="O61" s="1002" t="s">
        <v>402</v>
      </c>
      <c r="P61" s="994" t="str">
        <f>K59</f>
        <v>建筑物剩余耐用年限下的土地年期修正系数Kn</v>
      </c>
      <c r="Q61" s="995" t="e">
        <f ca="1">L59</f>
        <v>#DIV/0!</v>
      </c>
      <c r="R61" s="995" t="s">
        <v>842</v>
      </c>
    </row>
    <row r="62" spans="1:18" s="961" customFormat="1" ht="13.5" thickBot="1">
      <c r="A62" s="676" t="s">
        <v>770</v>
      </c>
      <c r="B62" s="643" t="s">
        <v>771</v>
      </c>
      <c r="C62" s="13">
        <f ca="1">IF(项目基本情况!B11="自然人","——",ROUND(F62*F63,0))</f>
        <v>0</v>
      </c>
      <c r="D62" s="659" t="s">
        <v>772</v>
      </c>
      <c r="E62" s="644" t="s">
        <v>773</v>
      </c>
      <c r="F62" s="208">
        <f t="shared" si="0"/>
        <v>12</v>
      </c>
      <c r="I62" s="1035" t="s">
        <v>843</v>
      </c>
      <c r="J62" s="1036" t="s">
        <v>844</v>
      </c>
      <c r="K62" s="1036" t="s">
        <v>845</v>
      </c>
      <c r="L62" s="1036" t="s">
        <v>846</v>
      </c>
      <c r="M62" s="1037" t="s">
        <v>847</v>
      </c>
      <c r="O62" s="993" t="s">
        <v>403</v>
      </c>
      <c r="P62" s="994" t="s">
        <v>848</v>
      </c>
      <c r="Q62" s="995" t="e">
        <f ca="1">Q56+Q57</f>
        <v>#DIV/0!</v>
      </c>
      <c r="R62" s="995" t="s">
        <v>404</v>
      </c>
    </row>
    <row r="63" spans="1:18" s="961" customFormat="1" ht="13.5" thickBot="1">
      <c r="A63" s="209"/>
      <c r="B63" s="650"/>
      <c r="C63" s="17"/>
      <c r="D63" s="660"/>
      <c r="E63" s="644" t="s">
        <v>774</v>
      </c>
      <c r="F63" s="187">
        <f t="shared" ca="1" si="0"/>
        <v>0</v>
      </c>
      <c r="I63" s="1035" t="s">
        <v>849</v>
      </c>
      <c r="J63" s="1036">
        <v>70</v>
      </c>
      <c r="K63" s="1036">
        <v>50</v>
      </c>
      <c r="L63" s="1036">
        <v>80</v>
      </c>
      <c r="M63" s="1038">
        <v>0.02</v>
      </c>
      <c r="O63" s="978" t="s">
        <v>850</v>
      </c>
      <c r="P63" s="958"/>
      <c r="Q63" s="958"/>
      <c r="R63" s="958"/>
    </row>
    <row r="64" spans="1:18" s="961" customFormat="1" ht="13.5" thickBot="1">
      <c r="A64" s="676" t="s">
        <v>775</v>
      </c>
      <c r="B64" s="644" t="s">
        <v>776</v>
      </c>
      <c r="C64" s="12">
        <f ca="1">ROUND(C57*F64,0)</f>
        <v>0</v>
      </c>
      <c r="D64" s="658" t="s">
        <v>777</v>
      </c>
      <c r="E64" s="644" t="s">
        <v>769</v>
      </c>
      <c r="F64" s="211">
        <f t="shared" ca="1" si="0"/>
        <v>0</v>
      </c>
      <c r="I64" s="1035" t="s">
        <v>851</v>
      </c>
      <c r="J64" s="1036">
        <v>50</v>
      </c>
      <c r="K64" s="1036">
        <v>35</v>
      </c>
      <c r="L64" s="1036">
        <v>60</v>
      </c>
      <c r="M64" s="1037">
        <v>0</v>
      </c>
      <c r="O64" s="986" t="s">
        <v>797</v>
      </c>
      <c r="P64" s="987" t="s">
        <v>798</v>
      </c>
      <c r="Q64" s="988" t="s">
        <v>799</v>
      </c>
      <c r="R64" s="988" t="s">
        <v>800</v>
      </c>
    </row>
    <row r="65" spans="1:18" s="961" customFormat="1" ht="13.5" thickBot="1">
      <c r="A65" s="676" t="s">
        <v>778</v>
      </c>
      <c r="B65" s="644" t="s">
        <v>728</v>
      </c>
      <c r="C65" s="12">
        <f ca="1">ROUND(C56*F65,0)</f>
        <v>0</v>
      </c>
      <c r="D65" s="658" t="s">
        <v>729</v>
      </c>
      <c r="E65" s="644" t="s">
        <v>730</v>
      </c>
      <c r="F65" s="212">
        <f t="shared" ca="1" si="0"/>
        <v>0</v>
      </c>
      <c r="I65" s="1035" t="s">
        <v>852</v>
      </c>
      <c r="J65" s="1036">
        <v>40</v>
      </c>
      <c r="K65" s="1036">
        <v>30</v>
      </c>
      <c r="L65" s="1036">
        <v>50</v>
      </c>
      <c r="M65" s="1038">
        <v>0.02</v>
      </c>
      <c r="O65" s="993" t="s">
        <v>397</v>
      </c>
      <c r="P65" s="994" t="s">
        <v>853</v>
      </c>
      <c r="Q65" s="995" t="e">
        <f ca="1">C40+J29</f>
        <v>#DIV/0!</v>
      </c>
      <c r="R65" s="995" t="s">
        <v>804</v>
      </c>
    </row>
    <row r="66" spans="1:18" s="961" customFormat="1" ht="16.5" thickBot="1">
      <c r="A66" s="676" t="s">
        <v>779</v>
      </c>
      <c r="B66" s="644" t="s">
        <v>714</v>
      </c>
      <c r="C66" s="12">
        <f ca="1">ROUND(C48*F66,0)</f>
        <v>0</v>
      </c>
      <c r="D66" s="658" t="s">
        <v>780</v>
      </c>
      <c r="E66" s="644" t="s">
        <v>698</v>
      </c>
      <c r="F66" s="196">
        <f t="shared" ca="1" si="0"/>
        <v>0</v>
      </c>
      <c r="O66" s="993" t="s">
        <v>398</v>
      </c>
      <c r="P66" s="994" t="s">
        <v>832</v>
      </c>
      <c r="Q66" s="995" t="e">
        <f ca="1">L60</f>
        <v>#DIV/0!</v>
      </c>
      <c r="R66" s="995" t="s">
        <v>854</v>
      </c>
    </row>
    <row r="67" spans="1:18" s="961" customFormat="1" ht="16.5" thickBot="1">
      <c r="A67" s="651" t="s">
        <v>388</v>
      </c>
      <c r="B67" s="661" t="s">
        <v>738</v>
      </c>
      <c r="C67" s="200">
        <f ca="1">C48-C58</f>
        <v>0</v>
      </c>
      <c r="D67" s="657" t="s">
        <v>739</v>
      </c>
      <c r="E67" s="662"/>
      <c r="F67" s="663"/>
      <c r="O67" s="1002" t="s">
        <v>399</v>
      </c>
      <c r="P67" s="994" t="s">
        <v>835</v>
      </c>
      <c r="Q67" s="1039">
        <f ca="1">L51</f>
        <v>0</v>
      </c>
      <c r="R67" s="995" t="s">
        <v>855</v>
      </c>
    </row>
    <row r="68" spans="1:18" s="961" customFormat="1" ht="16.5" thickBot="1">
      <c r="A68" s="641" t="s">
        <v>389</v>
      </c>
      <c r="B68" s="642" t="s">
        <v>760</v>
      </c>
      <c r="C68" s="185" t="e">
        <f ca="1">ROUND(C67*(1-((1+F70)/(1+F68))^F69)/(F68-F70),0)</f>
        <v>#DIV/0!</v>
      </c>
      <c r="D68" s="659" t="s">
        <v>744</v>
      </c>
      <c r="E68" s="644" t="s">
        <v>745</v>
      </c>
      <c r="F68" s="196">
        <f ca="1">F40</f>
        <v>0</v>
      </c>
      <c r="O68" s="1002" t="s">
        <v>400</v>
      </c>
      <c r="P68" s="1040" t="s">
        <v>856</v>
      </c>
      <c r="Q68" s="995">
        <f ca="1">ROUND(Q69-Q70*Q71,0)</f>
        <v>0</v>
      </c>
      <c r="R68" s="995" t="s">
        <v>408</v>
      </c>
    </row>
    <row r="69" spans="1:18" s="961" customFormat="1" ht="13.5" thickBot="1">
      <c r="A69" s="645"/>
      <c r="B69" s="646"/>
      <c r="C69" s="190"/>
      <c r="D69" s="664" t="s">
        <v>748</v>
      </c>
      <c r="E69" s="644" t="s">
        <v>749</v>
      </c>
      <c r="F69" s="215">
        <f ca="1">F41</f>
        <v>0</v>
      </c>
      <c r="O69" s="1002" t="s">
        <v>405</v>
      </c>
      <c r="P69" s="1040" t="s">
        <v>857</v>
      </c>
      <c r="Q69" s="995">
        <f ca="1">C39</f>
        <v>0</v>
      </c>
      <c r="R69" s="995" t="s">
        <v>804</v>
      </c>
    </row>
    <row r="70" spans="1:18" s="961" customFormat="1" ht="13.5" thickBot="1">
      <c r="A70" s="648"/>
      <c r="B70" s="649"/>
      <c r="C70" s="194"/>
      <c r="D70" s="660"/>
      <c r="E70" s="644" t="s">
        <v>752</v>
      </c>
      <c r="F70" s="714"/>
      <c r="O70" s="1002" t="s">
        <v>406</v>
      </c>
      <c r="P70" s="1040" t="s">
        <v>858</v>
      </c>
      <c r="Q70" s="995">
        <f ca="1">C13</f>
        <v>0</v>
      </c>
      <c r="R70" s="995" t="s">
        <v>804</v>
      </c>
    </row>
    <row r="71" spans="1:18" s="961" customFormat="1" ht="13.5" thickBot="1">
      <c r="A71" s="665" t="s">
        <v>390</v>
      </c>
      <c r="B71" s="666" t="s">
        <v>762</v>
      </c>
      <c r="C71" s="218" t="e">
        <f ca="1">ROUND(C68/F71,0)</f>
        <v>#DIV/0!</v>
      </c>
      <c r="D71" s="667" t="s">
        <v>763</v>
      </c>
      <c r="E71" s="668" t="s">
        <v>764</v>
      </c>
      <c r="F71" s="221">
        <f ca="1">F43</f>
        <v>0</v>
      </c>
      <c r="O71" s="1002" t="s">
        <v>407</v>
      </c>
      <c r="P71" s="1040" t="s">
        <v>859</v>
      </c>
      <c r="Q71" s="1005">
        <f ca="1">C76</f>
        <v>0</v>
      </c>
      <c r="R71" s="995"/>
    </row>
    <row r="72" spans="1:18" s="961" customFormat="1" ht="13.5" thickBot="1">
      <c r="B72" s="494"/>
      <c r="C72" s="494"/>
      <c r="O72" s="1002" t="s">
        <v>401</v>
      </c>
      <c r="P72" s="994" t="s">
        <v>837</v>
      </c>
      <c r="Q72" s="1005">
        <f>L52</f>
        <v>0</v>
      </c>
      <c r="R72" s="995"/>
    </row>
    <row r="73" spans="1:18" ht="16.5" thickBot="1">
      <c r="A73" s="961"/>
      <c r="B73" s="494"/>
      <c r="C73" s="494"/>
      <c r="D73" s="961"/>
      <c r="E73" s="961"/>
      <c r="F73" s="961"/>
      <c r="O73" s="1002" t="s">
        <v>402</v>
      </c>
      <c r="P73" s="994" t="s">
        <v>840</v>
      </c>
      <c r="Q73" s="995" t="e">
        <f ca="1">L58</f>
        <v>#DIV/0!</v>
      </c>
      <c r="R73" s="995" t="s">
        <v>841</v>
      </c>
    </row>
    <row r="74" spans="1:18" ht="13.5" thickBot="1">
      <c r="A74" s="961"/>
      <c r="B74" s="168" t="s">
        <v>860</v>
      </c>
      <c r="C74" s="1042"/>
      <c r="D74" s="961"/>
      <c r="E74" s="961"/>
      <c r="F74" s="961"/>
      <c r="O74" s="1002" t="s">
        <v>409</v>
      </c>
      <c r="P74" s="994" t="str">
        <f>K59</f>
        <v>建筑物剩余耐用年限下的土地年期修正系数Kn</v>
      </c>
      <c r="Q74" s="995" t="e">
        <f ca="1">L59</f>
        <v>#DIV/0!</v>
      </c>
      <c r="R74" s="995" t="s">
        <v>842</v>
      </c>
    </row>
    <row r="75" spans="1:18" ht="13.5" thickBot="1">
      <c r="A75" s="961"/>
      <c r="B75" s="222" t="s">
        <v>781</v>
      </c>
      <c r="C75" s="223">
        <f ca="1">ROUND(C13*C76,0)</f>
        <v>0</v>
      </c>
      <c r="D75" s="961"/>
      <c r="E75" s="961"/>
      <c r="F75" s="961"/>
      <c r="K75" s="977"/>
      <c r="L75" s="961"/>
      <c r="O75" s="993" t="s">
        <v>403</v>
      </c>
      <c r="P75" s="994" t="s">
        <v>824</v>
      </c>
      <c r="Q75" s="995" t="e">
        <f ca="1">Q65+Q66</f>
        <v>#DIV/0!</v>
      </c>
      <c r="R75" s="995" t="s">
        <v>404</v>
      </c>
    </row>
    <row r="76" spans="1:18">
      <c r="B76" s="224" t="s">
        <v>782</v>
      </c>
      <c r="C76" s="225">
        <f ca="1">INDIRECT("'数据-取费表'!j"&amp;$G$1)</f>
        <v>0</v>
      </c>
      <c r="I76" s="961"/>
      <c r="J76" s="961"/>
      <c r="K76" s="977"/>
      <c r="L76" s="961"/>
    </row>
    <row r="77" spans="1:18">
      <c r="B77" s="226" t="s">
        <v>783</v>
      </c>
      <c r="C77" s="227"/>
      <c r="I77" s="961"/>
      <c r="J77" s="961"/>
      <c r="K77" s="977"/>
      <c r="L77" s="961"/>
    </row>
    <row r="78" spans="1:18">
      <c r="B78" s="165" t="s">
        <v>784</v>
      </c>
      <c r="C78" s="228"/>
    </row>
    <row r="79" spans="1:18">
      <c r="B79" s="222" t="s">
        <v>785</v>
      </c>
      <c r="C79" s="169" t="e">
        <f ca="1">1-C80</f>
        <v>#DIV/0!</v>
      </c>
    </row>
    <row r="80" spans="1:18">
      <c r="B80" s="222" t="s">
        <v>786</v>
      </c>
      <c r="C80" s="169" t="e">
        <f ca="1">ROUND(C75/C39,3)</f>
        <v>#DIV/0!</v>
      </c>
    </row>
    <row r="81" spans="2:3">
      <c r="B81" s="165" t="s">
        <v>787</v>
      </c>
      <c r="C81" s="133"/>
    </row>
    <row r="82" spans="2:3">
      <c r="B82" s="168" t="s">
        <v>788</v>
      </c>
      <c r="C82" s="170" t="e">
        <f ca="1">1-C83</f>
        <v>#DIV/0!</v>
      </c>
    </row>
    <row r="83" spans="2:3">
      <c r="B83" s="168" t="s">
        <v>789</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22" zoomScaleNormal="100" workbookViewId="0">
      <selection activeCell="F45" sqref="F45"/>
    </sheetView>
  </sheetViews>
  <sheetFormatPr defaultRowHeight="13.15" customHeight="1"/>
  <cols>
    <col min="1" max="1" width="9.5" style="2100" customWidth="1"/>
    <col min="2" max="2" width="8.875" style="2100"/>
    <col min="3" max="5" width="12.875" style="2100" customWidth="1"/>
    <col min="6" max="6" width="47.5" style="2100" customWidth="1"/>
    <col min="7" max="7" width="13" style="2094" customWidth="1"/>
    <col min="8" max="8" width="8.875" style="2094"/>
    <col min="9" max="9" width="8.875" style="2095"/>
    <col min="10" max="10" width="5.75" style="2212" customWidth="1"/>
    <col min="11" max="11" width="11.75" style="2212" customWidth="1"/>
    <col min="12" max="13" width="10.75" style="2212" customWidth="1"/>
    <col min="14" max="14" width="10" style="2212" customWidth="1"/>
    <col min="15" max="16" width="10.5" style="2212" bestFit="1" customWidth="1"/>
    <col min="17" max="17" width="10" style="2212" customWidth="1"/>
    <col min="18" max="18" width="10.125" style="2212" customWidth="1"/>
    <col min="19" max="19" width="10" style="2212" customWidth="1"/>
    <col min="20" max="20" width="26.125" style="2212" customWidth="1"/>
    <col min="21" max="21" width="8.875" style="2212"/>
    <col min="22" max="22" width="8.875" style="2095"/>
    <col min="23" max="256" width="8.875" style="2100"/>
    <col min="257" max="257" width="9.5" style="2100" customWidth="1"/>
    <col min="258" max="258" width="8.875" style="2100"/>
    <col min="259" max="261" width="12.875" style="2100" customWidth="1"/>
    <col min="262" max="262" width="47.5" style="2100" customWidth="1"/>
    <col min="263" max="263" width="13" style="2100" customWidth="1"/>
    <col min="264" max="265" width="8.875" style="2100"/>
    <col min="266" max="266" width="5.75" style="2100" customWidth="1"/>
    <col min="267" max="267" width="11.75" style="2100" customWidth="1"/>
    <col min="268" max="269" width="10.75" style="2100" customWidth="1"/>
    <col min="270" max="270" width="10" style="2100" customWidth="1"/>
    <col min="271" max="272" width="10.5" style="2100" bestFit="1" customWidth="1"/>
    <col min="273" max="273" width="10" style="2100" customWidth="1"/>
    <col min="274" max="274" width="10.125" style="2100" customWidth="1"/>
    <col min="275" max="275" width="10" style="2100" customWidth="1"/>
    <col min="276" max="276" width="26.125" style="2100" customWidth="1"/>
    <col min="277" max="512" width="8.875" style="2100"/>
    <col min="513" max="513" width="9.5" style="2100" customWidth="1"/>
    <col min="514" max="514" width="8.875" style="2100"/>
    <col min="515" max="517" width="12.875" style="2100" customWidth="1"/>
    <col min="518" max="518" width="47.5" style="2100" customWidth="1"/>
    <col min="519" max="519" width="13" style="2100" customWidth="1"/>
    <col min="520" max="521" width="8.875" style="2100"/>
    <col min="522" max="522" width="5.75" style="2100" customWidth="1"/>
    <col min="523" max="523" width="11.75" style="2100" customWidth="1"/>
    <col min="524" max="525" width="10.75" style="2100" customWidth="1"/>
    <col min="526" max="526" width="10" style="2100" customWidth="1"/>
    <col min="527" max="528" width="10.5" style="2100" bestFit="1" customWidth="1"/>
    <col min="529" max="529" width="10" style="2100" customWidth="1"/>
    <col min="530" max="530" width="10.125" style="2100" customWidth="1"/>
    <col min="531" max="531" width="10" style="2100" customWidth="1"/>
    <col min="532" max="532" width="26.125" style="2100" customWidth="1"/>
    <col min="533" max="768" width="8.875" style="2100"/>
    <col min="769" max="769" width="9.5" style="2100" customWidth="1"/>
    <col min="770" max="770" width="8.875" style="2100"/>
    <col min="771" max="773" width="12.875" style="2100" customWidth="1"/>
    <col min="774" max="774" width="47.5" style="2100" customWidth="1"/>
    <col min="775" max="775" width="13" style="2100" customWidth="1"/>
    <col min="776" max="777" width="8.875" style="2100"/>
    <col min="778" max="778" width="5.75" style="2100" customWidth="1"/>
    <col min="779" max="779" width="11.75" style="2100" customWidth="1"/>
    <col min="780" max="781" width="10.75" style="2100" customWidth="1"/>
    <col min="782" max="782" width="10" style="2100" customWidth="1"/>
    <col min="783" max="784" width="10.5" style="2100" bestFit="1" customWidth="1"/>
    <col min="785" max="785" width="10" style="2100" customWidth="1"/>
    <col min="786" max="786" width="10.125" style="2100" customWidth="1"/>
    <col min="787" max="787" width="10" style="2100" customWidth="1"/>
    <col min="788" max="788" width="26.125" style="2100" customWidth="1"/>
    <col min="789" max="1024" width="8.875" style="2100"/>
    <col min="1025" max="1025" width="9.5" style="2100" customWidth="1"/>
    <col min="1026" max="1026" width="8.875" style="2100"/>
    <col min="1027" max="1029" width="12.875" style="2100" customWidth="1"/>
    <col min="1030" max="1030" width="47.5" style="2100" customWidth="1"/>
    <col min="1031" max="1031" width="13" style="2100" customWidth="1"/>
    <col min="1032" max="1033" width="8.875" style="2100"/>
    <col min="1034" max="1034" width="5.75" style="2100" customWidth="1"/>
    <col min="1035" max="1035" width="11.75" style="2100" customWidth="1"/>
    <col min="1036" max="1037" width="10.75" style="2100" customWidth="1"/>
    <col min="1038" max="1038" width="10" style="2100" customWidth="1"/>
    <col min="1039" max="1040" width="10.5" style="2100" bestFit="1" customWidth="1"/>
    <col min="1041" max="1041" width="10" style="2100" customWidth="1"/>
    <col min="1042" max="1042" width="10.125" style="2100" customWidth="1"/>
    <col min="1043" max="1043" width="10" style="2100" customWidth="1"/>
    <col min="1044" max="1044" width="26.125" style="2100" customWidth="1"/>
    <col min="1045" max="1280" width="8.875" style="2100"/>
    <col min="1281" max="1281" width="9.5" style="2100" customWidth="1"/>
    <col min="1282" max="1282" width="8.875" style="2100"/>
    <col min="1283" max="1285" width="12.875" style="2100" customWidth="1"/>
    <col min="1286" max="1286" width="47.5" style="2100" customWidth="1"/>
    <col min="1287" max="1287" width="13" style="2100" customWidth="1"/>
    <col min="1288" max="1289" width="8.875" style="2100"/>
    <col min="1290" max="1290" width="5.75" style="2100" customWidth="1"/>
    <col min="1291" max="1291" width="11.75" style="2100" customWidth="1"/>
    <col min="1292" max="1293" width="10.75" style="2100" customWidth="1"/>
    <col min="1294" max="1294" width="10" style="2100" customWidth="1"/>
    <col min="1295" max="1296" width="10.5" style="2100" bestFit="1" customWidth="1"/>
    <col min="1297" max="1297" width="10" style="2100" customWidth="1"/>
    <col min="1298" max="1298" width="10.125" style="2100" customWidth="1"/>
    <col min="1299" max="1299" width="10" style="2100" customWidth="1"/>
    <col min="1300" max="1300" width="26.125" style="2100" customWidth="1"/>
    <col min="1301" max="1536" width="8.875" style="2100"/>
    <col min="1537" max="1537" width="9.5" style="2100" customWidth="1"/>
    <col min="1538" max="1538" width="8.875" style="2100"/>
    <col min="1539" max="1541" width="12.875" style="2100" customWidth="1"/>
    <col min="1542" max="1542" width="47.5" style="2100" customWidth="1"/>
    <col min="1543" max="1543" width="13" style="2100" customWidth="1"/>
    <col min="1544" max="1545" width="8.875" style="2100"/>
    <col min="1546" max="1546" width="5.75" style="2100" customWidth="1"/>
    <col min="1547" max="1547" width="11.75" style="2100" customWidth="1"/>
    <col min="1548" max="1549" width="10.75" style="2100" customWidth="1"/>
    <col min="1550" max="1550" width="10" style="2100" customWidth="1"/>
    <col min="1551" max="1552" width="10.5" style="2100" bestFit="1" customWidth="1"/>
    <col min="1553" max="1553" width="10" style="2100" customWidth="1"/>
    <col min="1554" max="1554" width="10.125" style="2100" customWidth="1"/>
    <col min="1555" max="1555" width="10" style="2100" customWidth="1"/>
    <col min="1556" max="1556" width="26.125" style="2100" customWidth="1"/>
    <col min="1557" max="1792" width="8.875" style="2100"/>
    <col min="1793" max="1793" width="9.5" style="2100" customWidth="1"/>
    <col min="1794" max="1794" width="8.875" style="2100"/>
    <col min="1795" max="1797" width="12.875" style="2100" customWidth="1"/>
    <col min="1798" max="1798" width="47.5" style="2100" customWidth="1"/>
    <col min="1799" max="1799" width="13" style="2100" customWidth="1"/>
    <col min="1800" max="1801" width="8.875" style="2100"/>
    <col min="1802" max="1802" width="5.75" style="2100" customWidth="1"/>
    <col min="1803" max="1803" width="11.75" style="2100" customWidth="1"/>
    <col min="1804" max="1805" width="10.75" style="2100" customWidth="1"/>
    <col min="1806" max="1806" width="10" style="2100" customWidth="1"/>
    <col min="1807" max="1808" width="10.5" style="2100" bestFit="1" customWidth="1"/>
    <col min="1809" max="1809" width="10" style="2100" customWidth="1"/>
    <col min="1810" max="1810" width="10.125" style="2100" customWidth="1"/>
    <col min="1811" max="1811" width="10" style="2100" customWidth="1"/>
    <col min="1812" max="1812" width="26.125" style="2100" customWidth="1"/>
    <col min="1813" max="2048" width="8.875" style="2100"/>
    <col min="2049" max="2049" width="9.5" style="2100" customWidth="1"/>
    <col min="2050" max="2050" width="8.875" style="2100"/>
    <col min="2051" max="2053" width="12.875" style="2100" customWidth="1"/>
    <col min="2054" max="2054" width="47.5" style="2100" customWidth="1"/>
    <col min="2055" max="2055" width="13" style="2100" customWidth="1"/>
    <col min="2056" max="2057" width="8.875" style="2100"/>
    <col min="2058" max="2058" width="5.75" style="2100" customWidth="1"/>
    <col min="2059" max="2059" width="11.75" style="2100" customWidth="1"/>
    <col min="2060" max="2061" width="10.75" style="2100" customWidth="1"/>
    <col min="2062" max="2062" width="10" style="2100" customWidth="1"/>
    <col min="2063" max="2064" width="10.5" style="2100" bestFit="1" customWidth="1"/>
    <col min="2065" max="2065" width="10" style="2100" customWidth="1"/>
    <col min="2066" max="2066" width="10.125" style="2100" customWidth="1"/>
    <col min="2067" max="2067" width="10" style="2100" customWidth="1"/>
    <col min="2068" max="2068" width="26.125" style="2100" customWidth="1"/>
    <col min="2069" max="2304" width="8.875" style="2100"/>
    <col min="2305" max="2305" width="9.5" style="2100" customWidth="1"/>
    <col min="2306" max="2306" width="8.875" style="2100"/>
    <col min="2307" max="2309" width="12.875" style="2100" customWidth="1"/>
    <col min="2310" max="2310" width="47.5" style="2100" customWidth="1"/>
    <col min="2311" max="2311" width="13" style="2100" customWidth="1"/>
    <col min="2312" max="2313" width="8.875" style="2100"/>
    <col min="2314" max="2314" width="5.75" style="2100" customWidth="1"/>
    <col min="2315" max="2315" width="11.75" style="2100" customWidth="1"/>
    <col min="2316" max="2317" width="10.75" style="2100" customWidth="1"/>
    <col min="2318" max="2318" width="10" style="2100" customWidth="1"/>
    <col min="2319" max="2320" width="10.5" style="2100" bestFit="1" customWidth="1"/>
    <col min="2321" max="2321" width="10" style="2100" customWidth="1"/>
    <col min="2322" max="2322" width="10.125" style="2100" customWidth="1"/>
    <col min="2323" max="2323" width="10" style="2100" customWidth="1"/>
    <col min="2324" max="2324" width="26.125" style="2100" customWidth="1"/>
    <col min="2325" max="2560" width="8.875" style="2100"/>
    <col min="2561" max="2561" width="9.5" style="2100" customWidth="1"/>
    <col min="2562" max="2562" width="8.875" style="2100"/>
    <col min="2563" max="2565" width="12.875" style="2100" customWidth="1"/>
    <col min="2566" max="2566" width="47.5" style="2100" customWidth="1"/>
    <col min="2567" max="2567" width="13" style="2100" customWidth="1"/>
    <col min="2568" max="2569" width="8.875" style="2100"/>
    <col min="2570" max="2570" width="5.75" style="2100" customWidth="1"/>
    <col min="2571" max="2571" width="11.75" style="2100" customWidth="1"/>
    <col min="2572" max="2573" width="10.75" style="2100" customWidth="1"/>
    <col min="2574" max="2574" width="10" style="2100" customWidth="1"/>
    <col min="2575" max="2576" width="10.5" style="2100" bestFit="1" customWidth="1"/>
    <col min="2577" max="2577" width="10" style="2100" customWidth="1"/>
    <col min="2578" max="2578" width="10.125" style="2100" customWidth="1"/>
    <col min="2579" max="2579" width="10" style="2100" customWidth="1"/>
    <col min="2580" max="2580" width="26.125" style="2100" customWidth="1"/>
    <col min="2581" max="2816" width="8.875" style="2100"/>
    <col min="2817" max="2817" width="9.5" style="2100" customWidth="1"/>
    <col min="2818" max="2818" width="8.875" style="2100"/>
    <col min="2819" max="2821" width="12.875" style="2100" customWidth="1"/>
    <col min="2822" max="2822" width="47.5" style="2100" customWidth="1"/>
    <col min="2823" max="2823" width="13" style="2100" customWidth="1"/>
    <col min="2824" max="2825" width="8.875" style="2100"/>
    <col min="2826" max="2826" width="5.75" style="2100" customWidth="1"/>
    <col min="2827" max="2827" width="11.75" style="2100" customWidth="1"/>
    <col min="2828" max="2829" width="10.75" style="2100" customWidth="1"/>
    <col min="2830" max="2830" width="10" style="2100" customWidth="1"/>
    <col min="2831" max="2832" width="10.5" style="2100" bestFit="1" customWidth="1"/>
    <col min="2833" max="2833" width="10" style="2100" customWidth="1"/>
    <col min="2834" max="2834" width="10.125" style="2100" customWidth="1"/>
    <col min="2835" max="2835" width="10" style="2100" customWidth="1"/>
    <col min="2836" max="2836" width="26.125" style="2100" customWidth="1"/>
    <col min="2837" max="3072" width="8.875" style="2100"/>
    <col min="3073" max="3073" width="9.5" style="2100" customWidth="1"/>
    <col min="3074" max="3074" width="8.875" style="2100"/>
    <col min="3075" max="3077" width="12.875" style="2100" customWidth="1"/>
    <col min="3078" max="3078" width="47.5" style="2100" customWidth="1"/>
    <col min="3079" max="3079" width="13" style="2100" customWidth="1"/>
    <col min="3080" max="3081" width="8.875" style="2100"/>
    <col min="3082" max="3082" width="5.75" style="2100" customWidth="1"/>
    <col min="3083" max="3083" width="11.75" style="2100" customWidth="1"/>
    <col min="3084" max="3085" width="10.75" style="2100" customWidth="1"/>
    <col min="3086" max="3086" width="10" style="2100" customWidth="1"/>
    <col min="3087" max="3088" width="10.5" style="2100" bestFit="1" customWidth="1"/>
    <col min="3089" max="3089" width="10" style="2100" customWidth="1"/>
    <col min="3090" max="3090" width="10.125" style="2100" customWidth="1"/>
    <col min="3091" max="3091" width="10" style="2100" customWidth="1"/>
    <col min="3092" max="3092" width="26.125" style="2100" customWidth="1"/>
    <col min="3093" max="3328" width="8.875" style="2100"/>
    <col min="3329" max="3329" width="9.5" style="2100" customWidth="1"/>
    <col min="3330" max="3330" width="8.875" style="2100"/>
    <col min="3331" max="3333" width="12.875" style="2100" customWidth="1"/>
    <col min="3334" max="3334" width="47.5" style="2100" customWidth="1"/>
    <col min="3335" max="3335" width="13" style="2100" customWidth="1"/>
    <col min="3336" max="3337" width="8.875" style="2100"/>
    <col min="3338" max="3338" width="5.75" style="2100" customWidth="1"/>
    <col min="3339" max="3339" width="11.75" style="2100" customWidth="1"/>
    <col min="3340" max="3341" width="10.75" style="2100" customWidth="1"/>
    <col min="3342" max="3342" width="10" style="2100" customWidth="1"/>
    <col min="3343" max="3344" width="10.5" style="2100" bestFit="1" customWidth="1"/>
    <col min="3345" max="3345" width="10" style="2100" customWidth="1"/>
    <col min="3346" max="3346" width="10.125" style="2100" customWidth="1"/>
    <col min="3347" max="3347" width="10" style="2100" customWidth="1"/>
    <col min="3348" max="3348" width="26.125" style="2100" customWidth="1"/>
    <col min="3349" max="3584" width="8.875" style="2100"/>
    <col min="3585" max="3585" width="9.5" style="2100" customWidth="1"/>
    <col min="3586" max="3586" width="8.875" style="2100"/>
    <col min="3587" max="3589" width="12.875" style="2100" customWidth="1"/>
    <col min="3590" max="3590" width="47.5" style="2100" customWidth="1"/>
    <col min="3591" max="3591" width="13" style="2100" customWidth="1"/>
    <col min="3592" max="3593" width="8.875" style="2100"/>
    <col min="3594" max="3594" width="5.75" style="2100" customWidth="1"/>
    <col min="3595" max="3595" width="11.75" style="2100" customWidth="1"/>
    <col min="3596" max="3597" width="10.75" style="2100" customWidth="1"/>
    <col min="3598" max="3598" width="10" style="2100" customWidth="1"/>
    <col min="3599" max="3600" width="10.5" style="2100" bestFit="1" customWidth="1"/>
    <col min="3601" max="3601" width="10" style="2100" customWidth="1"/>
    <col min="3602" max="3602" width="10.125" style="2100" customWidth="1"/>
    <col min="3603" max="3603" width="10" style="2100" customWidth="1"/>
    <col min="3604" max="3604" width="26.125" style="2100" customWidth="1"/>
    <col min="3605" max="3840" width="8.875" style="2100"/>
    <col min="3841" max="3841" width="9.5" style="2100" customWidth="1"/>
    <col min="3842" max="3842" width="8.875" style="2100"/>
    <col min="3843" max="3845" width="12.875" style="2100" customWidth="1"/>
    <col min="3846" max="3846" width="47.5" style="2100" customWidth="1"/>
    <col min="3847" max="3847" width="13" style="2100" customWidth="1"/>
    <col min="3848" max="3849" width="8.875" style="2100"/>
    <col min="3850" max="3850" width="5.75" style="2100" customWidth="1"/>
    <col min="3851" max="3851" width="11.75" style="2100" customWidth="1"/>
    <col min="3852" max="3853" width="10.75" style="2100" customWidth="1"/>
    <col min="3854" max="3854" width="10" style="2100" customWidth="1"/>
    <col min="3855" max="3856" width="10.5" style="2100" bestFit="1" customWidth="1"/>
    <col min="3857" max="3857" width="10" style="2100" customWidth="1"/>
    <col min="3858" max="3858" width="10.125" style="2100" customWidth="1"/>
    <col min="3859" max="3859" width="10" style="2100" customWidth="1"/>
    <col min="3860" max="3860" width="26.125" style="2100" customWidth="1"/>
    <col min="3861" max="4096" width="8.875" style="2100"/>
    <col min="4097" max="4097" width="9.5" style="2100" customWidth="1"/>
    <col min="4098" max="4098" width="8.875" style="2100"/>
    <col min="4099" max="4101" width="12.875" style="2100" customWidth="1"/>
    <col min="4102" max="4102" width="47.5" style="2100" customWidth="1"/>
    <col min="4103" max="4103" width="13" style="2100" customWidth="1"/>
    <col min="4104" max="4105" width="8.875" style="2100"/>
    <col min="4106" max="4106" width="5.75" style="2100" customWidth="1"/>
    <col min="4107" max="4107" width="11.75" style="2100" customWidth="1"/>
    <col min="4108" max="4109" width="10.75" style="2100" customWidth="1"/>
    <col min="4110" max="4110" width="10" style="2100" customWidth="1"/>
    <col min="4111" max="4112" width="10.5" style="2100" bestFit="1" customWidth="1"/>
    <col min="4113" max="4113" width="10" style="2100" customWidth="1"/>
    <col min="4114" max="4114" width="10.125" style="2100" customWidth="1"/>
    <col min="4115" max="4115" width="10" style="2100" customWidth="1"/>
    <col min="4116" max="4116" width="26.125" style="2100" customWidth="1"/>
    <col min="4117" max="4352" width="8.875" style="2100"/>
    <col min="4353" max="4353" width="9.5" style="2100" customWidth="1"/>
    <col min="4354" max="4354" width="8.875" style="2100"/>
    <col min="4355" max="4357" width="12.875" style="2100" customWidth="1"/>
    <col min="4358" max="4358" width="47.5" style="2100" customWidth="1"/>
    <col min="4359" max="4359" width="13" style="2100" customWidth="1"/>
    <col min="4360" max="4361" width="8.875" style="2100"/>
    <col min="4362" max="4362" width="5.75" style="2100" customWidth="1"/>
    <col min="4363" max="4363" width="11.75" style="2100" customWidth="1"/>
    <col min="4364" max="4365" width="10.75" style="2100" customWidth="1"/>
    <col min="4366" max="4366" width="10" style="2100" customWidth="1"/>
    <col min="4367" max="4368" width="10.5" style="2100" bestFit="1" customWidth="1"/>
    <col min="4369" max="4369" width="10" style="2100" customWidth="1"/>
    <col min="4370" max="4370" width="10.125" style="2100" customWidth="1"/>
    <col min="4371" max="4371" width="10" style="2100" customWidth="1"/>
    <col min="4372" max="4372" width="26.125" style="2100" customWidth="1"/>
    <col min="4373" max="4608" width="8.875" style="2100"/>
    <col min="4609" max="4609" width="9.5" style="2100" customWidth="1"/>
    <col min="4610" max="4610" width="8.875" style="2100"/>
    <col min="4611" max="4613" width="12.875" style="2100" customWidth="1"/>
    <col min="4614" max="4614" width="47.5" style="2100" customWidth="1"/>
    <col min="4615" max="4615" width="13" style="2100" customWidth="1"/>
    <col min="4616" max="4617" width="8.875" style="2100"/>
    <col min="4618" max="4618" width="5.75" style="2100" customWidth="1"/>
    <col min="4619" max="4619" width="11.75" style="2100" customWidth="1"/>
    <col min="4620" max="4621" width="10.75" style="2100" customWidth="1"/>
    <col min="4622" max="4622" width="10" style="2100" customWidth="1"/>
    <col min="4623" max="4624" width="10.5" style="2100" bestFit="1" customWidth="1"/>
    <col min="4625" max="4625" width="10" style="2100" customWidth="1"/>
    <col min="4626" max="4626" width="10.125" style="2100" customWidth="1"/>
    <col min="4627" max="4627" width="10" style="2100" customWidth="1"/>
    <col min="4628" max="4628" width="26.125" style="2100" customWidth="1"/>
    <col min="4629" max="4864" width="8.875" style="2100"/>
    <col min="4865" max="4865" width="9.5" style="2100" customWidth="1"/>
    <col min="4866" max="4866" width="8.875" style="2100"/>
    <col min="4867" max="4869" width="12.875" style="2100" customWidth="1"/>
    <col min="4870" max="4870" width="47.5" style="2100" customWidth="1"/>
    <col min="4871" max="4871" width="13" style="2100" customWidth="1"/>
    <col min="4872" max="4873" width="8.875" style="2100"/>
    <col min="4874" max="4874" width="5.75" style="2100" customWidth="1"/>
    <col min="4875" max="4875" width="11.75" style="2100" customWidth="1"/>
    <col min="4876" max="4877" width="10.75" style="2100" customWidth="1"/>
    <col min="4878" max="4878" width="10" style="2100" customWidth="1"/>
    <col min="4879" max="4880" width="10.5" style="2100" bestFit="1" customWidth="1"/>
    <col min="4881" max="4881" width="10" style="2100" customWidth="1"/>
    <col min="4882" max="4882" width="10.125" style="2100" customWidth="1"/>
    <col min="4883" max="4883" width="10" style="2100" customWidth="1"/>
    <col min="4884" max="4884" width="26.125" style="2100" customWidth="1"/>
    <col min="4885" max="5120" width="8.875" style="2100"/>
    <col min="5121" max="5121" width="9.5" style="2100" customWidth="1"/>
    <col min="5122" max="5122" width="8.875" style="2100"/>
    <col min="5123" max="5125" width="12.875" style="2100" customWidth="1"/>
    <col min="5126" max="5126" width="47.5" style="2100" customWidth="1"/>
    <col min="5127" max="5127" width="13" style="2100" customWidth="1"/>
    <col min="5128" max="5129" width="8.875" style="2100"/>
    <col min="5130" max="5130" width="5.75" style="2100" customWidth="1"/>
    <col min="5131" max="5131" width="11.75" style="2100" customWidth="1"/>
    <col min="5132" max="5133" width="10.75" style="2100" customWidth="1"/>
    <col min="5134" max="5134" width="10" style="2100" customWidth="1"/>
    <col min="5135" max="5136" width="10.5" style="2100" bestFit="1" customWidth="1"/>
    <col min="5137" max="5137" width="10" style="2100" customWidth="1"/>
    <col min="5138" max="5138" width="10.125" style="2100" customWidth="1"/>
    <col min="5139" max="5139" width="10" style="2100" customWidth="1"/>
    <col min="5140" max="5140" width="26.125" style="2100" customWidth="1"/>
    <col min="5141" max="5376" width="8.875" style="2100"/>
    <col min="5377" max="5377" width="9.5" style="2100" customWidth="1"/>
    <col min="5378" max="5378" width="8.875" style="2100"/>
    <col min="5379" max="5381" width="12.875" style="2100" customWidth="1"/>
    <col min="5382" max="5382" width="47.5" style="2100" customWidth="1"/>
    <col min="5383" max="5383" width="13" style="2100" customWidth="1"/>
    <col min="5384" max="5385" width="8.875" style="2100"/>
    <col min="5386" max="5386" width="5.75" style="2100" customWidth="1"/>
    <col min="5387" max="5387" width="11.75" style="2100" customWidth="1"/>
    <col min="5388" max="5389" width="10.75" style="2100" customWidth="1"/>
    <col min="5390" max="5390" width="10" style="2100" customWidth="1"/>
    <col min="5391" max="5392" width="10.5" style="2100" bestFit="1" customWidth="1"/>
    <col min="5393" max="5393" width="10" style="2100" customWidth="1"/>
    <col min="5394" max="5394" width="10.125" style="2100" customWidth="1"/>
    <col min="5395" max="5395" width="10" style="2100" customWidth="1"/>
    <col min="5396" max="5396" width="26.125" style="2100" customWidth="1"/>
    <col min="5397" max="5632" width="8.875" style="2100"/>
    <col min="5633" max="5633" width="9.5" style="2100" customWidth="1"/>
    <col min="5634" max="5634" width="8.875" style="2100"/>
    <col min="5635" max="5637" width="12.875" style="2100" customWidth="1"/>
    <col min="5638" max="5638" width="47.5" style="2100" customWidth="1"/>
    <col min="5639" max="5639" width="13" style="2100" customWidth="1"/>
    <col min="5640" max="5641" width="8.875" style="2100"/>
    <col min="5642" max="5642" width="5.75" style="2100" customWidth="1"/>
    <col min="5643" max="5643" width="11.75" style="2100" customWidth="1"/>
    <col min="5644" max="5645" width="10.75" style="2100" customWidth="1"/>
    <col min="5646" max="5646" width="10" style="2100" customWidth="1"/>
    <col min="5647" max="5648" width="10.5" style="2100" bestFit="1" customWidth="1"/>
    <col min="5649" max="5649" width="10" style="2100" customWidth="1"/>
    <col min="5650" max="5650" width="10.125" style="2100" customWidth="1"/>
    <col min="5651" max="5651" width="10" style="2100" customWidth="1"/>
    <col min="5652" max="5652" width="26.125" style="2100" customWidth="1"/>
    <col min="5653" max="5888" width="8.875" style="2100"/>
    <col min="5889" max="5889" width="9.5" style="2100" customWidth="1"/>
    <col min="5890" max="5890" width="8.875" style="2100"/>
    <col min="5891" max="5893" width="12.875" style="2100" customWidth="1"/>
    <col min="5894" max="5894" width="47.5" style="2100" customWidth="1"/>
    <col min="5895" max="5895" width="13" style="2100" customWidth="1"/>
    <col min="5896" max="5897" width="8.875" style="2100"/>
    <col min="5898" max="5898" width="5.75" style="2100" customWidth="1"/>
    <col min="5899" max="5899" width="11.75" style="2100" customWidth="1"/>
    <col min="5900" max="5901" width="10.75" style="2100" customWidth="1"/>
    <col min="5902" max="5902" width="10" style="2100" customWidth="1"/>
    <col min="5903" max="5904" width="10.5" style="2100" bestFit="1" customWidth="1"/>
    <col min="5905" max="5905" width="10" style="2100" customWidth="1"/>
    <col min="5906" max="5906" width="10.125" style="2100" customWidth="1"/>
    <col min="5907" max="5907" width="10" style="2100" customWidth="1"/>
    <col min="5908" max="5908" width="26.125" style="2100" customWidth="1"/>
    <col min="5909" max="6144" width="8.875" style="2100"/>
    <col min="6145" max="6145" width="9.5" style="2100" customWidth="1"/>
    <col min="6146" max="6146" width="8.875" style="2100"/>
    <col min="6147" max="6149" width="12.875" style="2100" customWidth="1"/>
    <col min="6150" max="6150" width="47.5" style="2100" customWidth="1"/>
    <col min="6151" max="6151" width="13" style="2100" customWidth="1"/>
    <col min="6152" max="6153" width="8.875" style="2100"/>
    <col min="6154" max="6154" width="5.75" style="2100" customWidth="1"/>
    <col min="6155" max="6155" width="11.75" style="2100" customWidth="1"/>
    <col min="6156" max="6157" width="10.75" style="2100" customWidth="1"/>
    <col min="6158" max="6158" width="10" style="2100" customWidth="1"/>
    <col min="6159" max="6160" width="10.5" style="2100" bestFit="1" customWidth="1"/>
    <col min="6161" max="6161" width="10" style="2100" customWidth="1"/>
    <col min="6162" max="6162" width="10.125" style="2100" customWidth="1"/>
    <col min="6163" max="6163" width="10" style="2100" customWidth="1"/>
    <col min="6164" max="6164" width="26.125" style="2100" customWidth="1"/>
    <col min="6165" max="6400" width="8.875" style="2100"/>
    <col min="6401" max="6401" width="9.5" style="2100" customWidth="1"/>
    <col min="6402" max="6402" width="8.875" style="2100"/>
    <col min="6403" max="6405" width="12.875" style="2100" customWidth="1"/>
    <col min="6406" max="6406" width="47.5" style="2100" customWidth="1"/>
    <col min="6407" max="6407" width="13" style="2100" customWidth="1"/>
    <col min="6408" max="6409" width="8.875" style="2100"/>
    <col min="6410" max="6410" width="5.75" style="2100" customWidth="1"/>
    <col min="6411" max="6411" width="11.75" style="2100" customWidth="1"/>
    <col min="6412" max="6413" width="10.75" style="2100" customWidth="1"/>
    <col min="6414" max="6414" width="10" style="2100" customWidth="1"/>
    <col min="6415" max="6416" width="10.5" style="2100" bestFit="1" customWidth="1"/>
    <col min="6417" max="6417" width="10" style="2100" customWidth="1"/>
    <col min="6418" max="6418" width="10.125" style="2100" customWidth="1"/>
    <col min="6419" max="6419" width="10" style="2100" customWidth="1"/>
    <col min="6420" max="6420" width="26.125" style="2100" customWidth="1"/>
    <col min="6421" max="6656" width="8.875" style="2100"/>
    <col min="6657" max="6657" width="9.5" style="2100" customWidth="1"/>
    <col min="6658" max="6658" width="8.875" style="2100"/>
    <col min="6659" max="6661" width="12.875" style="2100" customWidth="1"/>
    <col min="6662" max="6662" width="47.5" style="2100" customWidth="1"/>
    <col min="6663" max="6663" width="13" style="2100" customWidth="1"/>
    <col min="6664" max="6665" width="8.875" style="2100"/>
    <col min="6666" max="6666" width="5.75" style="2100" customWidth="1"/>
    <col min="6667" max="6667" width="11.75" style="2100" customWidth="1"/>
    <col min="6668" max="6669" width="10.75" style="2100" customWidth="1"/>
    <col min="6670" max="6670" width="10" style="2100" customWidth="1"/>
    <col min="6671" max="6672" width="10.5" style="2100" bestFit="1" customWidth="1"/>
    <col min="6673" max="6673" width="10" style="2100" customWidth="1"/>
    <col min="6674" max="6674" width="10.125" style="2100" customWidth="1"/>
    <col min="6675" max="6675" width="10" style="2100" customWidth="1"/>
    <col min="6676" max="6676" width="26.125" style="2100" customWidth="1"/>
    <col min="6677" max="6912" width="8.875" style="2100"/>
    <col min="6913" max="6913" width="9.5" style="2100" customWidth="1"/>
    <col min="6914" max="6914" width="8.875" style="2100"/>
    <col min="6915" max="6917" width="12.875" style="2100" customWidth="1"/>
    <col min="6918" max="6918" width="47.5" style="2100" customWidth="1"/>
    <col min="6919" max="6919" width="13" style="2100" customWidth="1"/>
    <col min="6920" max="6921" width="8.875" style="2100"/>
    <col min="6922" max="6922" width="5.75" style="2100" customWidth="1"/>
    <col min="6923" max="6923" width="11.75" style="2100" customWidth="1"/>
    <col min="6924" max="6925" width="10.75" style="2100" customWidth="1"/>
    <col min="6926" max="6926" width="10" style="2100" customWidth="1"/>
    <col min="6927" max="6928" width="10.5" style="2100" bestFit="1" customWidth="1"/>
    <col min="6929" max="6929" width="10" style="2100" customWidth="1"/>
    <col min="6930" max="6930" width="10.125" style="2100" customWidth="1"/>
    <col min="6931" max="6931" width="10" style="2100" customWidth="1"/>
    <col min="6932" max="6932" width="26.125" style="2100" customWidth="1"/>
    <col min="6933" max="7168" width="8.875" style="2100"/>
    <col min="7169" max="7169" width="9.5" style="2100" customWidth="1"/>
    <col min="7170" max="7170" width="8.875" style="2100"/>
    <col min="7171" max="7173" width="12.875" style="2100" customWidth="1"/>
    <col min="7174" max="7174" width="47.5" style="2100" customWidth="1"/>
    <col min="7175" max="7175" width="13" style="2100" customWidth="1"/>
    <col min="7176" max="7177" width="8.875" style="2100"/>
    <col min="7178" max="7178" width="5.75" style="2100" customWidth="1"/>
    <col min="7179" max="7179" width="11.75" style="2100" customWidth="1"/>
    <col min="7180" max="7181" width="10.75" style="2100" customWidth="1"/>
    <col min="7182" max="7182" width="10" style="2100" customWidth="1"/>
    <col min="7183" max="7184" width="10.5" style="2100" bestFit="1" customWidth="1"/>
    <col min="7185" max="7185" width="10" style="2100" customWidth="1"/>
    <col min="7186" max="7186" width="10.125" style="2100" customWidth="1"/>
    <col min="7187" max="7187" width="10" style="2100" customWidth="1"/>
    <col min="7188" max="7188" width="26.125" style="2100" customWidth="1"/>
    <col min="7189" max="7424" width="8.875" style="2100"/>
    <col min="7425" max="7425" width="9.5" style="2100" customWidth="1"/>
    <col min="7426" max="7426" width="8.875" style="2100"/>
    <col min="7427" max="7429" width="12.875" style="2100" customWidth="1"/>
    <col min="7430" max="7430" width="47.5" style="2100" customWidth="1"/>
    <col min="7431" max="7431" width="13" style="2100" customWidth="1"/>
    <col min="7432" max="7433" width="8.875" style="2100"/>
    <col min="7434" max="7434" width="5.75" style="2100" customWidth="1"/>
    <col min="7435" max="7435" width="11.75" style="2100" customWidth="1"/>
    <col min="7436" max="7437" width="10.75" style="2100" customWidth="1"/>
    <col min="7438" max="7438" width="10" style="2100" customWidth="1"/>
    <col min="7439" max="7440" width="10.5" style="2100" bestFit="1" customWidth="1"/>
    <col min="7441" max="7441" width="10" style="2100" customWidth="1"/>
    <col min="7442" max="7442" width="10.125" style="2100" customWidth="1"/>
    <col min="7443" max="7443" width="10" style="2100" customWidth="1"/>
    <col min="7444" max="7444" width="26.125" style="2100" customWidth="1"/>
    <col min="7445" max="7680" width="8.875" style="2100"/>
    <col min="7681" max="7681" width="9.5" style="2100" customWidth="1"/>
    <col min="7682" max="7682" width="8.875" style="2100"/>
    <col min="7683" max="7685" width="12.875" style="2100" customWidth="1"/>
    <col min="7686" max="7686" width="47.5" style="2100" customWidth="1"/>
    <col min="7687" max="7687" width="13" style="2100" customWidth="1"/>
    <col min="7688" max="7689" width="8.875" style="2100"/>
    <col min="7690" max="7690" width="5.75" style="2100" customWidth="1"/>
    <col min="7691" max="7691" width="11.75" style="2100" customWidth="1"/>
    <col min="7692" max="7693" width="10.75" style="2100" customWidth="1"/>
    <col min="7694" max="7694" width="10" style="2100" customWidth="1"/>
    <col min="7695" max="7696" width="10.5" style="2100" bestFit="1" customWidth="1"/>
    <col min="7697" max="7697" width="10" style="2100" customWidth="1"/>
    <col min="7698" max="7698" width="10.125" style="2100" customWidth="1"/>
    <col min="7699" max="7699" width="10" style="2100" customWidth="1"/>
    <col min="7700" max="7700" width="26.125" style="2100" customWidth="1"/>
    <col min="7701" max="7936" width="8.875" style="2100"/>
    <col min="7937" max="7937" width="9.5" style="2100" customWidth="1"/>
    <col min="7938" max="7938" width="8.875" style="2100"/>
    <col min="7939" max="7941" width="12.875" style="2100" customWidth="1"/>
    <col min="7942" max="7942" width="47.5" style="2100" customWidth="1"/>
    <col min="7943" max="7943" width="13" style="2100" customWidth="1"/>
    <col min="7944" max="7945" width="8.875" style="2100"/>
    <col min="7946" max="7946" width="5.75" style="2100" customWidth="1"/>
    <col min="7947" max="7947" width="11.75" style="2100" customWidth="1"/>
    <col min="7948" max="7949" width="10.75" style="2100" customWidth="1"/>
    <col min="7950" max="7950" width="10" style="2100" customWidth="1"/>
    <col min="7951" max="7952" width="10.5" style="2100" bestFit="1" customWidth="1"/>
    <col min="7953" max="7953" width="10" style="2100" customWidth="1"/>
    <col min="7954" max="7954" width="10.125" style="2100" customWidth="1"/>
    <col min="7955" max="7955" width="10" style="2100" customWidth="1"/>
    <col min="7956" max="7956" width="26.125" style="2100" customWidth="1"/>
    <col min="7957" max="8192" width="8.875" style="2100"/>
    <col min="8193" max="8193" width="9.5" style="2100" customWidth="1"/>
    <col min="8194" max="8194" width="8.875" style="2100"/>
    <col min="8195" max="8197" width="12.875" style="2100" customWidth="1"/>
    <col min="8198" max="8198" width="47.5" style="2100" customWidth="1"/>
    <col min="8199" max="8199" width="13" style="2100" customWidth="1"/>
    <col min="8200" max="8201" width="8.875" style="2100"/>
    <col min="8202" max="8202" width="5.75" style="2100" customWidth="1"/>
    <col min="8203" max="8203" width="11.75" style="2100" customWidth="1"/>
    <col min="8204" max="8205" width="10.75" style="2100" customWidth="1"/>
    <col min="8206" max="8206" width="10" style="2100" customWidth="1"/>
    <col min="8207" max="8208" width="10.5" style="2100" bestFit="1" customWidth="1"/>
    <col min="8209" max="8209" width="10" style="2100" customWidth="1"/>
    <col min="8210" max="8210" width="10.125" style="2100" customWidth="1"/>
    <col min="8211" max="8211" width="10" style="2100" customWidth="1"/>
    <col min="8212" max="8212" width="26.125" style="2100" customWidth="1"/>
    <col min="8213" max="8448" width="8.875" style="2100"/>
    <col min="8449" max="8449" width="9.5" style="2100" customWidth="1"/>
    <col min="8450" max="8450" width="8.875" style="2100"/>
    <col min="8451" max="8453" width="12.875" style="2100" customWidth="1"/>
    <col min="8454" max="8454" width="47.5" style="2100" customWidth="1"/>
    <col min="8455" max="8455" width="13" style="2100" customWidth="1"/>
    <col min="8456" max="8457" width="8.875" style="2100"/>
    <col min="8458" max="8458" width="5.75" style="2100" customWidth="1"/>
    <col min="8459" max="8459" width="11.75" style="2100" customWidth="1"/>
    <col min="8460" max="8461" width="10.75" style="2100" customWidth="1"/>
    <col min="8462" max="8462" width="10" style="2100" customWidth="1"/>
    <col min="8463" max="8464" width="10.5" style="2100" bestFit="1" customWidth="1"/>
    <col min="8465" max="8465" width="10" style="2100" customWidth="1"/>
    <col min="8466" max="8466" width="10.125" style="2100" customWidth="1"/>
    <col min="8467" max="8467" width="10" style="2100" customWidth="1"/>
    <col min="8468" max="8468" width="26.125" style="2100" customWidth="1"/>
    <col min="8469" max="8704" width="8.875" style="2100"/>
    <col min="8705" max="8705" width="9.5" style="2100" customWidth="1"/>
    <col min="8706" max="8706" width="8.875" style="2100"/>
    <col min="8707" max="8709" width="12.875" style="2100" customWidth="1"/>
    <col min="8710" max="8710" width="47.5" style="2100" customWidth="1"/>
    <col min="8711" max="8711" width="13" style="2100" customWidth="1"/>
    <col min="8712" max="8713" width="8.875" style="2100"/>
    <col min="8714" max="8714" width="5.75" style="2100" customWidth="1"/>
    <col min="8715" max="8715" width="11.75" style="2100" customWidth="1"/>
    <col min="8716" max="8717" width="10.75" style="2100" customWidth="1"/>
    <col min="8718" max="8718" width="10" style="2100" customWidth="1"/>
    <col min="8719" max="8720" width="10.5" style="2100" bestFit="1" customWidth="1"/>
    <col min="8721" max="8721" width="10" style="2100" customWidth="1"/>
    <col min="8722" max="8722" width="10.125" style="2100" customWidth="1"/>
    <col min="8723" max="8723" width="10" style="2100" customWidth="1"/>
    <col min="8724" max="8724" width="26.125" style="2100" customWidth="1"/>
    <col min="8725" max="8960" width="8.875" style="2100"/>
    <col min="8961" max="8961" width="9.5" style="2100" customWidth="1"/>
    <col min="8962" max="8962" width="8.875" style="2100"/>
    <col min="8963" max="8965" width="12.875" style="2100" customWidth="1"/>
    <col min="8966" max="8966" width="47.5" style="2100" customWidth="1"/>
    <col min="8967" max="8967" width="13" style="2100" customWidth="1"/>
    <col min="8968" max="8969" width="8.875" style="2100"/>
    <col min="8970" max="8970" width="5.75" style="2100" customWidth="1"/>
    <col min="8971" max="8971" width="11.75" style="2100" customWidth="1"/>
    <col min="8972" max="8973" width="10.75" style="2100" customWidth="1"/>
    <col min="8974" max="8974" width="10" style="2100" customWidth="1"/>
    <col min="8975" max="8976" width="10.5" style="2100" bestFit="1" customWidth="1"/>
    <col min="8977" max="8977" width="10" style="2100" customWidth="1"/>
    <col min="8978" max="8978" width="10.125" style="2100" customWidth="1"/>
    <col min="8979" max="8979" width="10" style="2100" customWidth="1"/>
    <col min="8980" max="8980" width="26.125" style="2100" customWidth="1"/>
    <col min="8981" max="9216" width="8.875" style="2100"/>
    <col min="9217" max="9217" width="9.5" style="2100" customWidth="1"/>
    <col min="9218" max="9218" width="8.875" style="2100"/>
    <col min="9219" max="9221" width="12.875" style="2100" customWidth="1"/>
    <col min="9222" max="9222" width="47.5" style="2100" customWidth="1"/>
    <col min="9223" max="9223" width="13" style="2100" customWidth="1"/>
    <col min="9224" max="9225" width="8.875" style="2100"/>
    <col min="9226" max="9226" width="5.75" style="2100" customWidth="1"/>
    <col min="9227" max="9227" width="11.75" style="2100" customWidth="1"/>
    <col min="9228" max="9229" width="10.75" style="2100" customWidth="1"/>
    <col min="9230" max="9230" width="10" style="2100" customWidth="1"/>
    <col min="9231" max="9232" width="10.5" style="2100" bestFit="1" customWidth="1"/>
    <col min="9233" max="9233" width="10" style="2100" customWidth="1"/>
    <col min="9234" max="9234" width="10.125" style="2100" customWidth="1"/>
    <col min="9235" max="9235" width="10" style="2100" customWidth="1"/>
    <col min="9236" max="9236" width="26.125" style="2100" customWidth="1"/>
    <col min="9237" max="9472" width="8.875" style="2100"/>
    <col min="9473" max="9473" width="9.5" style="2100" customWidth="1"/>
    <col min="9474" max="9474" width="8.875" style="2100"/>
    <col min="9475" max="9477" width="12.875" style="2100" customWidth="1"/>
    <col min="9478" max="9478" width="47.5" style="2100" customWidth="1"/>
    <col min="9479" max="9479" width="13" style="2100" customWidth="1"/>
    <col min="9480" max="9481" width="8.875" style="2100"/>
    <col min="9482" max="9482" width="5.75" style="2100" customWidth="1"/>
    <col min="9483" max="9483" width="11.75" style="2100" customWidth="1"/>
    <col min="9484" max="9485" width="10.75" style="2100" customWidth="1"/>
    <col min="9486" max="9486" width="10" style="2100" customWidth="1"/>
    <col min="9487" max="9488" width="10.5" style="2100" bestFit="1" customWidth="1"/>
    <col min="9489" max="9489" width="10" style="2100" customWidth="1"/>
    <col min="9490" max="9490" width="10.125" style="2100" customWidth="1"/>
    <col min="9491" max="9491" width="10" style="2100" customWidth="1"/>
    <col min="9492" max="9492" width="26.125" style="2100" customWidth="1"/>
    <col min="9493" max="9728" width="8.875" style="2100"/>
    <col min="9729" max="9729" width="9.5" style="2100" customWidth="1"/>
    <col min="9730" max="9730" width="8.875" style="2100"/>
    <col min="9731" max="9733" width="12.875" style="2100" customWidth="1"/>
    <col min="9734" max="9734" width="47.5" style="2100" customWidth="1"/>
    <col min="9735" max="9735" width="13" style="2100" customWidth="1"/>
    <col min="9736" max="9737" width="8.875" style="2100"/>
    <col min="9738" max="9738" width="5.75" style="2100" customWidth="1"/>
    <col min="9739" max="9739" width="11.75" style="2100" customWidth="1"/>
    <col min="9740" max="9741" width="10.75" style="2100" customWidth="1"/>
    <col min="9742" max="9742" width="10" style="2100" customWidth="1"/>
    <col min="9743" max="9744" width="10.5" style="2100" bestFit="1" customWidth="1"/>
    <col min="9745" max="9745" width="10" style="2100" customWidth="1"/>
    <col min="9746" max="9746" width="10.125" style="2100" customWidth="1"/>
    <col min="9747" max="9747" width="10" style="2100" customWidth="1"/>
    <col min="9748" max="9748" width="26.125" style="2100" customWidth="1"/>
    <col min="9749" max="9984" width="8.875" style="2100"/>
    <col min="9985" max="9985" width="9.5" style="2100" customWidth="1"/>
    <col min="9986" max="9986" width="8.875" style="2100"/>
    <col min="9987" max="9989" width="12.875" style="2100" customWidth="1"/>
    <col min="9990" max="9990" width="47.5" style="2100" customWidth="1"/>
    <col min="9991" max="9991" width="13" style="2100" customWidth="1"/>
    <col min="9992" max="9993" width="8.875" style="2100"/>
    <col min="9994" max="9994" width="5.75" style="2100" customWidth="1"/>
    <col min="9995" max="9995" width="11.75" style="2100" customWidth="1"/>
    <col min="9996" max="9997" width="10.75" style="2100" customWidth="1"/>
    <col min="9998" max="9998" width="10" style="2100" customWidth="1"/>
    <col min="9999" max="10000" width="10.5" style="2100" bestFit="1" customWidth="1"/>
    <col min="10001" max="10001" width="10" style="2100" customWidth="1"/>
    <col min="10002" max="10002" width="10.125" style="2100" customWidth="1"/>
    <col min="10003" max="10003" width="10" style="2100" customWidth="1"/>
    <col min="10004" max="10004" width="26.125" style="2100" customWidth="1"/>
    <col min="10005" max="10240" width="8.875" style="2100"/>
    <col min="10241" max="10241" width="9.5" style="2100" customWidth="1"/>
    <col min="10242" max="10242" width="8.875" style="2100"/>
    <col min="10243" max="10245" width="12.875" style="2100" customWidth="1"/>
    <col min="10246" max="10246" width="47.5" style="2100" customWidth="1"/>
    <col min="10247" max="10247" width="13" style="2100" customWidth="1"/>
    <col min="10248" max="10249" width="8.875" style="2100"/>
    <col min="10250" max="10250" width="5.75" style="2100" customWidth="1"/>
    <col min="10251" max="10251" width="11.75" style="2100" customWidth="1"/>
    <col min="10252" max="10253" width="10.75" style="2100" customWidth="1"/>
    <col min="10254" max="10254" width="10" style="2100" customWidth="1"/>
    <col min="10255" max="10256" width="10.5" style="2100" bestFit="1" customWidth="1"/>
    <col min="10257" max="10257" width="10" style="2100" customWidth="1"/>
    <col min="10258" max="10258" width="10.125" style="2100" customWidth="1"/>
    <col min="10259" max="10259" width="10" style="2100" customWidth="1"/>
    <col min="10260" max="10260" width="26.125" style="2100" customWidth="1"/>
    <col min="10261" max="10496" width="8.875" style="2100"/>
    <col min="10497" max="10497" width="9.5" style="2100" customWidth="1"/>
    <col min="10498" max="10498" width="8.875" style="2100"/>
    <col min="10499" max="10501" width="12.875" style="2100" customWidth="1"/>
    <col min="10502" max="10502" width="47.5" style="2100" customWidth="1"/>
    <col min="10503" max="10503" width="13" style="2100" customWidth="1"/>
    <col min="10504" max="10505" width="8.875" style="2100"/>
    <col min="10506" max="10506" width="5.75" style="2100" customWidth="1"/>
    <col min="10507" max="10507" width="11.75" style="2100" customWidth="1"/>
    <col min="10508" max="10509" width="10.75" style="2100" customWidth="1"/>
    <col min="10510" max="10510" width="10" style="2100" customWidth="1"/>
    <col min="10511" max="10512" width="10.5" style="2100" bestFit="1" customWidth="1"/>
    <col min="10513" max="10513" width="10" style="2100" customWidth="1"/>
    <col min="10514" max="10514" width="10.125" style="2100" customWidth="1"/>
    <col min="10515" max="10515" width="10" style="2100" customWidth="1"/>
    <col min="10516" max="10516" width="26.125" style="2100" customWidth="1"/>
    <col min="10517" max="10752" width="8.875" style="2100"/>
    <col min="10753" max="10753" width="9.5" style="2100" customWidth="1"/>
    <col min="10754" max="10754" width="8.875" style="2100"/>
    <col min="10755" max="10757" width="12.875" style="2100" customWidth="1"/>
    <col min="10758" max="10758" width="47.5" style="2100" customWidth="1"/>
    <col min="10759" max="10759" width="13" style="2100" customWidth="1"/>
    <col min="10760" max="10761" width="8.875" style="2100"/>
    <col min="10762" max="10762" width="5.75" style="2100" customWidth="1"/>
    <col min="10763" max="10763" width="11.75" style="2100" customWidth="1"/>
    <col min="10764" max="10765" width="10.75" style="2100" customWidth="1"/>
    <col min="10766" max="10766" width="10" style="2100" customWidth="1"/>
    <col min="10767" max="10768" width="10.5" style="2100" bestFit="1" customWidth="1"/>
    <col min="10769" max="10769" width="10" style="2100" customWidth="1"/>
    <col min="10770" max="10770" width="10.125" style="2100" customWidth="1"/>
    <col min="10771" max="10771" width="10" style="2100" customWidth="1"/>
    <col min="10772" max="10772" width="26.125" style="2100" customWidth="1"/>
    <col min="10773" max="11008" width="8.875" style="2100"/>
    <col min="11009" max="11009" width="9.5" style="2100" customWidth="1"/>
    <col min="11010" max="11010" width="8.875" style="2100"/>
    <col min="11011" max="11013" width="12.875" style="2100" customWidth="1"/>
    <col min="11014" max="11014" width="47.5" style="2100" customWidth="1"/>
    <col min="11015" max="11015" width="13" style="2100" customWidth="1"/>
    <col min="11016" max="11017" width="8.875" style="2100"/>
    <col min="11018" max="11018" width="5.75" style="2100" customWidth="1"/>
    <col min="11019" max="11019" width="11.75" style="2100" customWidth="1"/>
    <col min="11020" max="11021" width="10.75" style="2100" customWidth="1"/>
    <col min="11022" max="11022" width="10" style="2100" customWidth="1"/>
    <col min="11023" max="11024" width="10.5" style="2100" bestFit="1" customWidth="1"/>
    <col min="11025" max="11025" width="10" style="2100" customWidth="1"/>
    <col min="11026" max="11026" width="10.125" style="2100" customWidth="1"/>
    <col min="11027" max="11027" width="10" style="2100" customWidth="1"/>
    <col min="11028" max="11028" width="26.125" style="2100" customWidth="1"/>
    <col min="11029" max="11264" width="8.875" style="2100"/>
    <col min="11265" max="11265" width="9.5" style="2100" customWidth="1"/>
    <col min="11266" max="11266" width="8.875" style="2100"/>
    <col min="11267" max="11269" width="12.875" style="2100" customWidth="1"/>
    <col min="11270" max="11270" width="47.5" style="2100" customWidth="1"/>
    <col min="11271" max="11271" width="13" style="2100" customWidth="1"/>
    <col min="11272" max="11273" width="8.875" style="2100"/>
    <col min="11274" max="11274" width="5.75" style="2100" customWidth="1"/>
    <col min="11275" max="11275" width="11.75" style="2100" customWidth="1"/>
    <col min="11276" max="11277" width="10.75" style="2100" customWidth="1"/>
    <col min="11278" max="11278" width="10" style="2100" customWidth="1"/>
    <col min="11279" max="11280" width="10.5" style="2100" bestFit="1" customWidth="1"/>
    <col min="11281" max="11281" width="10" style="2100" customWidth="1"/>
    <col min="11282" max="11282" width="10.125" style="2100" customWidth="1"/>
    <col min="11283" max="11283" width="10" style="2100" customWidth="1"/>
    <col min="11284" max="11284" width="26.125" style="2100" customWidth="1"/>
    <col min="11285" max="11520" width="8.875" style="2100"/>
    <col min="11521" max="11521" width="9.5" style="2100" customWidth="1"/>
    <col min="11522" max="11522" width="8.875" style="2100"/>
    <col min="11523" max="11525" width="12.875" style="2100" customWidth="1"/>
    <col min="11526" max="11526" width="47.5" style="2100" customWidth="1"/>
    <col min="11527" max="11527" width="13" style="2100" customWidth="1"/>
    <col min="11528" max="11529" width="8.875" style="2100"/>
    <col min="11530" max="11530" width="5.75" style="2100" customWidth="1"/>
    <col min="11531" max="11531" width="11.75" style="2100" customWidth="1"/>
    <col min="11532" max="11533" width="10.75" style="2100" customWidth="1"/>
    <col min="11534" max="11534" width="10" style="2100" customWidth="1"/>
    <col min="11535" max="11536" width="10.5" style="2100" bestFit="1" customWidth="1"/>
    <col min="11537" max="11537" width="10" style="2100" customWidth="1"/>
    <col min="11538" max="11538" width="10.125" style="2100" customWidth="1"/>
    <col min="11539" max="11539" width="10" style="2100" customWidth="1"/>
    <col min="11540" max="11540" width="26.125" style="2100" customWidth="1"/>
    <col min="11541" max="11776" width="8.875" style="2100"/>
    <col min="11777" max="11777" width="9.5" style="2100" customWidth="1"/>
    <col min="11778" max="11778" width="8.875" style="2100"/>
    <col min="11779" max="11781" width="12.875" style="2100" customWidth="1"/>
    <col min="11782" max="11782" width="47.5" style="2100" customWidth="1"/>
    <col min="11783" max="11783" width="13" style="2100" customWidth="1"/>
    <col min="11784" max="11785" width="8.875" style="2100"/>
    <col min="11786" max="11786" width="5.75" style="2100" customWidth="1"/>
    <col min="11787" max="11787" width="11.75" style="2100" customWidth="1"/>
    <col min="11788" max="11789" width="10.75" style="2100" customWidth="1"/>
    <col min="11790" max="11790" width="10" style="2100" customWidth="1"/>
    <col min="11791" max="11792" width="10.5" style="2100" bestFit="1" customWidth="1"/>
    <col min="11793" max="11793" width="10" style="2100" customWidth="1"/>
    <col min="11794" max="11794" width="10.125" style="2100" customWidth="1"/>
    <col min="11795" max="11795" width="10" style="2100" customWidth="1"/>
    <col min="11796" max="11796" width="26.125" style="2100" customWidth="1"/>
    <col min="11797" max="12032" width="8.875" style="2100"/>
    <col min="12033" max="12033" width="9.5" style="2100" customWidth="1"/>
    <col min="12034" max="12034" width="8.875" style="2100"/>
    <col min="12035" max="12037" width="12.875" style="2100" customWidth="1"/>
    <col min="12038" max="12038" width="47.5" style="2100" customWidth="1"/>
    <col min="12039" max="12039" width="13" style="2100" customWidth="1"/>
    <col min="12040" max="12041" width="8.875" style="2100"/>
    <col min="12042" max="12042" width="5.75" style="2100" customWidth="1"/>
    <col min="12043" max="12043" width="11.75" style="2100" customWidth="1"/>
    <col min="12044" max="12045" width="10.75" style="2100" customWidth="1"/>
    <col min="12046" max="12046" width="10" style="2100" customWidth="1"/>
    <col min="12047" max="12048" width="10.5" style="2100" bestFit="1" customWidth="1"/>
    <col min="12049" max="12049" width="10" style="2100" customWidth="1"/>
    <col min="12050" max="12050" width="10.125" style="2100" customWidth="1"/>
    <col min="12051" max="12051" width="10" style="2100" customWidth="1"/>
    <col min="12052" max="12052" width="26.125" style="2100" customWidth="1"/>
    <col min="12053" max="12288" width="8.875" style="2100"/>
    <col min="12289" max="12289" width="9.5" style="2100" customWidth="1"/>
    <col min="12290" max="12290" width="8.875" style="2100"/>
    <col min="12291" max="12293" width="12.875" style="2100" customWidth="1"/>
    <col min="12294" max="12294" width="47.5" style="2100" customWidth="1"/>
    <col min="12295" max="12295" width="13" style="2100" customWidth="1"/>
    <col min="12296" max="12297" width="8.875" style="2100"/>
    <col min="12298" max="12298" width="5.75" style="2100" customWidth="1"/>
    <col min="12299" max="12299" width="11.75" style="2100" customWidth="1"/>
    <col min="12300" max="12301" width="10.75" style="2100" customWidth="1"/>
    <col min="12302" max="12302" width="10" style="2100" customWidth="1"/>
    <col min="12303" max="12304" width="10.5" style="2100" bestFit="1" customWidth="1"/>
    <col min="12305" max="12305" width="10" style="2100" customWidth="1"/>
    <col min="12306" max="12306" width="10.125" style="2100" customWidth="1"/>
    <col min="12307" max="12307" width="10" style="2100" customWidth="1"/>
    <col min="12308" max="12308" width="26.125" style="2100" customWidth="1"/>
    <col min="12309" max="12544" width="8.875" style="2100"/>
    <col min="12545" max="12545" width="9.5" style="2100" customWidth="1"/>
    <col min="12546" max="12546" width="8.875" style="2100"/>
    <col min="12547" max="12549" width="12.875" style="2100" customWidth="1"/>
    <col min="12550" max="12550" width="47.5" style="2100" customWidth="1"/>
    <col min="12551" max="12551" width="13" style="2100" customWidth="1"/>
    <col min="12552" max="12553" width="8.875" style="2100"/>
    <col min="12554" max="12554" width="5.75" style="2100" customWidth="1"/>
    <col min="12555" max="12555" width="11.75" style="2100" customWidth="1"/>
    <col min="12556" max="12557" width="10.75" style="2100" customWidth="1"/>
    <col min="12558" max="12558" width="10" style="2100" customWidth="1"/>
    <col min="12559" max="12560" width="10.5" style="2100" bestFit="1" customWidth="1"/>
    <col min="12561" max="12561" width="10" style="2100" customWidth="1"/>
    <col min="12562" max="12562" width="10.125" style="2100" customWidth="1"/>
    <col min="12563" max="12563" width="10" style="2100" customWidth="1"/>
    <col min="12564" max="12564" width="26.125" style="2100" customWidth="1"/>
    <col min="12565" max="12800" width="8.875" style="2100"/>
    <col min="12801" max="12801" width="9.5" style="2100" customWidth="1"/>
    <col min="12802" max="12802" width="8.875" style="2100"/>
    <col min="12803" max="12805" width="12.875" style="2100" customWidth="1"/>
    <col min="12806" max="12806" width="47.5" style="2100" customWidth="1"/>
    <col min="12807" max="12807" width="13" style="2100" customWidth="1"/>
    <col min="12808" max="12809" width="8.875" style="2100"/>
    <col min="12810" max="12810" width="5.75" style="2100" customWidth="1"/>
    <col min="12811" max="12811" width="11.75" style="2100" customWidth="1"/>
    <col min="12812" max="12813" width="10.75" style="2100" customWidth="1"/>
    <col min="12814" max="12814" width="10" style="2100" customWidth="1"/>
    <col min="12815" max="12816" width="10.5" style="2100" bestFit="1" customWidth="1"/>
    <col min="12817" max="12817" width="10" style="2100" customWidth="1"/>
    <col min="12818" max="12818" width="10.125" style="2100" customWidth="1"/>
    <col min="12819" max="12819" width="10" style="2100" customWidth="1"/>
    <col min="12820" max="12820" width="26.125" style="2100" customWidth="1"/>
    <col min="12821" max="13056" width="8.875" style="2100"/>
    <col min="13057" max="13057" width="9.5" style="2100" customWidth="1"/>
    <col min="13058" max="13058" width="8.875" style="2100"/>
    <col min="13059" max="13061" width="12.875" style="2100" customWidth="1"/>
    <col min="13062" max="13062" width="47.5" style="2100" customWidth="1"/>
    <col min="13063" max="13063" width="13" style="2100" customWidth="1"/>
    <col min="13064" max="13065" width="8.875" style="2100"/>
    <col min="13066" max="13066" width="5.75" style="2100" customWidth="1"/>
    <col min="13067" max="13067" width="11.75" style="2100" customWidth="1"/>
    <col min="13068" max="13069" width="10.75" style="2100" customWidth="1"/>
    <col min="13070" max="13070" width="10" style="2100" customWidth="1"/>
    <col min="13071" max="13072" width="10.5" style="2100" bestFit="1" customWidth="1"/>
    <col min="13073" max="13073" width="10" style="2100" customWidth="1"/>
    <col min="13074" max="13074" width="10.125" style="2100" customWidth="1"/>
    <col min="13075" max="13075" width="10" style="2100" customWidth="1"/>
    <col min="13076" max="13076" width="26.125" style="2100" customWidth="1"/>
    <col min="13077" max="13312" width="8.875" style="2100"/>
    <col min="13313" max="13313" width="9.5" style="2100" customWidth="1"/>
    <col min="13314" max="13314" width="8.875" style="2100"/>
    <col min="13315" max="13317" width="12.875" style="2100" customWidth="1"/>
    <col min="13318" max="13318" width="47.5" style="2100" customWidth="1"/>
    <col min="13319" max="13319" width="13" style="2100" customWidth="1"/>
    <col min="13320" max="13321" width="8.875" style="2100"/>
    <col min="13322" max="13322" width="5.75" style="2100" customWidth="1"/>
    <col min="13323" max="13323" width="11.75" style="2100" customWidth="1"/>
    <col min="13324" max="13325" width="10.75" style="2100" customWidth="1"/>
    <col min="13326" max="13326" width="10" style="2100" customWidth="1"/>
    <col min="13327" max="13328" width="10.5" style="2100" bestFit="1" customWidth="1"/>
    <col min="13329" max="13329" width="10" style="2100" customWidth="1"/>
    <col min="13330" max="13330" width="10.125" style="2100" customWidth="1"/>
    <col min="13331" max="13331" width="10" style="2100" customWidth="1"/>
    <col min="13332" max="13332" width="26.125" style="2100" customWidth="1"/>
    <col min="13333" max="13568" width="8.875" style="2100"/>
    <col min="13569" max="13569" width="9.5" style="2100" customWidth="1"/>
    <col min="13570" max="13570" width="8.875" style="2100"/>
    <col min="13571" max="13573" width="12.875" style="2100" customWidth="1"/>
    <col min="13574" max="13574" width="47.5" style="2100" customWidth="1"/>
    <col min="13575" max="13575" width="13" style="2100" customWidth="1"/>
    <col min="13576" max="13577" width="8.875" style="2100"/>
    <col min="13578" max="13578" width="5.75" style="2100" customWidth="1"/>
    <col min="13579" max="13579" width="11.75" style="2100" customWidth="1"/>
    <col min="13580" max="13581" width="10.75" style="2100" customWidth="1"/>
    <col min="13582" max="13582" width="10" style="2100" customWidth="1"/>
    <col min="13583" max="13584" width="10.5" style="2100" bestFit="1" customWidth="1"/>
    <col min="13585" max="13585" width="10" style="2100" customWidth="1"/>
    <col min="13586" max="13586" width="10.125" style="2100" customWidth="1"/>
    <col min="13587" max="13587" width="10" style="2100" customWidth="1"/>
    <col min="13588" max="13588" width="26.125" style="2100" customWidth="1"/>
    <col min="13589" max="13824" width="8.875" style="2100"/>
    <col min="13825" max="13825" width="9.5" style="2100" customWidth="1"/>
    <col min="13826" max="13826" width="8.875" style="2100"/>
    <col min="13827" max="13829" width="12.875" style="2100" customWidth="1"/>
    <col min="13830" max="13830" width="47.5" style="2100" customWidth="1"/>
    <col min="13831" max="13831" width="13" style="2100" customWidth="1"/>
    <col min="13832" max="13833" width="8.875" style="2100"/>
    <col min="13834" max="13834" width="5.75" style="2100" customWidth="1"/>
    <col min="13835" max="13835" width="11.75" style="2100" customWidth="1"/>
    <col min="13836" max="13837" width="10.75" style="2100" customWidth="1"/>
    <col min="13838" max="13838" width="10" style="2100" customWidth="1"/>
    <col min="13839" max="13840" width="10.5" style="2100" bestFit="1" customWidth="1"/>
    <col min="13841" max="13841" width="10" style="2100" customWidth="1"/>
    <col min="13842" max="13842" width="10.125" style="2100" customWidth="1"/>
    <col min="13843" max="13843" width="10" style="2100" customWidth="1"/>
    <col min="13844" max="13844" width="26.125" style="2100" customWidth="1"/>
    <col min="13845" max="14080" width="8.875" style="2100"/>
    <col min="14081" max="14081" width="9.5" style="2100" customWidth="1"/>
    <col min="14082" max="14082" width="8.875" style="2100"/>
    <col min="14083" max="14085" width="12.875" style="2100" customWidth="1"/>
    <col min="14086" max="14086" width="47.5" style="2100" customWidth="1"/>
    <col min="14087" max="14087" width="13" style="2100" customWidth="1"/>
    <col min="14088" max="14089" width="8.875" style="2100"/>
    <col min="14090" max="14090" width="5.75" style="2100" customWidth="1"/>
    <col min="14091" max="14091" width="11.75" style="2100" customWidth="1"/>
    <col min="14092" max="14093" width="10.75" style="2100" customWidth="1"/>
    <col min="14094" max="14094" width="10" style="2100" customWidth="1"/>
    <col min="14095" max="14096" width="10.5" style="2100" bestFit="1" customWidth="1"/>
    <col min="14097" max="14097" width="10" style="2100" customWidth="1"/>
    <col min="14098" max="14098" width="10.125" style="2100" customWidth="1"/>
    <col min="14099" max="14099" width="10" style="2100" customWidth="1"/>
    <col min="14100" max="14100" width="26.125" style="2100" customWidth="1"/>
    <col min="14101" max="14336" width="8.875" style="2100"/>
    <col min="14337" max="14337" width="9.5" style="2100" customWidth="1"/>
    <col min="14338" max="14338" width="8.875" style="2100"/>
    <col min="14339" max="14341" width="12.875" style="2100" customWidth="1"/>
    <col min="14342" max="14342" width="47.5" style="2100" customWidth="1"/>
    <col min="14343" max="14343" width="13" style="2100" customWidth="1"/>
    <col min="14344" max="14345" width="8.875" style="2100"/>
    <col min="14346" max="14346" width="5.75" style="2100" customWidth="1"/>
    <col min="14347" max="14347" width="11.75" style="2100" customWidth="1"/>
    <col min="14348" max="14349" width="10.75" style="2100" customWidth="1"/>
    <col min="14350" max="14350" width="10" style="2100" customWidth="1"/>
    <col min="14351" max="14352" width="10.5" style="2100" bestFit="1" customWidth="1"/>
    <col min="14353" max="14353" width="10" style="2100" customWidth="1"/>
    <col min="14354" max="14354" width="10.125" style="2100" customWidth="1"/>
    <col min="14355" max="14355" width="10" style="2100" customWidth="1"/>
    <col min="14356" max="14356" width="26.125" style="2100" customWidth="1"/>
    <col min="14357" max="14592" width="8.875" style="2100"/>
    <col min="14593" max="14593" width="9.5" style="2100" customWidth="1"/>
    <col min="14594" max="14594" width="8.875" style="2100"/>
    <col min="14595" max="14597" width="12.875" style="2100" customWidth="1"/>
    <col min="14598" max="14598" width="47.5" style="2100" customWidth="1"/>
    <col min="14599" max="14599" width="13" style="2100" customWidth="1"/>
    <col min="14600" max="14601" width="8.875" style="2100"/>
    <col min="14602" max="14602" width="5.75" style="2100" customWidth="1"/>
    <col min="14603" max="14603" width="11.75" style="2100" customWidth="1"/>
    <col min="14604" max="14605" width="10.75" style="2100" customWidth="1"/>
    <col min="14606" max="14606" width="10" style="2100" customWidth="1"/>
    <col min="14607" max="14608" width="10.5" style="2100" bestFit="1" customWidth="1"/>
    <col min="14609" max="14609" width="10" style="2100" customWidth="1"/>
    <col min="14610" max="14610" width="10.125" style="2100" customWidth="1"/>
    <col min="14611" max="14611" width="10" style="2100" customWidth="1"/>
    <col min="14612" max="14612" width="26.125" style="2100" customWidth="1"/>
    <col min="14613" max="14848" width="8.875" style="2100"/>
    <col min="14849" max="14849" width="9.5" style="2100" customWidth="1"/>
    <col min="14850" max="14850" width="8.875" style="2100"/>
    <col min="14851" max="14853" width="12.875" style="2100" customWidth="1"/>
    <col min="14854" max="14854" width="47.5" style="2100" customWidth="1"/>
    <col min="14855" max="14855" width="13" style="2100" customWidth="1"/>
    <col min="14856" max="14857" width="8.875" style="2100"/>
    <col min="14858" max="14858" width="5.75" style="2100" customWidth="1"/>
    <col min="14859" max="14859" width="11.75" style="2100" customWidth="1"/>
    <col min="14860" max="14861" width="10.75" style="2100" customWidth="1"/>
    <col min="14862" max="14862" width="10" style="2100" customWidth="1"/>
    <col min="14863" max="14864" width="10.5" style="2100" bestFit="1" customWidth="1"/>
    <col min="14865" max="14865" width="10" style="2100" customWidth="1"/>
    <col min="14866" max="14866" width="10.125" style="2100" customWidth="1"/>
    <col min="14867" max="14867" width="10" style="2100" customWidth="1"/>
    <col min="14868" max="14868" width="26.125" style="2100" customWidth="1"/>
    <col min="14869" max="15104" width="8.875" style="2100"/>
    <col min="15105" max="15105" width="9.5" style="2100" customWidth="1"/>
    <col min="15106" max="15106" width="8.875" style="2100"/>
    <col min="15107" max="15109" width="12.875" style="2100" customWidth="1"/>
    <col min="15110" max="15110" width="47.5" style="2100" customWidth="1"/>
    <col min="15111" max="15111" width="13" style="2100" customWidth="1"/>
    <col min="15112" max="15113" width="8.875" style="2100"/>
    <col min="15114" max="15114" width="5.75" style="2100" customWidth="1"/>
    <col min="15115" max="15115" width="11.75" style="2100" customWidth="1"/>
    <col min="15116" max="15117" width="10.75" style="2100" customWidth="1"/>
    <col min="15118" max="15118" width="10" style="2100" customWidth="1"/>
    <col min="15119" max="15120" width="10.5" style="2100" bestFit="1" customWidth="1"/>
    <col min="15121" max="15121" width="10" style="2100" customWidth="1"/>
    <col min="15122" max="15122" width="10.125" style="2100" customWidth="1"/>
    <col min="15123" max="15123" width="10" style="2100" customWidth="1"/>
    <col min="15124" max="15124" width="26.125" style="2100" customWidth="1"/>
    <col min="15125" max="15360" width="8.875" style="2100"/>
    <col min="15361" max="15361" width="9.5" style="2100" customWidth="1"/>
    <col min="15362" max="15362" width="8.875" style="2100"/>
    <col min="15363" max="15365" width="12.875" style="2100" customWidth="1"/>
    <col min="15366" max="15366" width="47.5" style="2100" customWidth="1"/>
    <col min="15367" max="15367" width="13" style="2100" customWidth="1"/>
    <col min="15368" max="15369" width="8.875" style="2100"/>
    <col min="15370" max="15370" width="5.75" style="2100" customWidth="1"/>
    <col min="15371" max="15371" width="11.75" style="2100" customWidth="1"/>
    <col min="15372" max="15373" width="10.75" style="2100" customWidth="1"/>
    <col min="15374" max="15374" width="10" style="2100" customWidth="1"/>
    <col min="15375" max="15376" width="10.5" style="2100" bestFit="1" customWidth="1"/>
    <col min="15377" max="15377" width="10" style="2100" customWidth="1"/>
    <col min="15378" max="15378" width="10.125" style="2100" customWidth="1"/>
    <col min="15379" max="15379" width="10" style="2100" customWidth="1"/>
    <col min="15380" max="15380" width="26.125" style="2100" customWidth="1"/>
    <col min="15381" max="15616" width="8.875" style="2100"/>
    <col min="15617" max="15617" width="9.5" style="2100" customWidth="1"/>
    <col min="15618" max="15618" width="8.875" style="2100"/>
    <col min="15619" max="15621" width="12.875" style="2100" customWidth="1"/>
    <col min="15622" max="15622" width="47.5" style="2100" customWidth="1"/>
    <col min="15623" max="15623" width="13" style="2100" customWidth="1"/>
    <col min="15624" max="15625" width="8.875" style="2100"/>
    <col min="15626" max="15626" width="5.75" style="2100" customWidth="1"/>
    <col min="15627" max="15627" width="11.75" style="2100" customWidth="1"/>
    <col min="15628" max="15629" width="10.75" style="2100" customWidth="1"/>
    <col min="15630" max="15630" width="10" style="2100" customWidth="1"/>
    <col min="15631" max="15632" width="10.5" style="2100" bestFit="1" customWidth="1"/>
    <col min="15633" max="15633" width="10" style="2100" customWidth="1"/>
    <col min="15634" max="15634" width="10.125" style="2100" customWidth="1"/>
    <col min="15635" max="15635" width="10" style="2100" customWidth="1"/>
    <col min="15636" max="15636" width="26.125" style="2100" customWidth="1"/>
    <col min="15637" max="15872" width="8.875" style="2100"/>
    <col min="15873" max="15873" width="9.5" style="2100" customWidth="1"/>
    <col min="15874" max="15874" width="8.875" style="2100"/>
    <col min="15875" max="15877" width="12.875" style="2100" customWidth="1"/>
    <col min="15878" max="15878" width="47.5" style="2100" customWidth="1"/>
    <col min="15879" max="15879" width="13" style="2100" customWidth="1"/>
    <col min="15880" max="15881" width="8.875" style="2100"/>
    <col min="15882" max="15882" width="5.75" style="2100" customWidth="1"/>
    <col min="15883" max="15883" width="11.75" style="2100" customWidth="1"/>
    <col min="15884" max="15885" width="10.75" style="2100" customWidth="1"/>
    <col min="15886" max="15886" width="10" style="2100" customWidth="1"/>
    <col min="15887" max="15888" width="10.5" style="2100" bestFit="1" customWidth="1"/>
    <col min="15889" max="15889" width="10" style="2100" customWidth="1"/>
    <col min="15890" max="15890" width="10.125" style="2100" customWidth="1"/>
    <col min="15891" max="15891" width="10" style="2100" customWidth="1"/>
    <col min="15892" max="15892" width="26.125" style="2100" customWidth="1"/>
    <col min="15893" max="16128" width="8.875" style="2100"/>
    <col min="16129" max="16129" width="9.5" style="2100" customWidth="1"/>
    <col min="16130" max="16130" width="8.875" style="2100"/>
    <col min="16131" max="16133" width="12.875" style="2100" customWidth="1"/>
    <col min="16134" max="16134" width="47.5" style="2100" customWidth="1"/>
    <col min="16135" max="16135" width="13" style="2100" customWidth="1"/>
    <col min="16136" max="16137" width="8.875" style="2100"/>
    <col min="16138" max="16138" width="5.75" style="2100" customWidth="1"/>
    <col min="16139" max="16139" width="11.75" style="2100" customWidth="1"/>
    <col min="16140" max="16141" width="10.75" style="2100" customWidth="1"/>
    <col min="16142" max="16142" width="10" style="2100" customWidth="1"/>
    <col min="16143" max="16144" width="10.5" style="2100" bestFit="1" customWidth="1"/>
    <col min="16145" max="16145" width="10" style="2100" customWidth="1"/>
    <col min="16146" max="16146" width="10.125" style="2100" customWidth="1"/>
    <col min="16147" max="16147" width="10" style="2100" customWidth="1"/>
    <col min="16148" max="16148" width="26.125" style="2100" customWidth="1"/>
    <col min="16149" max="16384" width="8.875" style="2100"/>
  </cols>
  <sheetData>
    <row r="1" spans="1:22" ht="21" customHeight="1">
      <c r="A1" s="2089" t="s">
        <v>2320</v>
      </c>
      <c r="B1" s="2090"/>
      <c r="C1" s="2101"/>
      <c r="D1" s="2101"/>
      <c r="E1" s="2091"/>
      <c r="F1" s="2092"/>
      <c r="G1" s="2093"/>
      <c r="J1" s="2096" t="s">
        <v>2205</v>
      </c>
      <c r="K1" s="2097"/>
      <c r="L1" s="2097"/>
      <c r="M1" s="2097"/>
      <c r="N1" s="2097"/>
      <c r="O1" s="2097"/>
      <c r="P1" s="2097"/>
      <c r="Q1" s="2097"/>
      <c r="R1" s="2098"/>
      <c r="S1" s="2099"/>
      <c r="T1" s="2099"/>
      <c r="U1" s="2099"/>
    </row>
    <row r="2" spans="1:22" s="2110" customFormat="1" ht="13.15" customHeight="1">
      <c r="A2" s="962" t="s">
        <v>2206</v>
      </c>
      <c r="B2" s="3553" t="e">
        <f>IF(D2="——",C40,C40+E2)</f>
        <v>#DIV/0!</v>
      </c>
      <c r="C2" s="2101" t="s">
        <v>2207</v>
      </c>
      <c r="D2" s="2545" t="s">
        <v>3241</v>
      </c>
      <c r="E2" s="2546"/>
      <c r="F2" s="2103"/>
      <c r="G2" s="2104"/>
      <c r="H2" s="2105"/>
      <c r="I2" s="2106"/>
      <c r="J2" s="4629" t="s">
        <v>2208</v>
      </c>
      <c r="K2" s="4630"/>
      <c r="L2" s="2107" t="s">
        <v>2209</v>
      </c>
      <c r="M2" s="2107" t="s">
        <v>2210</v>
      </c>
      <c r="N2" s="2107" t="s">
        <v>2211</v>
      </c>
      <c r="O2" s="2107" t="s">
        <v>2212</v>
      </c>
      <c r="P2" s="2107" t="s">
        <v>2213</v>
      </c>
      <c r="Q2" s="2108" t="s">
        <v>2214</v>
      </c>
      <c r="R2" s="2109" t="s">
        <v>2215</v>
      </c>
      <c r="S2" s="2099"/>
      <c r="T2" s="2099"/>
      <c r="U2" s="2099"/>
      <c r="V2" s="2106"/>
    </row>
    <row r="3" spans="1:22" s="2110" customFormat="1" ht="13.15" customHeight="1">
      <c r="A3" s="2111" t="s">
        <v>2216</v>
      </c>
      <c r="B3" s="3554" t="e">
        <f>ROUND(B2*10000/B4,0)</f>
        <v>#DIV/0!</v>
      </c>
      <c r="C3" s="2101" t="s">
        <v>2217</v>
      </c>
      <c r="D3" s="2101"/>
      <c r="E3" s="2102"/>
      <c r="F3" s="2103"/>
      <c r="G3" s="2104"/>
      <c r="H3" s="2105"/>
      <c r="I3" s="2106"/>
      <c r="J3" s="4631" t="s">
        <v>2218</v>
      </c>
      <c r="K3" s="4632"/>
      <c r="L3" s="2112"/>
      <c r="M3" s="2112"/>
      <c r="N3" s="2112"/>
      <c r="O3" s="2112"/>
      <c r="P3" s="2112"/>
      <c r="Q3" s="2113"/>
      <c r="R3" s="2114">
        <f>SUM(L3:Q3)</f>
        <v>0</v>
      </c>
      <c r="S3" s="2099"/>
      <c r="T3" s="2099"/>
      <c r="U3" s="2099"/>
      <c r="V3" s="2106"/>
    </row>
    <row r="4" spans="1:22" s="2110" customFormat="1" ht="13.15" customHeight="1">
      <c r="A4" s="2115" t="s">
        <v>2219</v>
      </c>
      <c r="B4" s="2148"/>
      <c r="C4" s="2101"/>
      <c r="D4" s="2101"/>
      <c r="E4" s="2102"/>
      <c r="F4" s="2103"/>
      <c r="G4" s="2104"/>
      <c r="H4" s="2105"/>
      <c r="I4" s="2106"/>
      <c r="J4" s="4631" t="s">
        <v>2220</v>
      </c>
      <c r="K4" s="4632"/>
      <c r="L4" s="2117"/>
      <c r="M4" s="2117"/>
      <c r="N4" s="2117"/>
      <c r="O4" s="2117"/>
      <c r="P4" s="2117"/>
      <c r="Q4" s="2118"/>
      <c r="R4" s="2119">
        <f>SUM(L4:Q4)</f>
        <v>0</v>
      </c>
      <c r="S4" s="2099"/>
      <c r="T4" s="2099"/>
      <c r="U4" s="2099"/>
      <c r="V4" s="2106"/>
    </row>
    <row r="5" spans="1:22" s="2110" customFormat="1" ht="13.15" customHeight="1" thickBot="1">
      <c r="A5" s="2120" t="s">
        <v>2221</v>
      </c>
      <c r="B5" s="3555"/>
      <c r="C5" s="2101"/>
      <c r="D5" s="2121"/>
      <c r="E5" s="2103"/>
      <c r="F5" s="2103"/>
      <c r="G5" s="2104"/>
      <c r="H5" s="2105"/>
      <c r="I5" s="2106"/>
      <c r="J5" s="2122" t="s">
        <v>2222</v>
      </c>
      <c r="K5" s="2123"/>
      <c r="L5" s="2123"/>
      <c r="M5" s="2124"/>
      <c r="N5" s="2124"/>
      <c r="O5" s="2124"/>
      <c r="P5" s="2124"/>
      <c r="Q5" s="2124"/>
      <c r="R5" s="2109">
        <f>SUM(R14,R19,R24,R25,R27,R28)</f>
        <v>0</v>
      </c>
      <c r="S5" s="2099"/>
      <c r="T5" s="2099" t="s">
        <v>2223</v>
      </c>
      <c r="U5" s="2099" t="e">
        <f>ROUND(R5*10000/365/R3,1)</f>
        <v>#DIV/0!</v>
      </c>
      <c r="V5" s="2106"/>
    </row>
    <row r="6" spans="1:22" s="2110" customFormat="1" ht="13.15" customHeight="1" thickBot="1">
      <c r="A6" s="4633" t="s">
        <v>3797</v>
      </c>
      <c r="B6" s="4634"/>
      <c r="C6" s="4635"/>
      <c r="D6" s="3556"/>
      <c r="E6" s="3695"/>
      <c r="F6" s="2126"/>
      <c r="G6" s="2127"/>
      <c r="H6" s="2105"/>
      <c r="I6" s="2106"/>
      <c r="J6" s="4636">
        <v>1</v>
      </c>
      <c r="K6" s="4637" t="s">
        <v>2224</v>
      </c>
      <c r="L6" s="2128" t="s">
        <v>2225</v>
      </c>
      <c r="M6" s="2129" t="s">
        <v>2226</v>
      </c>
      <c r="N6" s="2129" t="s">
        <v>2227</v>
      </c>
      <c r="O6" s="2129" t="s">
        <v>2228</v>
      </c>
      <c r="P6" s="2129" t="s">
        <v>2229</v>
      </c>
      <c r="Q6" s="2129" t="s">
        <v>2230</v>
      </c>
      <c r="R6" s="2114" t="s">
        <v>2231</v>
      </c>
      <c r="S6" s="2099"/>
      <c r="T6" s="2099" t="s">
        <v>2232</v>
      </c>
      <c r="U6" s="2099"/>
      <c r="V6" s="2106"/>
    </row>
    <row r="7" spans="1:22" s="2110" customFormat="1" ht="13.15" customHeight="1">
      <c r="A7" s="2130" t="s">
        <v>2233</v>
      </c>
      <c r="B7" s="2131"/>
      <c r="C7" s="2132"/>
      <c r="D7" s="3557">
        <f>SUM(D9,D10,D11,D17,0)</f>
        <v>0</v>
      </c>
      <c r="E7" s="2133" t="e">
        <f>E9+E10+E11+E17</f>
        <v>#DIV/0!</v>
      </c>
      <c r="F7" s="2134"/>
      <c r="G7" s="2135"/>
      <c r="H7" s="2105"/>
      <c r="I7" s="2106"/>
      <c r="J7" s="4636"/>
      <c r="K7" s="4638"/>
      <c r="L7" s="2136" t="s">
        <v>2234</v>
      </c>
      <c r="M7" s="3793"/>
      <c r="N7" s="3792"/>
      <c r="O7" s="2148"/>
      <c r="P7" s="2148"/>
      <c r="Q7" s="3792">
        <v>365</v>
      </c>
      <c r="R7" s="3791">
        <f>ROUND(M7*N7*O7*P7*Q7/10000,0)</f>
        <v>0</v>
      </c>
      <c r="S7" s="2099"/>
      <c r="T7" s="2099" t="s">
        <v>2235</v>
      </c>
      <c r="U7" s="2099"/>
      <c r="V7" s="2106"/>
    </row>
    <row r="8" spans="1:22" s="2110" customFormat="1" ht="13.15" customHeight="1">
      <c r="A8" s="2140" t="s">
        <v>2236</v>
      </c>
      <c r="B8" s="4640" t="s">
        <v>2237</v>
      </c>
      <c r="C8" s="4641"/>
      <c r="D8" s="4194" t="s">
        <v>3965</v>
      </c>
      <c r="E8" s="2141" t="s">
        <v>2238</v>
      </c>
      <c r="F8" s="2142" t="s">
        <v>2239</v>
      </c>
      <c r="G8" s="2143"/>
      <c r="H8" s="2105"/>
      <c r="I8" s="2106"/>
      <c r="J8" s="4636"/>
      <c r="K8" s="4638"/>
      <c r="L8" s="2136" t="s">
        <v>2240</v>
      </c>
      <c r="M8" s="3793"/>
      <c r="N8" s="3792"/>
      <c r="O8" s="2148"/>
      <c r="P8" s="2148"/>
      <c r="Q8" s="3792">
        <v>365</v>
      </c>
      <c r="R8" s="3791">
        <f t="shared" ref="R8:R13" si="0">ROUND(M8*N8*O8*P8*Q8/10000,0)</f>
        <v>0</v>
      </c>
      <c r="S8" s="2099"/>
      <c r="T8" s="2099" t="s">
        <v>2241</v>
      </c>
      <c r="U8" s="2099"/>
      <c r="V8" s="2106"/>
    </row>
    <row r="9" spans="1:22" s="2110" customFormat="1" ht="13.15" customHeight="1">
      <c r="A9" s="2140">
        <v>1</v>
      </c>
      <c r="B9" s="4640" t="s">
        <v>2242</v>
      </c>
      <c r="C9" s="4641"/>
      <c r="D9" s="3558">
        <f>ROUND(D6*E9,0)</f>
        <v>0</v>
      </c>
      <c r="E9" s="3559"/>
      <c r="F9" s="2144" t="s">
        <v>2243</v>
      </c>
      <c r="G9" s="2127"/>
      <c r="H9" s="2105"/>
      <c r="I9" s="2106"/>
      <c r="J9" s="4636"/>
      <c r="K9" s="4638"/>
      <c r="L9" s="2136" t="s">
        <v>2244</v>
      </c>
      <c r="M9" s="3793"/>
      <c r="N9" s="3792"/>
      <c r="O9" s="2148"/>
      <c r="P9" s="2148"/>
      <c r="Q9" s="3792">
        <v>365</v>
      </c>
      <c r="R9" s="3791">
        <f t="shared" si="0"/>
        <v>0</v>
      </c>
      <c r="S9" s="2099"/>
      <c r="T9" s="2099"/>
      <c r="U9" s="2099"/>
      <c r="V9" s="2106"/>
    </row>
    <row r="10" spans="1:22" s="2110" customFormat="1" ht="13.15" customHeight="1">
      <c r="A10" s="2140">
        <v>2</v>
      </c>
      <c r="B10" s="4640" t="s">
        <v>2245</v>
      </c>
      <c r="C10" s="4641"/>
      <c r="D10" s="3558">
        <f>ROUND(D6*E10,0)</f>
        <v>0</v>
      </c>
      <c r="E10" s="3559"/>
      <c r="F10" s="3690" t="s">
        <v>3722</v>
      </c>
      <c r="G10" s="2127"/>
      <c r="H10" s="2105"/>
      <c r="I10" s="2106"/>
      <c r="J10" s="4636"/>
      <c r="K10" s="4638"/>
      <c r="L10" s="2136" t="s">
        <v>2246</v>
      </c>
      <c r="M10" s="3793"/>
      <c r="N10" s="3792"/>
      <c r="O10" s="2148"/>
      <c r="P10" s="2148"/>
      <c r="Q10" s="3792">
        <v>365</v>
      </c>
      <c r="R10" s="3791">
        <f t="shared" si="0"/>
        <v>0</v>
      </c>
      <c r="S10" s="2099"/>
      <c r="T10" s="2099"/>
      <c r="U10" s="2099"/>
      <c r="V10" s="2106"/>
    </row>
    <row r="11" spans="1:22" s="2110" customFormat="1" ht="13.15" customHeight="1">
      <c r="A11" s="2140">
        <v>3</v>
      </c>
      <c r="B11" s="4640" t="s">
        <v>2247</v>
      </c>
      <c r="C11" s="4641"/>
      <c r="D11" s="3558">
        <f>D12+D14+D15+D16</f>
        <v>0</v>
      </c>
      <c r="E11" s="3560" t="e">
        <f>D11/D6</f>
        <v>#DIV/0!</v>
      </c>
      <c r="F11" s="2142"/>
      <c r="G11" s="2143"/>
      <c r="H11" s="2105"/>
      <c r="I11" s="2106"/>
      <c r="J11" s="4636"/>
      <c r="K11" s="4638"/>
      <c r="L11" s="2136" t="s">
        <v>2248</v>
      </c>
      <c r="M11" s="3793"/>
      <c r="N11" s="3792"/>
      <c r="O11" s="2148"/>
      <c r="P11" s="2148"/>
      <c r="Q11" s="3792">
        <v>365</v>
      </c>
      <c r="R11" s="3791">
        <f t="shared" si="0"/>
        <v>0</v>
      </c>
      <c r="S11" s="2099"/>
      <c r="T11" s="2099"/>
      <c r="U11" s="2099"/>
      <c r="V11" s="2106"/>
    </row>
    <row r="12" spans="1:22" s="2110" customFormat="1" ht="13.15" customHeight="1">
      <c r="A12" s="2145" t="s">
        <v>2249</v>
      </c>
      <c r="B12" s="4642" t="s">
        <v>2250</v>
      </c>
      <c r="C12" s="4643"/>
      <c r="D12" s="3561">
        <f>ROUND(D13*1.2%*(1-30%),0)</f>
        <v>0</v>
      </c>
      <c r="E12" s="3562">
        <v>1.2E-2</v>
      </c>
      <c r="F12" s="2142" t="s">
        <v>2251</v>
      </c>
      <c r="G12" s="2143"/>
      <c r="H12" s="2105"/>
      <c r="I12" s="2106"/>
      <c r="J12" s="4636"/>
      <c r="K12" s="4638"/>
      <c r="L12" s="2136" t="s">
        <v>2252</v>
      </c>
      <c r="M12" s="3793"/>
      <c r="N12" s="3792"/>
      <c r="O12" s="2148"/>
      <c r="P12" s="2148"/>
      <c r="Q12" s="3792">
        <v>365</v>
      </c>
      <c r="R12" s="3791">
        <f t="shared" si="0"/>
        <v>0</v>
      </c>
      <c r="S12" s="2099"/>
      <c r="T12" s="2099"/>
      <c r="U12" s="2099"/>
      <c r="V12" s="2106"/>
    </row>
    <row r="13" spans="1:22" s="2110" customFormat="1" ht="13.15" customHeight="1">
      <c r="A13" s="2145"/>
      <c r="B13" s="2146"/>
      <c r="C13" s="2147" t="s">
        <v>2253</v>
      </c>
      <c r="D13" s="3563"/>
      <c r="E13" s="2149"/>
      <c r="F13" s="2142"/>
      <c r="G13" s="2143"/>
      <c r="H13" s="2105"/>
      <c r="I13" s="2106"/>
      <c r="J13" s="4636"/>
      <c r="K13" s="4638"/>
      <c r="L13" s="2136" t="s">
        <v>2254</v>
      </c>
      <c r="M13" s="3793"/>
      <c r="N13" s="3792"/>
      <c r="O13" s="2148"/>
      <c r="P13" s="2148"/>
      <c r="Q13" s="3792">
        <v>365</v>
      </c>
      <c r="R13" s="3791">
        <f t="shared" si="0"/>
        <v>0</v>
      </c>
      <c r="S13" s="2099"/>
      <c r="T13" s="2099"/>
      <c r="U13" s="2099"/>
      <c r="V13" s="2106"/>
    </row>
    <row r="14" spans="1:22" s="2110" customFormat="1" ht="13.15" customHeight="1">
      <c r="A14" s="2145" t="s">
        <v>2255</v>
      </c>
      <c r="B14" s="4642" t="s">
        <v>2256</v>
      </c>
      <c r="C14" s="4643"/>
      <c r="D14" s="3561">
        <f>ROUND(E14*B5/10000,0)</f>
        <v>0</v>
      </c>
      <c r="E14" s="3564"/>
      <c r="F14" s="2142" t="s">
        <v>2257</v>
      </c>
      <c r="G14" s="2143"/>
      <c r="H14" s="2105"/>
      <c r="I14" s="2106"/>
      <c r="J14" s="4636"/>
      <c r="K14" s="4639"/>
      <c r="L14" s="2150" t="s">
        <v>2258</v>
      </c>
      <c r="M14" s="2151">
        <f>SUM(M7:M13)</f>
        <v>0</v>
      </c>
      <c r="N14" s="2151" t="e">
        <f>ROUND((N7*M7+N8*M8+N9*M9+N10*M10+N11*M11+N12*M12+N13*M13)/M14,0)</f>
        <v>#DIV/0!</v>
      </c>
      <c r="O14" s="2152"/>
      <c r="P14" s="2152"/>
      <c r="Q14" s="2153"/>
      <c r="R14" s="2109">
        <f>SUM(R7:R13)</f>
        <v>0</v>
      </c>
      <c r="S14" s="2099"/>
      <c r="T14" s="2099"/>
      <c r="U14" s="2099"/>
      <c r="V14" s="2106"/>
    </row>
    <row r="15" spans="1:22" s="2110" customFormat="1" ht="13.15" customHeight="1">
      <c r="A15" s="2145" t="s">
        <v>2259</v>
      </c>
      <c r="B15" s="4644" t="s">
        <v>3794</v>
      </c>
      <c r="C15" s="4643"/>
      <c r="D15" s="3561">
        <f>IF(F15="酒店",E48*(1+E15),IF(F15="购物中心",E67*(1+E15),IF(F15="按比例计算-酒店",E46,E65)))</f>
        <v>0</v>
      </c>
      <c r="E15" s="3562">
        <f>'数据-取费表'!B44</f>
        <v>0.12000000000000001</v>
      </c>
      <c r="F15" s="3693" t="s">
        <v>3854</v>
      </c>
      <c r="G15" s="3694"/>
      <c r="H15" s="2105"/>
      <c r="I15" s="2106"/>
      <c r="J15" s="4636">
        <v>2</v>
      </c>
      <c r="K15" s="4637" t="s">
        <v>2260</v>
      </c>
      <c r="L15" s="2136" t="s">
        <v>2261</v>
      </c>
      <c r="M15" s="2137" t="s">
        <v>2262</v>
      </c>
      <c r="N15" s="2137" t="s">
        <v>2263</v>
      </c>
      <c r="O15" s="2138" t="s">
        <v>2264</v>
      </c>
      <c r="P15" s="2138" t="s">
        <v>2230</v>
      </c>
      <c r="Q15" s="2116" t="s">
        <v>2265</v>
      </c>
      <c r="R15" s="2154" t="s">
        <v>2231</v>
      </c>
      <c r="S15" s="2099"/>
      <c r="T15" s="2099"/>
      <c r="U15" s="2099"/>
      <c r="V15" s="2106"/>
    </row>
    <row r="16" spans="1:22" s="2110" customFormat="1" ht="13.15" customHeight="1">
      <c r="A16" s="2145" t="s">
        <v>2266</v>
      </c>
      <c r="B16" s="4642" t="s">
        <v>2267</v>
      </c>
      <c r="C16" s="4643"/>
      <c r="D16" s="3565">
        <f>D6*E16</f>
        <v>0</v>
      </c>
      <c r="E16" s="3566"/>
      <c r="F16" s="2144" t="s">
        <v>2268</v>
      </c>
      <c r="G16" s="2127"/>
      <c r="H16" s="2105"/>
      <c r="I16" s="2106"/>
      <c r="J16" s="4636"/>
      <c r="K16" s="4638"/>
      <c r="L16" s="2136" t="s">
        <v>2269</v>
      </c>
      <c r="M16" s="3793"/>
      <c r="N16" s="3793"/>
      <c r="O16" s="2148"/>
      <c r="P16" s="3792">
        <v>365</v>
      </c>
      <c r="Q16" s="3792"/>
      <c r="R16" s="3791">
        <f>ROUND(M16*N16*O16*P16/10000,0)</f>
        <v>0</v>
      </c>
      <c r="S16" s="2099"/>
      <c r="T16" s="2099"/>
      <c r="U16" s="2099"/>
      <c r="V16" s="2106"/>
    </row>
    <row r="17" spans="1:22" s="2110" customFormat="1" ht="13.15" customHeight="1" thickBot="1">
      <c r="A17" s="2155">
        <v>4</v>
      </c>
      <c r="B17" s="4645" t="s">
        <v>2270</v>
      </c>
      <c r="C17" s="4646"/>
      <c r="D17" s="3567">
        <f>ROUND(D6*E17,0)</f>
        <v>0</v>
      </c>
      <c r="E17" s="3568"/>
      <c r="F17" s="3691" t="s">
        <v>3723</v>
      </c>
      <c r="G17" s="2127"/>
      <c r="H17" s="2105"/>
      <c r="I17" s="2106"/>
      <c r="J17" s="4636"/>
      <c r="K17" s="4638"/>
      <c r="L17" s="2136" t="s">
        <v>2271</v>
      </c>
      <c r="M17" s="3793"/>
      <c r="N17" s="3793"/>
      <c r="O17" s="2148"/>
      <c r="P17" s="3792">
        <v>365</v>
      </c>
      <c r="Q17" s="3792"/>
      <c r="R17" s="3791">
        <f>ROUND(M17*N17*O17*P17/10000,0)</f>
        <v>0</v>
      </c>
      <c r="S17" s="2099"/>
      <c r="T17" s="2099"/>
      <c r="U17" s="2099"/>
      <c r="V17" s="2106"/>
    </row>
    <row r="18" spans="1:22" s="2110" customFormat="1" ht="13.15" customHeight="1" thickBot="1">
      <c r="A18" s="2130" t="s">
        <v>2272</v>
      </c>
      <c r="B18" s="2131"/>
      <c r="C18" s="2131"/>
      <c r="D18" s="3569">
        <f>ROUND(D6*E18,0)</f>
        <v>0</v>
      </c>
      <c r="E18" s="3570"/>
      <c r="F18" s="2156" t="s">
        <v>2273</v>
      </c>
      <c r="G18" s="2127"/>
      <c r="H18" s="2105"/>
      <c r="I18" s="2106"/>
      <c r="J18" s="4636"/>
      <c r="K18" s="4638"/>
      <c r="L18" s="2136" t="s">
        <v>2274</v>
      </c>
      <c r="M18" s="3793"/>
      <c r="N18" s="3793"/>
      <c r="O18" s="2148"/>
      <c r="P18" s="3792">
        <v>365</v>
      </c>
      <c r="Q18" s="3792"/>
      <c r="R18" s="3791">
        <f>ROUND(M18*N18*O18*P18/10000,0)</f>
        <v>0</v>
      </c>
      <c r="S18" s="2099"/>
      <c r="T18" s="2099"/>
      <c r="U18" s="2099"/>
      <c r="V18" s="2106"/>
    </row>
    <row r="19" spans="1:22" s="2110" customFormat="1" ht="13.15" customHeight="1" thickBot="1">
      <c r="A19" s="2157" t="s">
        <v>2275</v>
      </c>
      <c r="B19" s="2125"/>
      <c r="C19" s="2125"/>
      <c r="D19" s="2125"/>
      <c r="E19" s="2125"/>
      <c r="F19" s="2126"/>
      <c r="G19" s="2143"/>
      <c r="H19" s="2105"/>
      <c r="I19" s="2106"/>
      <c r="J19" s="4636"/>
      <c r="K19" s="4639"/>
      <c r="L19" s="2150" t="s">
        <v>2258</v>
      </c>
      <c r="M19" s="2151"/>
      <c r="N19" s="2151">
        <f>SUM(N16:N18)</f>
        <v>0</v>
      </c>
      <c r="O19" s="2152"/>
      <c r="P19" s="2158" t="s">
        <v>2319</v>
      </c>
      <c r="Q19" s="2138">
        <v>0</v>
      </c>
      <c r="R19" s="3589">
        <f>ROUND(IF(P19="按比例",R14*Q19,SUM(R16:R18)),0)</f>
        <v>0</v>
      </c>
      <c r="S19" s="2099"/>
      <c r="T19" s="2099"/>
      <c r="U19" s="2099"/>
      <c r="V19" s="2106"/>
    </row>
    <row r="20" spans="1:22" s="2110" customFormat="1" ht="13.15" customHeight="1">
      <c r="A20" s="2130"/>
      <c r="B20" s="2131"/>
      <c r="C20" s="2131"/>
      <c r="D20" s="2131"/>
      <c r="E20" s="2131"/>
      <c r="F20" s="2159"/>
      <c r="G20" s="2143"/>
      <c r="H20" s="2105"/>
      <c r="I20" s="2106"/>
      <c r="J20" s="4636">
        <v>3</v>
      </c>
      <c r="K20" s="4637" t="s">
        <v>2276</v>
      </c>
      <c r="L20" s="2136" t="s">
        <v>2277</v>
      </c>
      <c r="M20" s="2137" t="s">
        <v>2278</v>
      </c>
      <c r="N20" s="2160" t="s">
        <v>2279</v>
      </c>
      <c r="O20" s="2138" t="s">
        <v>2280</v>
      </c>
      <c r="P20" s="2139" t="s">
        <v>2281</v>
      </c>
      <c r="Q20" s="2116" t="s">
        <v>2282</v>
      </c>
      <c r="R20" s="2154" t="s">
        <v>2283</v>
      </c>
      <c r="S20" s="2099"/>
      <c r="T20" s="2099"/>
      <c r="U20" s="2099"/>
      <c r="V20" s="2106"/>
    </row>
    <row r="21" spans="1:22" s="2110" customFormat="1" ht="13.15" customHeight="1">
      <c r="A21" s="2130"/>
      <c r="B21" s="2131"/>
      <c r="C21" s="2161" t="s">
        <v>2284</v>
      </c>
      <c r="D21" s="2162" t="s">
        <v>2285</v>
      </c>
      <c r="E21" s="2163" t="s">
        <v>2286</v>
      </c>
      <c r="F21" s="2159"/>
      <c r="G21" s="2143"/>
      <c r="H21" s="2105"/>
      <c r="I21" s="2106"/>
      <c r="J21" s="4636"/>
      <c r="K21" s="4638"/>
      <c r="L21" s="2136" t="s">
        <v>2287</v>
      </c>
      <c r="M21" s="3793"/>
      <c r="N21" s="3793"/>
      <c r="O21" s="2148"/>
      <c r="P21" s="3792">
        <v>365</v>
      </c>
      <c r="Q21" s="3792"/>
      <c r="R21" s="3794">
        <f>ROUND(M21*N21*O21*P21/10000,0)</f>
        <v>0</v>
      </c>
      <c r="S21" s="2099"/>
      <c r="T21" s="2099"/>
      <c r="U21" s="2099"/>
      <c r="V21" s="2106"/>
    </row>
    <row r="22" spans="1:22" s="2110" customFormat="1" ht="13.15" customHeight="1">
      <c r="A22" s="2130"/>
      <c r="B22" s="2131"/>
      <c r="C22" s="2164" t="s">
        <v>2288</v>
      </c>
      <c r="D22" s="2165" t="s">
        <v>2289</v>
      </c>
      <c r="E22" s="2166" t="s">
        <v>2290</v>
      </c>
      <c r="F22" s="2159"/>
      <c r="G22" s="2099"/>
      <c r="H22" s="2105"/>
      <c r="I22" s="2106"/>
      <c r="J22" s="4636"/>
      <c r="K22" s="4638"/>
      <c r="L22" s="2136" t="s">
        <v>2291</v>
      </c>
      <c r="M22" s="3793"/>
      <c r="N22" s="3793"/>
      <c r="O22" s="2148"/>
      <c r="P22" s="3792">
        <v>365</v>
      </c>
      <c r="Q22" s="3792"/>
      <c r="R22" s="3794">
        <f>ROUND(M22*N22*O22*P22/10000,0)</f>
        <v>0</v>
      </c>
      <c r="S22" s="2099"/>
      <c r="T22" s="2099"/>
      <c r="U22" s="2099"/>
      <c r="V22" s="2106"/>
    </row>
    <row r="23" spans="1:22" s="2110" customFormat="1" ht="13.15" customHeight="1">
      <c r="A23" s="2167">
        <v>1</v>
      </c>
      <c r="B23" s="2168" t="s">
        <v>2292</v>
      </c>
      <c r="C23" s="2173">
        <f>D6</f>
        <v>0</v>
      </c>
      <c r="D23" s="3585">
        <f>C23*(1+D24)</f>
        <v>0</v>
      </c>
      <c r="E23" s="3586">
        <f>D23*(1+E24)</f>
        <v>0</v>
      </c>
      <c r="F23" s="2169"/>
      <c r="G23" s="2170"/>
      <c r="H23" s="2105"/>
      <c r="I23" s="2106"/>
      <c r="J23" s="4636"/>
      <c r="K23" s="4638"/>
      <c r="L23" s="2136" t="s">
        <v>2293</v>
      </c>
      <c r="M23" s="3793"/>
      <c r="N23" s="3793"/>
      <c r="O23" s="2148"/>
      <c r="P23" s="3792">
        <v>365</v>
      </c>
      <c r="Q23" s="3792"/>
      <c r="R23" s="3794">
        <f>ROUND(M23*N23*O23*P23/10000,0)</f>
        <v>0</v>
      </c>
      <c r="S23" s="2099"/>
      <c r="T23" s="2099"/>
      <c r="U23" s="2099"/>
      <c r="V23" s="2106"/>
    </row>
    <row r="24" spans="1:22" s="2110" customFormat="1" ht="13.15" customHeight="1">
      <c r="A24" s="2171"/>
      <c r="B24" s="2172" t="s">
        <v>2294</v>
      </c>
      <c r="C24" s="2173"/>
      <c r="D24" s="2174"/>
      <c r="E24" s="2175"/>
      <c r="F24" s="2176"/>
      <c r="G24" s="2170"/>
      <c r="H24" s="2105"/>
      <c r="I24" s="2106"/>
      <c r="J24" s="4636"/>
      <c r="K24" s="4639"/>
      <c r="L24" s="2150" t="s">
        <v>2258</v>
      </c>
      <c r="M24" s="2151">
        <f>SUM(M21:M23)</f>
        <v>0</v>
      </c>
      <c r="N24" s="2151"/>
      <c r="O24" s="2152"/>
      <c r="P24" s="2158" t="s">
        <v>2319</v>
      </c>
      <c r="Q24" s="2138">
        <v>0</v>
      </c>
      <c r="R24" s="3795">
        <f>ROUND(IF(P24="按比例",R14*Q24,SUM(R21:R23)),0)</f>
        <v>0</v>
      </c>
      <c r="S24" s="2099"/>
      <c r="T24" s="2099"/>
      <c r="U24" s="2099"/>
      <c r="V24" s="2106"/>
    </row>
    <row r="25" spans="1:22" s="2183" customFormat="1" ht="13.15" customHeight="1">
      <c r="A25" s="2171"/>
      <c r="B25" s="2172"/>
      <c r="C25" s="2173"/>
      <c r="D25" s="2174"/>
      <c r="E25" s="2175"/>
      <c r="F25" s="2176"/>
      <c r="G25" s="2099"/>
      <c r="H25" s="2105"/>
      <c r="I25" s="2106"/>
      <c r="J25" s="2177">
        <v>4</v>
      </c>
      <c r="K25" s="2178" t="s">
        <v>2295</v>
      </c>
      <c r="L25" s="2179"/>
      <c r="M25" s="2179"/>
      <c r="N25" s="2179"/>
      <c r="O25" s="2179"/>
      <c r="P25" s="2180"/>
      <c r="Q25" s="2181">
        <v>0</v>
      </c>
      <c r="R25" s="3795">
        <f>ROUND(R14*Q25,0)</f>
        <v>0</v>
      </c>
      <c r="S25" s="2099"/>
      <c r="T25" s="2099"/>
      <c r="U25" s="2099"/>
      <c r="V25" s="2182"/>
    </row>
    <row r="26" spans="1:22" s="2183" customFormat="1" ht="13.15" customHeight="1">
      <c r="A26" s="2167">
        <v>2</v>
      </c>
      <c r="B26" s="2168" t="s">
        <v>2296</v>
      </c>
      <c r="C26" s="2173">
        <f>D7</f>
        <v>0</v>
      </c>
      <c r="D26" s="3571">
        <f>D23*D27</f>
        <v>0</v>
      </c>
      <c r="E26" s="3572">
        <f>E23*E27</f>
        <v>0</v>
      </c>
      <c r="F26" s="2169"/>
      <c r="G26" s="2170"/>
      <c r="H26" s="2105"/>
      <c r="I26" s="2106"/>
      <c r="J26" s="4647">
        <v>5</v>
      </c>
      <c r="K26" s="2184" t="s">
        <v>2297</v>
      </c>
      <c r="L26" s="2185"/>
      <c r="M26" s="2186"/>
      <c r="N26" s="2187" t="s">
        <v>2298</v>
      </c>
      <c r="O26" s="2187" t="s">
        <v>2299</v>
      </c>
      <c r="P26" s="2188" t="s">
        <v>2300</v>
      </c>
      <c r="Q26" s="2188" t="s">
        <v>2301</v>
      </c>
      <c r="R26" s="2114" t="s">
        <v>2231</v>
      </c>
      <c r="S26" s="2143"/>
      <c r="T26" s="2143"/>
      <c r="U26" s="2143"/>
      <c r="V26" s="2182"/>
    </row>
    <row r="27" spans="1:22" s="2110" customFormat="1" ht="13.15" customHeight="1">
      <c r="A27" s="2171"/>
      <c r="B27" s="2172" t="s">
        <v>2302</v>
      </c>
      <c r="C27" s="2189" t="e">
        <f>E7</f>
        <v>#DIV/0!</v>
      </c>
      <c r="D27" s="2174"/>
      <c r="E27" s="2175"/>
      <c r="F27" s="2176"/>
      <c r="G27" s="2170"/>
      <c r="H27" s="2190"/>
      <c r="I27" s="2182"/>
      <c r="J27" s="4648"/>
      <c r="K27" s="2191"/>
      <c r="L27" s="2192"/>
      <c r="M27" s="2193"/>
      <c r="N27" s="3590"/>
      <c r="O27" s="3590"/>
      <c r="P27" s="3590"/>
      <c r="Q27" s="3590"/>
      <c r="R27" s="3795">
        <f>ROUND(O27*N27*P27*(1-Q27)/10000,0)</f>
        <v>0</v>
      </c>
      <c r="S27" s="2099"/>
      <c r="T27" s="2099"/>
      <c r="U27" s="2099"/>
      <c r="V27" s="2106"/>
    </row>
    <row r="28" spans="1:22" s="2183" customFormat="1" ht="13.15" customHeight="1" thickBot="1">
      <c r="A28" s="2171"/>
      <c r="B28" s="2172"/>
      <c r="C28" s="2189"/>
      <c r="D28" s="2174"/>
      <c r="E28" s="2175" t="s">
        <v>2303</v>
      </c>
      <c r="F28" s="2176"/>
      <c r="G28" s="2099"/>
      <c r="H28" s="2190"/>
      <c r="I28" s="2182"/>
      <c r="J28" s="2194">
        <v>6</v>
      </c>
      <c r="K28" s="2195" t="s">
        <v>2304</v>
      </c>
      <c r="L28" s="2196" t="s">
        <v>2305</v>
      </c>
      <c r="M28" s="3592"/>
      <c r="N28" s="2196" t="s">
        <v>2306</v>
      </c>
      <c r="O28" s="2198"/>
      <c r="P28" s="2196" t="s">
        <v>2307</v>
      </c>
      <c r="Q28" s="2199">
        <v>1.4999999999999999E-2</v>
      </c>
      <c r="R28" s="3591"/>
      <c r="S28" s="2099"/>
      <c r="T28" s="2099"/>
      <c r="U28" s="2099"/>
      <c r="V28" s="2182"/>
    </row>
    <row r="29" spans="1:22" s="2183" customFormat="1" ht="13.15" customHeight="1">
      <c r="A29" s="2167">
        <v>3</v>
      </c>
      <c r="B29" s="2168" t="s">
        <v>2308</v>
      </c>
      <c r="C29" s="2173">
        <f>C23*C30</f>
        <v>0</v>
      </c>
      <c r="D29" s="3571">
        <f>D23*C30</f>
        <v>0</v>
      </c>
      <c r="E29" s="3572">
        <f>E23*C30</f>
        <v>0</v>
      </c>
      <c r="F29" s="2169"/>
      <c r="G29" s="2170"/>
      <c r="H29" s="2105"/>
      <c r="I29" s="2106"/>
      <c r="J29" s="2099"/>
      <c r="K29" s="2099"/>
      <c r="L29" s="2099"/>
      <c r="M29" s="2099"/>
      <c r="N29" s="2099"/>
      <c r="O29" s="2099"/>
      <c r="P29" s="2099"/>
      <c r="Q29" s="2099"/>
      <c r="R29" s="2099"/>
      <c r="S29" s="2099"/>
      <c r="T29" s="2099"/>
      <c r="U29" s="2099"/>
      <c r="V29" s="2182"/>
    </row>
    <row r="30" spans="1:22" s="2110" customFormat="1" ht="13.15" customHeight="1" thickBot="1">
      <c r="A30" s="2171"/>
      <c r="B30" s="2172" t="s">
        <v>2302</v>
      </c>
      <c r="C30" s="2189">
        <f>E18</f>
        <v>0</v>
      </c>
      <c r="D30" s="2200"/>
      <c r="E30" s="2149"/>
      <c r="F30" s="2176"/>
      <c r="G30" s="2170"/>
      <c r="H30" s="2190"/>
      <c r="I30" s="2182"/>
      <c r="J30" s="2099"/>
      <c r="K30" s="2099"/>
      <c r="L30" s="2099"/>
      <c r="M30" s="2099"/>
      <c r="N30" s="2099"/>
      <c r="O30" s="2099"/>
      <c r="P30" s="2099"/>
      <c r="Q30" s="2099"/>
      <c r="R30" s="2099"/>
      <c r="S30" s="2099"/>
      <c r="T30" s="2099"/>
      <c r="U30" s="2099"/>
      <c r="V30" s="2106"/>
    </row>
    <row r="31" spans="1:22" s="2183" customFormat="1" ht="13.15" customHeight="1">
      <c r="A31" s="2171"/>
      <c r="B31" s="2172"/>
      <c r="C31" s="2201"/>
      <c r="D31" s="2200"/>
      <c r="E31" s="2149"/>
      <c r="F31" s="2176"/>
      <c r="G31" s="2099"/>
      <c r="H31" s="2190"/>
      <c r="I31" s="2182"/>
      <c r="J31" s="2096" t="s">
        <v>2309</v>
      </c>
      <c r="K31" s="2097"/>
      <c r="L31" s="2097"/>
      <c r="M31" s="2097"/>
      <c r="N31" s="2097"/>
      <c r="O31" s="2097"/>
      <c r="P31" s="2097"/>
      <c r="Q31" s="2097"/>
      <c r="R31" s="2098"/>
      <c r="S31" s="2099"/>
      <c r="T31" s="2099"/>
      <c r="U31" s="2099"/>
      <c r="V31" s="2182"/>
    </row>
    <row r="32" spans="1:22" s="2183" customFormat="1" ht="13.15" customHeight="1">
      <c r="A32" s="2167">
        <v>4</v>
      </c>
      <c r="B32" s="2168" t="s">
        <v>2310</v>
      </c>
      <c r="C32" s="2173">
        <f>C23-C26-C29</f>
        <v>0</v>
      </c>
      <c r="D32" s="3571">
        <f>D23-D26-D29</f>
        <v>0</v>
      </c>
      <c r="E32" s="3572">
        <f>E23-E26-E29</f>
        <v>0</v>
      </c>
      <c r="F32" s="2169"/>
      <c r="G32" s="2099"/>
      <c r="H32" s="2105"/>
      <c r="I32" s="2106"/>
      <c r="J32" s="4629" t="s">
        <v>2208</v>
      </c>
      <c r="K32" s="4630"/>
      <c r="L32" s="2107" t="s">
        <v>2209</v>
      </c>
      <c r="M32" s="2107" t="s">
        <v>2210</v>
      </c>
      <c r="N32" s="2107" t="s">
        <v>2211</v>
      </c>
      <c r="O32" s="2107" t="s">
        <v>2212</v>
      </c>
      <c r="P32" s="2107" t="s">
        <v>2213</v>
      </c>
      <c r="Q32" s="2108" t="s">
        <v>2214</v>
      </c>
      <c r="R32" s="2202" t="s">
        <v>2215</v>
      </c>
      <c r="S32" s="2099"/>
      <c r="T32" s="2099"/>
      <c r="U32" s="2099"/>
      <c r="V32" s="2182"/>
    </row>
    <row r="33" spans="1:23" s="2110" customFormat="1" ht="13.15" customHeight="1">
      <c r="A33" s="2167"/>
      <c r="B33" s="2168"/>
      <c r="C33" s="2173"/>
      <c r="D33" s="3573"/>
      <c r="E33" s="3574"/>
      <c r="F33" s="2169"/>
      <c r="G33" s="2099"/>
      <c r="H33" s="2190"/>
      <c r="I33" s="2182"/>
      <c r="J33" s="4631" t="s">
        <v>2218</v>
      </c>
      <c r="K33" s="4632"/>
      <c r="L33" s="3593"/>
      <c r="M33" s="3593"/>
      <c r="N33" s="3593"/>
      <c r="O33" s="3593"/>
      <c r="P33" s="3593"/>
      <c r="Q33" s="3594"/>
      <c r="R33" s="3595">
        <f>SUM(L33:Q33)</f>
        <v>0</v>
      </c>
      <c r="S33" s="2099"/>
      <c r="T33" s="2099"/>
      <c r="U33" s="2099"/>
      <c r="V33" s="2106"/>
    </row>
    <row r="34" spans="1:23" s="2110" customFormat="1" ht="13.15" customHeight="1">
      <c r="A34" s="2167">
        <v>5</v>
      </c>
      <c r="B34" s="2168" t="s">
        <v>2311</v>
      </c>
      <c r="C34" s="3575"/>
      <c r="D34" s="3576"/>
      <c r="E34" s="3577"/>
      <c r="F34" s="2169"/>
      <c r="G34" s="2099"/>
      <c r="H34" s="2190"/>
      <c r="I34" s="2182"/>
      <c r="J34" s="4631" t="s">
        <v>2220</v>
      </c>
      <c r="K34" s="4632"/>
      <c r="L34" s="3596"/>
      <c r="M34" s="3596"/>
      <c r="N34" s="3596"/>
      <c r="O34" s="3596"/>
      <c r="P34" s="3596"/>
      <c r="Q34" s="3597"/>
      <c r="R34" s="3598">
        <f>SUM(L34:Q34)</f>
        <v>0</v>
      </c>
      <c r="S34" s="2099"/>
      <c r="T34" s="2099"/>
      <c r="U34" s="2099" t="e">
        <f>ROUND(R35*10000/365/R33,1)</f>
        <v>#DIV/0!</v>
      </c>
      <c r="V34" s="2106"/>
    </row>
    <row r="35" spans="1:23" s="2110" customFormat="1" ht="13.15" customHeight="1">
      <c r="A35" s="2167">
        <v>6</v>
      </c>
      <c r="B35" s="2168" t="s">
        <v>2312</v>
      </c>
      <c r="C35" s="2201"/>
      <c r="D35" s="2174"/>
      <c r="E35" s="2175"/>
      <c r="F35" s="2169"/>
      <c r="G35" s="2203"/>
      <c r="H35" s="2105"/>
      <c r="I35" s="2182"/>
      <c r="J35" s="2122" t="s">
        <v>2222</v>
      </c>
      <c r="K35" s="2123"/>
      <c r="L35" s="2123"/>
      <c r="M35" s="2124"/>
      <c r="N35" s="2124"/>
      <c r="O35" s="2124"/>
      <c r="P35" s="2124"/>
      <c r="Q35" s="2124"/>
      <c r="R35" s="2204">
        <f>R40+R41+R43</f>
        <v>0</v>
      </c>
      <c r="S35" s="2099"/>
      <c r="T35" s="2099" t="s">
        <v>2223</v>
      </c>
      <c r="U35" s="2099"/>
      <c r="V35" s="2106"/>
    </row>
    <row r="36" spans="1:23" s="2110" customFormat="1" ht="13.15" customHeight="1" thickBot="1">
      <c r="A36" s="2167">
        <v>7</v>
      </c>
      <c r="B36" s="2205" t="s">
        <v>2313</v>
      </c>
      <c r="C36" s="3578"/>
      <c r="D36" s="3579"/>
      <c r="E36" s="3580"/>
      <c r="F36" s="2206">
        <f>C36+D36+E36</f>
        <v>0</v>
      </c>
      <c r="G36" s="2099"/>
      <c r="H36" s="2105"/>
      <c r="I36" s="2106"/>
      <c r="J36" s="4636">
        <v>1</v>
      </c>
      <c r="K36" s="4637" t="s">
        <v>2314</v>
      </c>
      <c r="L36" s="2128"/>
      <c r="M36" s="2129"/>
      <c r="N36" s="2129"/>
      <c r="O36" s="2129"/>
      <c r="P36" s="2129"/>
      <c r="Q36" s="2129"/>
      <c r="R36" s="2114" t="s">
        <v>2231</v>
      </c>
      <c r="S36" s="2099"/>
      <c r="T36" s="2099" t="s">
        <v>2232</v>
      </c>
      <c r="U36" s="2099"/>
      <c r="V36" s="2106"/>
    </row>
    <row r="37" spans="1:23" s="2110" customFormat="1" ht="13.15" customHeight="1">
      <c r="A37" s="2167"/>
      <c r="B37" s="2168"/>
      <c r="C37" s="2172"/>
      <c r="D37" s="2172"/>
      <c r="E37" s="2172"/>
      <c r="F37" s="2169"/>
      <c r="G37" s="2099"/>
      <c r="H37" s="2105"/>
      <c r="I37" s="2106"/>
      <c r="J37" s="4636"/>
      <c r="K37" s="4638"/>
      <c r="L37" s="3599"/>
      <c r="M37" s="3587"/>
      <c r="N37" s="2148"/>
      <c r="O37" s="2148"/>
      <c r="P37" s="2148"/>
      <c r="Q37" s="2148"/>
      <c r="R37" s="3588"/>
      <c r="S37" s="2099"/>
      <c r="T37" s="2099" t="s">
        <v>2235</v>
      </c>
      <c r="U37" s="2099"/>
      <c r="V37" s="2106"/>
    </row>
    <row r="38" spans="1:23" s="2110" customFormat="1" ht="13.15" customHeight="1">
      <c r="A38" s="2167">
        <v>8</v>
      </c>
      <c r="B38" s="2168"/>
      <c r="C38" s="3558" t="e">
        <f>ROUND(C32*(1-((1+C35)/(1+C34))^C36)/(C34-C35),0)</f>
        <v>#DIV/0!</v>
      </c>
      <c r="D38" s="3558">
        <f>IF(D23=0,0,ROUND(D32*(1-((1+D35)/(1+D34))^D36)/(D34-D35),0))</f>
        <v>0</v>
      </c>
      <c r="E38" s="3558">
        <f>IF(E23=0,0,ROUND(E32*(1-((1+E35)/(1+E34))^E36)/(E34-E35),0))</f>
        <v>0</v>
      </c>
      <c r="F38" s="2169"/>
      <c r="G38" s="2099"/>
      <c r="H38" s="2105"/>
      <c r="I38" s="2106"/>
      <c r="J38" s="4636"/>
      <c r="K38" s="4638"/>
      <c r="L38" s="3599"/>
      <c r="M38" s="3587"/>
      <c r="N38" s="2148"/>
      <c r="O38" s="2148"/>
      <c r="P38" s="2148"/>
      <c r="Q38" s="2148"/>
      <c r="R38" s="3588"/>
      <c r="S38" s="2099"/>
      <c r="T38" s="2099" t="s">
        <v>2241</v>
      </c>
      <c r="U38" s="2099"/>
      <c r="V38" s="2106"/>
    </row>
    <row r="39" spans="1:23" s="2110" customFormat="1" ht="13.15" customHeight="1">
      <c r="A39" s="2167">
        <v>9</v>
      </c>
      <c r="B39" s="2168" t="s">
        <v>2315</v>
      </c>
      <c r="C39" s="3561" t="e">
        <f>C38</f>
        <v>#DIV/0!</v>
      </c>
      <c r="D39" s="3561">
        <f>IF(D23=0,0,D38/(1+D34)^C36)</f>
        <v>0</v>
      </c>
      <c r="E39" s="3561">
        <f>IF(E23=0,0,E38/(1+E34)^(C36+D36))</f>
        <v>0</v>
      </c>
      <c r="F39" s="2169"/>
      <c r="G39" s="2106"/>
      <c r="H39" s="2105"/>
      <c r="I39" s="2106"/>
      <c r="J39" s="4636"/>
      <c r="K39" s="4638"/>
      <c r="L39" s="3599"/>
      <c r="M39" s="3587"/>
      <c r="N39" s="2148"/>
      <c r="O39" s="2148"/>
      <c r="P39" s="2148"/>
      <c r="Q39" s="2148"/>
      <c r="R39" s="3588"/>
      <c r="S39" s="2099"/>
      <c r="T39" s="2099"/>
      <c r="U39" s="2099"/>
      <c r="V39" s="2106"/>
    </row>
    <row r="40" spans="1:23" s="2110" customFormat="1" ht="13.15" customHeight="1">
      <c r="A40" s="2207">
        <v>10</v>
      </c>
      <c r="B40" s="2168" t="s">
        <v>2316</v>
      </c>
      <c r="C40" s="3581" t="e">
        <f>C39+D39+E39</f>
        <v>#DIV/0!</v>
      </c>
      <c r="D40" s="3582"/>
      <c r="E40" s="3582"/>
      <c r="F40" s="2208"/>
      <c r="G40" s="2099"/>
      <c r="H40" s="2105"/>
      <c r="I40" s="2106"/>
      <c r="J40" s="4636"/>
      <c r="K40" s="4639"/>
      <c r="L40" s="2150" t="s">
        <v>2258</v>
      </c>
      <c r="M40" s="2151"/>
      <c r="N40" s="2151"/>
      <c r="O40" s="2152"/>
      <c r="P40" s="2152"/>
      <c r="Q40" s="3600"/>
      <c r="R40" s="3796">
        <f>SUM(R37:R39)</f>
        <v>0</v>
      </c>
      <c r="S40" s="2099"/>
      <c r="T40" s="2099"/>
      <c r="U40" s="2099"/>
      <c r="V40" s="2106"/>
    </row>
    <row r="41" spans="1:23" s="2110" customFormat="1" ht="13.15" customHeight="1" thickBot="1">
      <c r="A41" s="2209">
        <v>11</v>
      </c>
      <c r="B41" s="2210" t="s">
        <v>2317</v>
      </c>
      <c r="C41" s="3583" t="e">
        <f>ROUND(C40*10000/B4,0)</f>
        <v>#DIV/0!</v>
      </c>
      <c r="D41" s="3584"/>
      <c r="E41" s="3584"/>
      <c r="F41" s="2211"/>
      <c r="G41" s="2105"/>
      <c r="H41" s="2105"/>
      <c r="I41" s="2106"/>
      <c r="J41" s="2177">
        <v>2</v>
      </c>
      <c r="K41" s="2178" t="s">
        <v>2295</v>
      </c>
      <c r="L41" s="2179"/>
      <c r="M41" s="2179"/>
      <c r="N41" s="2179"/>
      <c r="O41" s="2179"/>
      <c r="P41" s="2180"/>
      <c r="Q41" s="3587"/>
      <c r="R41" s="3795">
        <f>ROUND(R40*Q41,0)</f>
        <v>0</v>
      </c>
      <c r="S41" s="2099"/>
      <c r="T41" s="2099"/>
      <c r="U41" s="2143"/>
      <c r="V41" s="2106"/>
    </row>
    <row r="42" spans="1:23" s="2110" customFormat="1" ht="13.15" customHeight="1">
      <c r="G42" s="2105"/>
      <c r="H42" s="2105"/>
      <c r="I42" s="2106"/>
      <c r="J42" s="4647">
        <v>3</v>
      </c>
      <c r="K42" s="2184" t="s">
        <v>2297</v>
      </c>
      <c r="L42" s="2185"/>
      <c r="M42" s="2186"/>
      <c r="N42" s="2187" t="s">
        <v>2298</v>
      </c>
      <c r="O42" s="2187" t="s">
        <v>2299</v>
      </c>
      <c r="P42" s="2188" t="s">
        <v>2300</v>
      </c>
      <c r="Q42" s="2188" t="s">
        <v>2301</v>
      </c>
      <c r="R42" s="2114" t="s">
        <v>2231</v>
      </c>
      <c r="S42" s="2143"/>
      <c r="T42" s="2143"/>
      <c r="U42" s="2099"/>
      <c r="V42" s="2106"/>
    </row>
    <row r="43" spans="1:23" ht="13.15" customHeight="1">
      <c r="A43" s="2110"/>
      <c r="B43" s="2110"/>
      <c r="C43" s="2110"/>
      <c r="D43" s="2110"/>
      <c r="E43" s="2110"/>
      <c r="F43" s="2110"/>
      <c r="G43" s="2105"/>
      <c r="H43" s="2105"/>
      <c r="I43" s="2094"/>
      <c r="J43" s="4648"/>
      <c r="K43" s="2191"/>
      <c r="L43" s="2192"/>
      <c r="M43" s="2193"/>
      <c r="N43" s="3587"/>
      <c r="O43" s="3587"/>
      <c r="P43" s="3587"/>
      <c r="Q43" s="3587"/>
      <c r="R43" s="3795">
        <f>ROUND(O43*N43*P43*(1-Q43)/10000,0)</f>
        <v>0</v>
      </c>
      <c r="S43" s="2099"/>
      <c r="T43" s="2099"/>
      <c r="V43" s="2212"/>
      <c r="W43" s="2213"/>
    </row>
    <row r="44" spans="1:23" ht="13.15" customHeight="1" thickBot="1">
      <c r="A44" s="2110"/>
      <c r="B44" s="2110"/>
      <c r="C44" s="2110"/>
      <c r="D44" s="2110"/>
      <c r="E44" s="2110"/>
      <c r="F44" s="2110"/>
      <c r="G44" s="2105"/>
      <c r="H44" s="2105"/>
      <c r="J44" s="2194">
        <v>6</v>
      </c>
      <c r="K44" s="2195" t="s">
        <v>2304</v>
      </c>
      <c r="L44" s="2214" t="s">
        <v>2305</v>
      </c>
      <c r="M44" s="3592"/>
      <c r="N44" s="2214" t="s">
        <v>2306</v>
      </c>
      <c r="O44" s="2197"/>
      <c r="P44" s="2214" t="s">
        <v>2307</v>
      </c>
      <c r="Q44" s="2199">
        <v>1.4999999999999999E-2</v>
      </c>
      <c r="R44" s="3591"/>
    </row>
    <row r="45" spans="1:23" ht="13.15" customHeight="1" thickBot="1">
      <c r="A45" s="2110"/>
      <c r="B45" s="2110"/>
      <c r="C45" s="2110"/>
      <c r="D45" s="2110"/>
      <c r="E45" s="2110"/>
      <c r="F45" s="2110"/>
      <c r="G45" s="2105"/>
      <c r="H45" s="2105"/>
    </row>
    <row r="46" spans="1:23" ht="15">
      <c r="A46" s="2110"/>
      <c r="B46" s="2110"/>
      <c r="C46" s="3700" t="s">
        <v>3724</v>
      </c>
      <c r="D46" s="3701" t="s">
        <v>3795</v>
      </c>
      <c r="E46" s="4081">
        <f>ROUND(D6*G46,0)</f>
        <v>0</v>
      </c>
      <c r="F46" s="3712" t="s">
        <v>3784</v>
      </c>
      <c r="G46" s="4082">
        <v>0.05</v>
      </c>
      <c r="H46" s="2110"/>
      <c r="I46" s="2213"/>
    </row>
    <row r="47" spans="1:23" ht="13.15" customHeight="1">
      <c r="A47" s="2110"/>
      <c r="B47" s="2110"/>
      <c r="C47" s="3702" t="s">
        <v>3725</v>
      </c>
      <c r="D47" s="3703" t="s">
        <v>3726</v>
      </c>
      <c r="E47" s="4195" t="s">
        <v>3966</v>
      </c>
      <c r="F47" s="3713" t="s">
        <v>3727</v>
      </c>
      <c r="G47" s="3714" t="s">
        <v>3728</v>
      </c>
      <c r="H47" s="2100"/>
      <c r="I47" s="2213"/>
    </row>
    <row r="48" spans="1:23" ht="13.15" customHeight="1">
      <c r="C48" s="3704">
        <v>1</v>
      </c>
      <c r="D48" s="3703" t="s">
        <v>3729</v>
      </c>
      <c r="E48" s="3724">
        <f>E49-E54</f>
        <v>0</v>
      </c>
      <c r="F48" s="3703"/>
      <c r="G48" s="3714"/>
      <c r="H48" s="2100"/>
      <c r="I48" s="2213"/>
    </row>
    <row r="49" spans="1:9" ht="13.15" customHeight="1">
      <c r="C49" s="3704">
        <v>2</v>
      </c>
      <c r="D49" s="3703" t="s">
        <v>3730</v>
      </c>
      <c r="E49" s="3724">
        <f>SUM(E50:E53)</f>
        <v>0</v>
      </c>
      <c r="F49" s="3703"/>
      <c r="G49" s="4076"/>
      <c r="H49" s="2100"/>
      <c r="I49" s="2213"/>
    </row>
    <row r="50" spans="1:9" ht="13.15" customHeight="1">
      <c r="C50" s="3705" t="s">
        <v>3746</v>
      </c>
      <c r="D50" s="3706" t="s">
        <v>3731</v>
      </c>
      <c r="E50" s="3725">
        <f>R14*G50/(1+G50)</f>
        <v>0</v>
      </c>
      <c r="F50" s="3715" t="s">
        <v>3747</v>
      </c>
      <c r="G50" s="4077">
        <v>0.06</v>
      </c>
      <c r="H50" s="2100"/>
      <c r="I50" s="2213"/>
    </row>
    <row r="51" spans="1:9" ht="13.15" customHeight="1">
      <c r="C51" s="3705" t="s">
        <v>3748</v>
      </c>
      <c r="D51" s="3706" t="s">
        <v>3732</v>
      </c>
      <c r="E51" s="3725">
        <f>R19*G51/(1+G51)</f>
        <v>0</v>
      </c>
      <c r="F51" s="3715" t="s">
        <v>3749</v>
      </c>
      <c r="G51" s="4077">
        <v>0.06</v>
      </c>
      <c r="H51" s="2100"/>
      <c r="I51" s="2213"/>
    </row>
    <row r="52" spans="1:9" ht="13.15" customHeight="1">
      <c r="C52" s="3705" t="s">
        <v>3750</v>
      </c>
      <c r="D52" s="3706" t="s">
        <v>3733</v>
      </c>
      <c r="E52" s="3725">
        <f>R24*G52/(1+R24)</f>
        <v>0</v>
      </c>
      <c r="F52" s="3715" t="s">
        <v>3734</v>
      </c>
      <c r="G52" s="4077">
        <v>0.09</v>
      </c>
      <c r="H52" s="2100"/>
      <c r="I52" s="2213"/>
    </row>
    <row r="53" spans="1:9" ht="13.15" customHeight="1">
      <c r="C53" s="3705" t="s">
        <v>3751</v>
      </c>
      <c r="D53" s="3706" t="s">
        <v>3735</v>
      </c>
      <c r="E53" s="3725">
        <f>R27*G53/(1+G53)</f>
        <v>0</v>
      </c>
      <c r="F53" s="3715" t="s">
        <v>3734</v>
      </c>
      <c r="G53" s="4077">
        <v>0.09</v>
      </c>
      <c r="H53" s="2100"/>
      <c r="I53" s="2213"/>
    </row>
    <row r="54" spans="1:9" ht="13.15" customHeight="1">
      <c r="A54" s="2100" t="s">
        <v>3779</v>
      </c>
      <c r="B54" s="2213"/>
      <c r="C54" s="3704">
        <v>3</v>
      </c>
      <c r="D54" s="3703" t="s">
        <v>3736</v>
      </c>
      <c r="E54" s="3724">
        <f>E55+E56+E60</f>
        <v>0</v>
      </c>
      <c r="F54" s="3703"/>
      <c r="G54" s="4076"/>
      <c r="H54" s="2100"/>
      <c r="I54" s="2213"/>
    </row>
    <row r="55" spans="1:9" ht="13.15" customHeight="1">
      <c r="A55" s="3696">
        <v>0.05</v>
      </c>
      <c r="B55" s="3697" t="s">
        <v>3783</v>
      </c>
      <c r="C55" s="3705" t="s">
        <v>3746</v>
      </c>
      <c r="D55" s="3706" t="s">
        <v>3737</v>
      </c>
      <c r="E55" s="3725">
        <f>D9*G55/(1+G55)</f>
        <v>0</v>
      </c>
      <c r="F55" s="3717" t="s">
        <v>3785</v>
      </c>
      <c r="G55" s="4077">
        <v>0.13</v>
      </c>
      <c r="H55" s="2100"/>
      <c r="I55" s="2213"/>
    </row>
    <row r="56" spans="1:9" ht="13.15" customHeight="1">
      <c r="A56" s="3696">
        <f>SUM(A57:A59)</f>
        <v>0.39</v>
      </c>
      <c r="B56" s="3697"/>
      <c r="C56" s="3705" t="s">
        <v>3748</v>
      </c>
      <c r="D56" s="3706" t="s">
        <v>3738</v>
      </c>
      <c r="E56" s="3725">
        <f>SUM(E57:E59)</f>
        <v>0</v>
      </c>
      <c r="F56" s="3715"/>
      <c r="G56" s="3718"/>
      <c r="H56" s="2100" t="s">
        <v>3792</v>
      </c>
      <c r="I56" s="2100" t="s">
        <v>3793</v>
      </c>
    </row>
    <row r="57" spans="1:9" ht="13.15" customHeight="1">
      <c r="A57" s="3696">
        <v>0.25</v>
      </c>
      <c r="B57" s="3697" t="s">
        <v>3780</v>
      </c>
      <c r="C57" s="3707" t="s">
        <v>3739</v>
      </c>
      <c r="D57" s="3708" t="s">
        <v>3740</v>
      </c>
      <c r="E57" s="3726">
        <v>0</v>
      </c>
      <c r="F57" s="3719"/>
      <c r="G57" s="3720" t="s">
        <v>3741</v>
      </c>
      <c r="H57" s="3692">
        <v>0.65</v>
      </c>
      <c r="I57" s="3698">
        <f>A57/SUM(A57:A59)</f>
        <v>0.64102564102564097</v>
      </c>
    </row>
    <row r="58" spans="1:9" ht="13.15" customHeight="1">
      <c r="A58" s="3696">
        <v>0.06</v>
      </c>
      <c r="B58" s="3697" t="s">
        <v>3781</v>
      </c>
      <c r="C58" s="3707" t="s">
        <v>3742</v>
      </c>
      <c r="D58" s="3709" t="s">
        <v>3787</v>
      </c>
      <c r="E58" s="3726">
        <f>D10*H58*G58/(1+G58)</f>
        <v>0</v>
      </c>
      <c r="F58" s="3719" t="s">
        <v>3752</v>
      </c>
      <c r="G58" s="4078">
        <v>0.09</v>
      </c>
      <c r="H58" s="3692">
        <v>0.15</v>
      </c>
      <c r="I58" s="3698">
        <f>A58/SUM(A57:A59)</f>
        <v>0.15384615384615383</v>
      </c>
    </row>
    <row r="59" spans="1:9" ht="13.15" customHeight="1">
      <c r="A59" s="3696">
        <v>0.08</v>
      </c>
      <c r="B59" s="3697" t="s">
        <v>3782</v>
      </c>
      <c r="C59" s="3707" t="s">
        <v>3743</v>
      </c>
      <c r="D59" s="3708" t="s">
        <v>3753</v>
      </c>
      <c r="E59" s="3726">
        <f>D10*H59*G59/(1+G59)</f>
        <v>0</v>
      </c>
      <c r="F59" s="3719" t="s">
        <v>3754</v>
      </c>
      <c r="G59" s="4078">
        <v>0.06</v>
      </c>
      <c r="H59" s="3692">
        <v>0.2</v>
      </c>
      <c r="I59" s="3698">
        <f>1-I57-I58</f>
        <v>0.2051282051282052</v>
      </c>
    </row>
    <row r="60" spans="1:9" ht="13.15" customHeight="1">
      <c r="A60" s="3696">
        <f>SUM(A61:A62)</f>
        <v>0.1</v>
      </c>
      <c r="B60" s="3697"/>
      <c r="C60" s="3705" t="s">
        <v>3750</v>
      </c>
      <c r="D60" s="3706" t="s">
        <v>3755</v>
      </c>
      <c r="E60" s="3725">
        <f>SUM(E61:E62)</f>
        <v>0</v>
      </c>
      <c r="F60" s="3715"/>
      <c r="G60" s="4079"/>
      <c r="I60" s="2213"/>
    </row>
    <row r="61" spans="1:9" ht="13.15" customHeight="1">
      <c r="A61" s="3696">
        <v>0.05</v>
      </c>
      <c r="B61" s="3697" t="s">
        <v>3783</v>
      </c>
      <c r="C61" s="3707" t="s">
        <v>3756</v>
      </c>
      <c r="D61" s="3708" t="s">
        <v>3757</v>
      </c>
      <c r="E61" s="3726">
        <f>D17*H61*G61/(1+G61)</f>
        <v>0</v>
      </c>
      <c r="F61" s="3719" t="s">
        <v>3754</v>
      </c>
      <c r="G61" s="4078">
        <v>0.06</v>
      </c>
      <c r="H61" s="3692">
        <v>0.5</v>
      </c>
      <c r="I61" s="2213"/>
    </row>
    <row r="62" spans="1:9" ht="13.15" customHeight="1" thickBot="1">
      <c r="A62" s="3696">
        <v>0.05</v>
      </c>
      <c r="B62" s="3697" t="s">
        <v>3784</v>
      </c>
      <c r="C62" s="3710" t="s">
        <v>3742</v>
      </c>
      <c r="D62" s="3711" t="s">
        <v>3758</v>
      </c>
      <c r="E62" s="3727">
        <f>D17*H62*G62/(1+G62)</f>
        <v>0</v>
      </c>
      <c r="F62" s="3722" t="s">
        <v>3759</v>
      </c>
      <c r="G62" s="4080">
        <v>0.09</v>
      </c>
      <c r="H62" s="3692">
        <v>0.5</v>
      </c>
      <c r="I62" s="2213"/>
    </row>
    <row r="63" spans="1:9" ht="13.15" customHeight="1">
      <c r="A63" s="3696">
        <f>A55+A56+A60</f>
        <v>0.54</v>
      </c>
      <c r="B63" s="3697"/>
      <c r="C63" s="2213"/>
      <c r="D63" s="3697"/>
      <c r="E63" s="3697"/>
      <c r="F63" s="2213"/>
      <c r="G63" s="2213"/>
      <c r="H63" s="2100"/>
      <c r="I63" s="2100"/>
    </row>
    <row r="64" spans="1:9" ht="13.15" customHeight="1" thickBot="1">
      <c r="C64" s="2213"/>
      <c r="D64" s="2213"/>
      <c r="E64" s="2213"/>
      <c r="F64" s="2213"/>
      <c r="G64" s="2213"/>
      <c r="H64" s="2100"/>
      <c r="I64" s="2213"/>
    </row>
    <row r="65" spans="1:9" ht="15">
      <c r="C65" s="3700" t="s">
        <v>3760</v>
      </c>
      <c r="D65" s="3701" t="s">
        <v>3795</v>
      </c>
      <c r="E65" s="4081">
        <f>ROUND(D6*G65,0)</f>
        <v>0</v>
      </c>
      <c r="F65" s="3712" t="s">
        <v>3796</v>
      </c>
      <c r="G65" s="4082">
        <v>0.03</v>
      </c>
      <c r="H65" s="2100"/>
      <c r="I65" s="2213"/>
    </row>
    <row r="66" spans="1:9" ht="12.75">
      <c r="C66" s="3702" t="s">
        <v>3761</v>
      </c>
      <c r="D66" s="3703" t="s">
        <v>3762</v>
      </c>
      <c r="E66" s="4195" t="s">
        <v>3966</v>
      </c>
      <c r="F66" s="3713" t="s">
        <v>3763</v>
      </c>
      <c r="G66" s="3714" t="s">
        <v>3764</v>
      </c>
      <c r="H66" s="2100"/>
      <c r="I66" s="2213"/>
    </row>
    <row r="67" spans="1:9" ht="12">
      <c r="C67" s="3704">
        <v>1</v>
      </c>
      <c r="D67" s="3703" t="s">
        <v>3765</v>
      </c>
      <c r="E67" s="3728">
        <f>E68-E73</f>
        <v>0</v>
      </c>
      <c r="F67" s="3703"/>
      <c r="G67" s="3714"/>
      <c r="H67" s="2100"/>
      <c r="I67" s="2213"/>
    </row>
    <row r="68" spans="1:9" ht="13.15" customHeight="1">
      <c r="C68" s="3729">
        <v>2</v>
      </c>
      <c r="D68" s="3703" t="s">
        <v>3766</v>
      </c>
      <c r="E68" s="3728">
        <f>SUM(E69:E70)</f>
        <v>0</v>
      </c>
      <c r="F68" s="3703"/>
      <c r="G68" s="3714"/>
      <c r="H68" s="2100"/>
      <c r="I68" s="2213"/>
    </row>
    <row r="69" spans="1:9" ht="13.15" customHeight="1">
      <c r="C69" s="3705" t="s">
        <v>3767</v>
      </c>
      <c r="D69" s="3706" t="s">
        <v>3768</v>
      </c>
      <c r="E69" s="3706"/>
      <c r="F69" s="3715" t="s">
        <v>3769</v>
      </c>
      <c r="G69" s="3716">
        <v>0.09</v>
      </c>
      <c r="H69" s="2100"/>
      <c r="I69" s="2213"/>
    </row>
    <row r="70" spans="1:9" ht="13.15" customHeight="1">
      <c r="C70" s="3705" t="s">
        <v>3748</v>
      </c>
      <c r="D70" s="3706" t="s">
        <v>3770</v>
      </c>
      <c r="E70" s="3706"/>
      <c r="F70" s="3715" t="s">
        <v>3771</v>
      </c>
      <c r="G70" s="3716">
        <v>0.06</v>
      </c>
      <c r="H70" s="2100"/>
      <c r="I70" s="2213"/>
    </row>
    <row r="71" spans="1:9" ht="13.15" customHeight="1">
      <c r="A71" s="2100" t="s">
        <v>3786</v>
      </c>
      <c r="C71" s="3729">
        <v>3</v>
      </c>
      <c r="D71" s="3703" t="s">
        <v>3772</v>
      </c>
      <c r="E71" s="3728">
        <f>E72+E77</f>
        <v>0</v>
      </c>
      <c r="F71" s="3703"/>
      <c r="G71" s="3714"/>
      <c r="H71" s="2100"/>
      <c r="I71" s="2213"/>
    </row>
    <row r="72" spans="1:9" ht="13.15" customHeight="1">
      <c r="A72" s="3696">
        <v>0.05</v>
      </c>
      <c r="B72" s="3699"/>
      <c r="C72" s="3705" t="s">
        <v>3767</v>
      </c>
      <c r="D72" s="3706" t="s">
        <v>3773</v>
      </c>
      <c r="E72" s="3706">
        <f>D9*G72/(1+G72)</f>
        <v>0</v>
      </c>
      <c r="F72" s="3717" t="s">
        <v>3785</v>
      </c>
      <c r="G72" s="3716">
        <v>0.13</v>
      </c>
      <c r="H72" s="2100"/>
      <c r="I72" s="2213"/>
    </row>
    <row r="73" spans="1:9" ht="13.15" customHeight="1">
      <c r="A73" s="3696">
        <f>SUM(A74:A76)</f>
        <v>0.2</v>
      </c>
      <c r="B73" s="3699"/>
      <c r="C73" s="3705" t="s">
        <v>3748</v>
      </c>
      <c r="D73" s="3706" t="s">
        <v>3774</v>
      </c>
      <c r="E73" s="3706">
        <f>SUM(E74:E76)</f>
        <v>0</v>
      </c>
      <c r="F73" s="3715"/>
      <c r="G73" s="3718"/>
      <c r="H73" s="2100" t="s">
        <v>3792</v>
      </c>
      <c r="I73" s="2100" t="s">
        <v>3793</v>
      </c>
    </row>
    <row r="74" spans="1:9" ht="13.15" customHeight="1">
      <c r="A74" s="3696">
        <v>0.05</v>
      </c>
      <c r="B74" s="3699" t="s">
        <v>3790</v>
      </c>
      <c r="C74" s="3730" t="s">
        <v>3775</v>
      </c>
      <c r="D74" s="3708" t="s">
        <v>3776</v>
      </c>
      <c r="E74" s="3708">
        <v>0</v>
      </c>
      <c r="F74" s="3719"/>
      <c r="G74" s="3720" t="s">
        <v>3777</v>
      </c>
      <c r="H74" s="3692">
        <v>0.25</v>
      </c>
      <c r="I74" s="3698">
        <f>A74/SUM(A74:A76)</f>
        <v>0.25</v>
      </c>
    </row>
    <row r="75" spans="1:9" ht="13.15" customHeight="1">
      <c r="A75" s="3696">
        <v>0.1</v>
      </c>
      <c r="B75" s="3699" t="s">
        <v>3788</v>
      </c>
      <c r="C75" s="3730" t="s">
        <v>3744</v>
      </c>
      <c r="D75" s="3709" t="s">
        <v>3787</v>
      </c>
      <c r="E75" s="3708">
        <f>D10*H75*G75/(1+G75)</f>
        <v>0</v>
      </c>
      <c r="F75" s="3719" t="s">
        <v>3778</v>
      </c>
      <c r="G75" s="3721">
        <v>0.09</v>
      </c>
      <c r="H75" s="3692">
        <v>0.5</v>
      </c>
      <c r="I75" s="3698">
        <f>A75/SUM(A74:A76)</f>
        <v>0.5</v>
      </c>
    </row>
    <row r="76" spans="1:9" ht="13.15" customHeight="1">
      <c r="A76" s="3696">
        <v>0.05</v>
      </c>
      <c r="B76" s="3699" t="s">
        <v>3791</v>
      </c>
      <c r="C76" s="3730" t="s">
        <v>3745</v>
      </c>
      <c r="D76" s="3708" t="s">
        <v>3753</v>
      </c>
      <c r="E76" s="3708">
        <f>D10*H76*G76/(1+G76)</f>
        <v>0</v>
      </c>
      <c r="F76" s="3719" t="s">
        <v>3754</v>
      </c>
      <c r="G76" s="3721">
        <v>0.06</v>
      </c>
      <c r="H76" s="3692">
        <v>0.25</v>
      </c>
      <c r="I76" s="3698">
        <f>1-I74-I75</f>
        <v>0.25</v>
      </c>
    </row>
    <row r="77" spans="1:9" ht="13.15" customHeight="1">
      <c r="A77" s="3696">
        <f>SUM(A78:A79)</f>
        <v>0.1</v>
      </c>
      <c r="B77" s="3699"/>
      <c r="C77" s="3705" t="s">
        <v>3750</v>
      </c>
      <c r="D77" s="3706" t="s">
        <v>3755</v>
      </c>
      <c r="E77" s="3706">
        <f>SUM(E78:E79)</f>
        <v>0</v>
      </c>
      <c r="F77" s="3715"/>
      <c r="G77" s="3718"/>
      <c r="I77" s="2213"/>
    </row>
    <row r="78" spans="1:9" ht="13.15" customHeight="1">
      <c r="A78" s="3696">
        <v>0.05</v>
      </c>
      <c r="B78" s="3699" t="s">
        <v>3781</v>
      </c>
      <c r="C78" s="3730" t="s">
        <v>3775</v>
      </c>
      <c r="D78" s="3708" t="s">
        <v>3757</v>
      </c>
      <c r="E78" s="3708">
        <f>D17*H78*G78/(1+G78)</f>
        <v>0</v>
      </c>
      <c r="F78" s="3719" t="s">
        <v>3754</v>
      </c>
      <c r="G78" s="3721">
        <v>0.06</v>
      </c>
      <c r="H78" s="3692">
        <v>0.5</v>
      </c>
      <c r="I78" s="2213"/>
    </row>
    <row r="79" spans="1:9" ht="13.15" customHeight="1" thickBot="1">
      <c r="A79" s="3696">
        <v>0.05</v>
      </c>
      <c r="B79" s="3699" t="s">
        <v>3789</v>
      </c>
      <c r="C79" s="3731" t="s">
        <v>3744</v>
      </c>
      <c r="D79" s="3711" t="s">
        <v>3758</v>
      </c>
      <c r="E79" s="3711">
        <f>D17*H79*G79/(1+G79)</f>
        <v>0</v>
      </c>
      <c r="F79" s="3722" t="s">
        <v>3759</v>
      </c>
      <c r="G79" s="3723">
        <v>0.09</v>
      </c>
      <c r="H79" s="3692">
        <v>0.5</v>
      </c>
      <c r="I79" s="2213"/>
    </row>
    <row r="80" spans="1:9" ht="13.15" customHeight="1">
      <c r="A80" s="3696">
        <f>A72+A73+A77</f>
        <v>0.35</v>
      </c>
      <c r="B80" s="3699"/>
      <c r="G80" s="2100"/>
      <c r="H80" s="2100"/>
      <c r="I80" s="2213"/>
    </row>
    <row r="81" spans="7:9" ht="13.15" customHeight="1">
      <c r="G81" s="2100"/>
      <c r="H81" s="2100"/>
      <c r="I81" s="2213"/>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J20" sqref="J20"/>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69" t="s">
        <v>1570</v>
      </c>
      <c r="B1" s="1370"/>
      <c r="C1" s="1370"/>
      <c r="D1" s="1370"/>
      <c r="E1" s="1371"/>
      <c r="F1" s="2000"/>
      <c r="G1" s="1058"/>
      <c r="H1" s="1058"/>
      <c r="I1" s="1058"/>
      <c r="J1" s="1058"/>
      <c r="K1" s="1058"/>
      <c r="L1" s="1058"/>
      <c r="M1" s="1058"/>
      <c r="N1" s="1058"/>
      <c r="O1" s="1058"/>
      <c r="P1" s="1058"/>
      <c r="Q1" s="1058"/>
      <c r="R1" s="1058"/>
      <c r="S1" s="1058"/>
    </row>
    <row r="2" spans="1:22" ht="15.75">
      <c r="A2" s="1372" t="s">
        <v>1433</v>
      </c>
      <c r="B2" s="570">
        <f ca="1">SUMIF(B6:B13,"&lt;&gt;#ref!",B6:B13)</f>
        <v>87537.482799999998</v>
      </c>
      <c r="C2" s="1373" t="s">
        <v>1563</v>
      </c>
      <c r="D2" s="1374" t="s">
        <v>1564</v>
      </c>
      <c r="E2" s="2955">
        <f>SUM(E6:E13)</f>
        <v>57408.26</v>
      </c>
      <c r="F2" s="2000"/>
      <c r="G2" s="1058"/>
      <c r="H2" s="1058"/>
      <c r="I2" s="1058"/>
      <c r="J2" s="1058"/>
      <c r="K2" s="1058"/>
      <c r="L2" s="1058"/>
      <c r="M2" s="1058"/>
      <c r="N2" s="1058"/>
      <c r="O2" s="1058"/>
      <c r="P2" s="1058"/>
      <c r="Q2" s="1058"/>
      <c r="R2" s="1058"/>
      <c r="S2" s="1058"/>
    </row>
    <row r="3" spans="1:22" ht="15.75">
      <c r="A3" s="1372" t="s">
        <v>673</v>
      </c>
      <c r="B3" s="2954">
        <f ca="1">ROUND(B2*10000/E2,0)</f>
        <v>15248</v>
      </c>
      <c r="C3" s="1373" t="s">
        <v>1571</v>
      </c>
      <c r="D3" s="2000"/>
      <c r="E3" s="2003"/>
      <c r="F3" s="2000"/>
      <c r="G3" s="1058"/>
      <c r="H3" s="1058"/>
      <c r="I3" s="1058"/>
      <c r="J3" s="1058"/>
      <c r="K3" s="1058"/>
      <c r="L3" s="1058"/>
      <c r="M3" s="1058"/>
      <c r="N3" s="1058"/>
      <c r="O3" s="1058"/>
      <c r="P3" s="1058"/>
      <c r="Q3" s="1058"/>
      <c r="R3" s="1058"/>
      <c r="S3" s="1058"/>
    </row>
    <row r="4" spans="1:22" ht="15.75">
      <c r="A4" s="2004"/>
      <c r="B4" s="2000"/>
      <c r="C4" s="2000"/>
      <c r="D4" s="2000"/>
      <c r="E4" s="2003"/>
      <c r="F4" s="2000"/>
      <c r="G4" s="1058"/>
      <c r="H4" s="1058"/>
      <c r="I4" s="1058"/>
      <c r="J4" s="1058"/>
      <c r="K4" s="1058"/>
      <c r="L4" s="1058"/>
      <c r="M4" s="1058"/>
      <c r="N4" s="1058"/>
      <c r="O4" s="1058"/>
      <c r="P4" s="1058"/>
      <c r="Q4" s="1058"/>
      <c r="R4" s="1058"/>
      <c r="S4" s="1058"/>
    </row>
    <row r="5" spans="1:22" ht="15">
      <c r="A5" s="1915" t="s">
        <v>1565</v>
      </c>
      <c r="B5" s="4649" t="s">
        <v>1566</v>
      </c>
      <c r="C5" s="4650"/>
      <c r="D5" s="2001"/>
      <c r="E5" s="1375" t="s">
        <v>1567</v>
      </c>
      <c r="F5" s="51" t="s">
        <v>1568</v>
      </c>
      <c r="G5" s="1058"/>
      <c r="H5" s="1058"/>
      <c r="I5" s="1058"/>
      <c r="J5" s="1058"/>
      <c r="K5" s="1058"/>
      <c r="L5" s="1058"/>
      <c r="M5" s="1058"/>
      <c r="N5" s="1058"/>
      <c r="O5" s="1058"/>
      <c r="P5" s="1058"/>
      <c r="Q5" s="1058"/>
      <c r="R5" s="1058"/>
      <c r="S5" s="1058"/>
    </row>
    <row r="6" spans="1:22">
      <c r="A6" s="1916" t="str">
        <f>'数据-取费表'!AN6</f>
        <v>收益法-办公</v>
      </c>
      <c r="B6" s="3743">
        <f ca="1">IF(F6="是",'数据-取费表'!AO6,0)</f>
        <v>66416</v>
      </c>
      <c r="C6" s="1373" t="s">
        <v>1563</v>
      </c>
      <c r="D6" s="2000"/>
      <c r="E6" s="2956">
        <f>IF(OR(A6=0,F6="否"),0,'数据-取费表'!K6+'数据-取费表'!S6)</f>
        <v>39456.269999999997</v>
      </c>
      <c r="F6" s="1376" t="s">
        <v>1569</v>
      </c>
      <c r="G6" s="1058"/>
      <c r="H6" s="1058"/>
      <c r="I6" s="1058"/>
      <c r="J6" s="1058"/>
      <c r="K6" s="1058"/>
      <c r="L6" s="1058"/>
      <c r="M6" s="1058"/>
      <c r="N6" s="1058"/>
      <c r="O6" s="1058"/>
      <c r="P6" s="1058"/>
      <c r="Q6" s="1058"/>
      <c r="R6" s="1058"/>
      <c r="S6" s="1058"/>
    </row>
    <row r="7" spans="1:22">
      <c r="A7" s="1916" t="str">
        <f>'数据-取费表'!AN7</f>
        <v>收益法-商业</v>
      </c>
      <c r="B7" s="3743">
        <f ca="1">IF(F7="是",'数据-取费表'!AO7,0)</f>
        <v>19729</v>
      </c>
      <c r="C7" s="1373" t="s">
        <v>1563</v>
      </c>
      <c r="D7" s="2000"/>
      <c r="E7" s="2956">
        <f>IF(OR(A7=0,F7="否"),0,'数据-取费表'!K7+'数据-取费表'!S7)</f>
        <v>12972.44</v>
      </c>
      <c r="F7" s="1376" t="s">
        <v>1569</v>
      </c>
      <c r="G7" s="1058"/>
      <c r="H7" s="1058"/>
      <c r="I7" s="1058"/>
      <c r="J7" s="1058"/>
      <c r="K7" s="1058"/>
      <c r="L7" s="1058"/>
      <c r="M7" s="1058"/>
      <c r="N7" s="1058"/>
      <c r="O7" s="1058"/>
      <c r="P7" s="1058"/>
      <c r="Q7" s="1058"/>
      <c r="R7" s="1058"/>
      <c r="S7" s="1058"/>
    </row>
    <row r="8" spans="1:22">
      <c r="A8" s="1916" t="str">
        <f>'数据-取费表'!AN8</f>
        <v>收益法-仓储</v>
      </c>
      <c r="B8" s="3743">
        <f ca="1">IF(F8="是",'数据-取费表'!AO8,0)</f>
        <v>52.482799999999997</v>
      </c>
      <c r="C8" s="1373" t="s">
        <v>1563</v>
      </c>
      <c r="D8" s="2000"/>
      <c r="E8" s="2956">
        <f>IF(OR(A8=0,F8="否"),0,'数据-取费表'!K8+'数据-取费表'!S8)</f>
        <v>195.18</v>
      </c>
      <c r="F8" s="1376" t="s">
        <v>1569</v>
      </c>
      <c r="G8" s="1058"/>
      <c r="H8" s="1058"/>
      <c r="I8" s="1058"/>
      <c r="J8" s="1058"/>
      <c r="K8" s="1058"/>
      <c r="L8" s="1058"/>
      <c r="M8" s="1058"/>
      <c r="N8" s="1058"/>
      <c r="O8" s="1058"/>
      <c r="P8" s="1058"/>
      <c r="Q8" s="1058"/>
      <c r="R8" s="1058"/>
      <c r="S8" s="1058"/>
    </row>
    <row r="9" spans="1:22">
      <c r="A9" s="1916" t="str">
        <f>'数据-取费表'!AN9</f>
        <v>收益法-车库</v>
      </c>
      <c r="B9" s="3743">
        <f ca="1">IF(F9="是",'数据-取费表'!AO9,0)</f>
        <v>1340</v>
      </c>
      <c r="C9" s="1373" t="s">
        <v>1563</v>
      </c>
      <c r="D9" s="2000"/>
      <c r="E9" s="2956">
        <f>IF(OR(A9=0,F9="否"),0,'数据-取费表'!K9+'数据-取费表'!S9)</f>
        <v>4784.37</v>
      </c>
      <c r="F9" s="1376" t="s">
        <v>1569</v>
      </c>
      <c r="G9" s="1058"/>
      <c r="H9" s="1058"/>
      <c r="I9" s="1058"/>
      <c r="J9" s="1058"/>
      <c r="K9" s="1058"/>
      <c r="L9" s="1058"/>
      <c r="M9" s="1058"/>
      <c r="N9" s="1058"/>
      <c r="O9" s="1058"/>
      <c r="P9" s="1058"/>
      <c r="Q9" s="1058"/>
      <c r="R9" s="1058"/>
      <c r="S9" s="1058"/>
    </row>
    <row r="10" spans="1:22">
      <c r="A10" s="1916">
        <f>'数据-取费表'!AN10</f>
        <v>0</v>
      </c>
      <c r="B10" s="3743" t="e">
        <f ca="1">IF(F10="是",'数据-取费表'!AO10,0)</f>
        <v>#REF!</v>
      </c>
      <c r="C10" s="1373" t="s">
        <v>1563</v>
      </c>
      <c r="D10" s="2000"/>
      <c r="E10" s="2956">
        <f>IF(OR(A10=0,F10="否"),0,'数据-取费表'!K10+'数据-取费表'!S10)</f>
        <v>0</v>
      </c>
      <c r="F10" s="1376" t="s">
        <v>1569</v>
      </c>
      <c r="G10" s="1058"/>
      <c r="H10" s="1058"/>
      <c r="I10" s="1058"/>
      <c r="J10" s="1058"/>
      <c r="K10" s="1058"/>
      <c r="L10" s="1058"/>
      <c r="M10" s="1058"/>
      <c r="N10" s="1058"/>
      <c r="O10" s="1058"/>
      <c r="P10" s="1058"/>
      <c r="Q10" s="1058"/>
      <c r="R10" s="1058"/>
      <c r="S10" s="1058"/>
    </row>
    <row r="11" spans="1:22">
      <c r="A11" s="1916">
        <f>'数据-取费表'!AN11</f>
        <v>0</v>
      </c>
      <c r="B11" s="3743" t="e">
        <f ca="1">IF(F11="是",'数据-取费表'!AO11,0)</f>
        <v>#REF!</v>
      </c>
      <c r="C11" s="1373" t="s">
        <v>1563</v>
      </c>
      <c r="D11" s="2000"/>
      <c r="E11" s="2956">
        <f>IF(OR(A11=0,F11="否"),0,'数据-取费表'!K11+'数据-取费表'!S11)</f>
        <v>0</v>
      </c>
      <c r="F11" s="1376" t="s">
        <v>1569</v>
      </c>
      <c r="G11" s="1058"/>
      <c r="H11" s="1058"/>
      <c r="I11" s="1058"/>
      <c r="J11" s="1058"/>
      <c r="K11" s="1058"/>
      <c r="L11" s="1058"/>
      <c r="M11" s="1058"/>
      <c r="N11" s="1058"/>
      <c r="O11" s="1058"/>
      <c r="P11" s="1058"/>
      <c r="Q11" s="1058"/>
      <c r="R11" s="1058"/>
      <c r="S11" s="1058"/>
    </row>
    <row r="12" spans="1:22">
      <c r="A12" s="1916">
        <f>'数据-取费表'!AN12</f>
        <v>0</v>
      </c>
      <c r="B12" s="3743" t="e">
        <f ca="1">IF(F12="是",'数据-取费表'!AO12,0)</f>
        <v>#REF!</v>
      </c>
      <c r="C12" s="1373" t="s">
        <v>1563</v>
      </c>
      <c r="D12" s="2000"/>
      <c r="E12" s="2956">
        <f>IF(OR(A12=0,F12="否"),0,'数据-取费表'!K12+'数据-取费表'!S12)</f>
        <v>0</v>
      </c>
      <c r="F12" s="1376" t="s">
        <v>1569</v>
      </c>
      <c r="G12" s="1058"/>
      <c r="H12" s="1058"/>
      <c r="I12" s="1058"/>
      <c r="J12" s="1058"/>
      <c r="K12" s="1058"/>
      <c r="L12" s="1058"/>
      <c r="M12" s="1058"/>
      <c r="N12" s="1058"/>
      <c r="O12" s="1058"/>
      <c r="P12" s="1058"/>
      <c r="Q12" s="1058"/>
      <c r="R12" s="1058"/>
      <c r="S12" s="1058"/>
    </row>
    <row r="13" spans="1:22" ht="15" thickBot="1">
      <c r="A13" s="1917">
        <f>'数据-取费表'!AN13</f>
        <v>0</v>
      </c>
      <c r="B13" s="3743" t="e">
        <f ca="1">IF(F13="是",'数据-取费表'!AO13,0)</f>
        <v>#REF!</v>
      </c>
      <c r="C13" s="1377" t="s">
        <v>1563</v>
      </c>
      <c r="D13" s="2002"/>
      <c r="E13" s="2956">
        <f>IF(OR(A13=0,F13="否"),0,'数据-取费表'!K13+'数据-取费表'!S13)</f>
        <v>0</v>
      </c>
      <c r="F13" s="1376" t="s">
        <v>1569</v>
      </c>
      <c r="G13" s="1058"/>
      <c r="H13" s="1058"/>
      <c r="I13" s="1058"/>
      <c r="J13" s="1058"/>
      <c r="K13" s="1058"/>
      <c r="L13" s="1058"/>
      <c r="M13" s="1058"/>
      <c r="N13" s="1058"/>
      <c r="O13" s="1058"/>
      <c r="P13" s="1058"/>
      <c r="Q13" s="1058"/>
      <c r="R13" s="1058"/>
      <c r="S13" s="1058"/>
    </row>
    <row r="14" spans="1:22">
      <c r="A14" s="1058"/>
      <c r="B14" s="1058"/>
      <c r="C14" s="1058"/>
      <c r="D14" s="1058"/>
      <c r="E14" s="1058"/>
      <c r="F14" s="1058"/>
      <c r="G14" s="1058"/>
      <c r="H14" s="1058"/>
      <c r="I14" s="1058"/>
      <c r="J14" s="1058"/>
      <c r="K14" s="1058"/>
      <c r="L14" s="1058"/>
      <c r="M14" s="1058"/>
      <c r="N14" s="1058"/>
      <c r="O14" s="1058"/>
      <c r="P14" s="1058"/>
      <c r="Q14" s="1058"/>
      <c r="R14" s="1058"/>
      <c r="S14" s="1058"/>
      <c r="T14" s="1058"/>
      <c r="U14" s="1058"/>
      <c r="V14" s="1058"/>
    </row>
    <row r="15" spans="1:22">
      <c r="A15" s="1058"/>
      <c r="B15" s="1058"/>
      <c r="C15" s="1058"/>
      <c r="D15" s="1058"/>
      <c r="E15" s="1058"/>
      <c r="F15" s="1058"/>
      <c r="G15" s="1058"/>
      <c r="H15" s="1058"/>
      <c r="I15" s="1058"/>
      <c r="J15" s="1058"/>
      <c r="K15" s="1058"/>
      <c r="L15" s="1058"/>
      <c r="M15" s="1058"/>
      <c r="N15" s="1058"/>
      <c r="O15" s="1058"/>
      <c r="P15" s="1058"/>
      <c r="Q15" s="1058"/>
      <c r="R15" s="1058"/>
      <c r="S15" s="1058"/>
      <c r="T15" s="1058"/>
      <c r="U15" s="1058"/>
      <c r="V15" s="1058"/>
    </row>
    <row r="16" spans="1:22">
      <c r="A16" s="1058"/>
      <c r="B16" s="1058"/>
      <c r="C16" s="1058"/>
      <c r="D16" s="1058"/>
      <c r="E16" s="1058"/>
      <c r="F16" s="1058"/>
      <c r="G16" s="1058"/>
      <c r="H16" s="1058"/>
      <c r="I16" s="1058"/>
      <c r="J16" s="1058"/>
      <c r="K16" s="1058"/>
      <c r="L16" s="1058"/>
      <c r="M16" s="1058"/>
      <c r="N16" s="1058"/>
      <c r="O16" s="1058"/>
      <c r="P16" s="1058"/>
      <c r="Q16" s="1058"/>
      <c r="R16" s="1058"/>
      <c r="S16" s="1058"/>
      <c r="T16" s="1058"/>
      <c r="U16" s="1058"/>
      <c r="V16" s="1058"/>
    </row>
    <row r="17" spans="1:22">
      <c r="A17" s="1058"/>
      <c r="B17" s="1058"/>
      <c r="C17" s="1058"/>
      <c r="D17" s="1058"/>
      <c r="E17" s="1058"/>
      <c r="F17" s="1058"/>
      <c r="G17" s="1058"/>
      <c r="H17" s="1058"/>
      <c r="I17" s="1058"/>
      <c r="J17" s="1058"/>
      <c r="K17" s="1058"/>
      <c r="L17" s="1058"/>
      <c r="M17" s="1058"/>
      <c r="N17" s="1058"/>
      <c r="O17" s="1058"/>
      <c r="P17" s="1058"/>
      <c r="Q17" s="1058"/>
      <c r="R17" s="1058"/>
      <c r="S17" s="1058"/>
      <c r="T17" s="1058"/>
      <c r="U17" s="1058"/>
      <c r="V17" s="1058"/>
    </row>
    <row r="18" spans="1:22">
      <c r="A18" s="1058"/>
      <c r="B18" s="1058"/>
      <c r="C18" s="1058"/>
      <c r="D18" s="1058"/>
      <c r="E18" s="1058"/>
      <c r="F18" s="1058"/>
      <c r="G18" s="1058"/>
      <c r="H18" s="1058"/>
      <c r="I18" s="1058"/>
      <c r="J18" s="1058"/>
      <c r="K18" s="1058"/>
      <c r="L18" s="1058"/>
      <c r="M18" s="1058"/>
      <c r="N18" s="1058"/>
      <c r="O18" s="1058"/>
      <c r="P18" s="1058"/>
      <c r="Q18" s="1058"/>
      <c r="R18" s="1058"/>
      <c r="S18" s="1058"/>
      <c r="T18" s="1058"/>
      <c r="U18" s="1058"/>
      <c r="V18" s="1058"/>
    </row>
    <row r="19" spans="1:22">
      <c r="A19" s="1058"/>
      <c r="B19" s="1058"/>
      <c r="C19" s="1058"/>
      <c r="D19" s="1058"/>
      <c r="E19" s="1058"/>
      <c r="F19" s="1058"/>
      <c r="G19" s="1058"/>
      <c r="H19" s="1058"/>
      <c r="I19" s="1058"/>
      <c r="J19" s="1058"/>
      <c r="K19" s="1058"/>
      <c r="L19" s="1058"/>
      <c r="M19" s="1058"/>
      <c r="N19" s="1058"/>
      <c r="O19" s="1058"/>
      <c r="P19" s="1058"/>
      <c r="Q19" s="1058"/>
      <c r="R19" s="1058"/>
      <c r="S19" s="1058"/>
      <c r="T19" s="1058"/>
      <c r="U19" s="1058"/>
      <c r="V19" s="1058"/>
    </row>
    <row r="20" spans="1:22">
      <c r="A20" s="1058"/>
      <c r="B20" s="1058"/>
      <c r="C20" s="1058"/>
      <c r="D20" s="1058"/>
      <c r="E20" s="1058"/>
      <c r="F20" s="1058"/>
      <c r="G20" s="1058"/>
      <c r="H20" s="1058"/>
      <c r="I20" s="1058"/>
      <c r="J20" s="1058"/>
      <c r="K20" s="1058"/>
      <c r="L20" s="1058"/>
      <c r="M20" s="1058"/>
      <c r="N20" s="1058"/>
      <c r="O20" s="1058"/>
      <c r="P20" s="1058"/>
      <c r="Q20" s="1058"/>
      <c r="R20" s="1058"/>
      <c r="S20" s="1058"/>
      <c r="T20" s="1058"/>
      <c r="U20" s="1058"/>
      <c r="V20" s="1058"/>
    </row>
    <row r="21" spans="1:22">
      <c r="A21" s="1058"/>
      <c r="B21" s="1058"/>
      <c r="C21" s="1058"/>
      <c r="D21" s="1058"/>
      <c r="E21" s="1058"/>
      <c r="F21" s="1058"/>
      <c r="G21" s="1058"/>
      <c r="H21" s="1058"/>
      <c r="I21" s="1058"/>
      <c r="J21" s="1058"/>
      <c r="K21" s="1058"/>
      <c r="L21" s="1058"/>
      <c r="M21" s="1058"/>
      <c r="N21" s="1058"/>
      <c r="O21" s="1058"/>
      <c r="P21" s="1058"/>
      <c r="Q21" s="1058"/>
      <c r="R21" s="1058"/>
      <c r="S21" s="1058"/>
      <c r="T21" s="1058"/>
      <c r="U21" s="1058"/>
      <c r="V21" s="1058"/>
    </row>
    <row r="22" spans="1:22">
      <c r="A22" s="1058"/>
      <c r="B22" s="1058"/>
      <c r="C22" s="1058"/>
      <c r="D22" s="1058"/>
      <c r="E22" s="1058"/>
      <c r="F22" s="1058"/>
      <c r="G22" s="1058"/>
      <c r="H22" s="1058"/>
      <c r="I22" s="1058"/>
      <c r="J22" s="1058"/>
      <c r="K22" s="1058"/>
      <c r="L22" s="1058"/>
      <c r="M22" s="1058"/>
      <c r="N22" s="1058"/>
      <c r="O22" s="1058"/>
      <c r="P22" s="1058"/>
      <c r="Q22" s="1058"/>
      <c r="R22" s="1058"/>
      <c r="S22" s="1058"/>
      <c r="T22" s="1058"/>
      <c r="U22" s="1058"/>
      <c r="V22" s="1058"/>
    </row>
    <row r="23" spans="1:22">
      <c r="A23" s="1058"/>
      <c r="B23" s="1058"/>
      <c r="C23" s="1058"/>
      <c r="D23" s="1058"/>
      <c r="E23" s="1058"/>
      <c r="F23" s="1058"/>
      <c r="G23" s="1058"/>
      <c r="H23" s="1058"/>
      <c r="I23" s="1058"/>
      <c r="J23" s="1058"/>
      <c r="K23" s="1058"/>
      <c r="L23" s="1058"/>
      <c r="M23" s="1058"/>
      <c r="N23" s="1058"/>
      <c r="O23" s="1058"/>
      <c r="P23" s="1058"/>
      <c r="Q23" s="1058"/>
      <c r="R23" s="1058"/>
      <c r="S23" s="1058"/>
      <c r="T23" s="1058"/>
      <c r="U23" s="1058"/>
      <c r="V23" s="1058"/>
    </row>
    <row r="24" spans="1:22">
      <c r="A24" s="1058"/>
      <c r="B24" s="1058"/>
      <c r="C24" s="1058"/>
      <c r="D24" s="1058"/>
      <c r="E24" s="1058"/>
      <c r="F24" s="1058"/>
      <c r="G24" s="1058"/>
      <c r="H24" s="1058"/>
      <c r="I24" s="1058"/>
      <c r="J24" s="1058"/>
      <c r="K24" s="1058"/>
      <c r="L24" s="1058"/>
      <c r="M24" s="1058"/>
      <c r="N24" s="1058"/>
      <c r="O24" s="1058"/>
      <c r="P24" s="1058"/>
      <c r="Q24" s="1058"/>
      <c r="R24" s="1058"/>
      <c r="S24" s="1058"/>
      <c r="T24" s="1058"/>
      <c r="U24" s="1058"/>
      <c r="V24" s="1058"/>
    </row>
    <row r="25" spans="1:22">
      <c r="A25" s="1058"/>
      <c r="B25" s="1058"/>
      <c r="C25" s="1058"/>
      <c r="D25" s="1058"/>
      <c r="E25" s="1058"/>
      <c r="F25" s="1058"/>
      <c r="G25" s="1058"/>
      <c r="H25" s="1058"/>
      <c r="I25" s="1058"/>
      <c r="J25" s="1058"/>
      <c r="K25" s="1058"/>
      <c r="L25" s="1058"/>
      <c r="M25" s="1058"/>
      <c r="N25" s="1058"/>
      <c r="O25" s="1058"/>
      <c r="P25" s="1058"/>
      <c r="Q25" s="1058"/>
      <c r="R25" s="1058"/>
      <c r="S25" s="1058"/>
      <c r="T25" s="1058"/>
      <c r="U25" s="1058"/>
      <c r="V25" s="1058"/>
    </row>
    <row r="26" spans="1:22">
      <c r="A26" s="1058"/>
      <c r="B26" s="1058"/>
      <c r="C26" s="1058"/>
      <c r="D26" s="1058"/>
      <c r="E26" s="1058"/>
      <c r="F26" s="1058"/>
      <c r="G26" s="1058"/>
      <c r="H26" s="1058"/>
      <c r="I26" s="1058"/>
      <c r="J26" s="1058"/>
      <c r="K26" s="1058"/>
      <c r="L26" s="1058"/>
      <c r="M26" s="1058"/>
      <c r="N26" s="1058"/>
      <c r="O26" s="1058"/>
      <c r="P26" s="1058"/>
      <c r="Q26" s="1058"/>
      <c r="R26" s="1058"/>
      <c r="S26" s="1058"/>
      <c r="T26" s="1058"/>
      <c r="U26" s="1058"/>
      <c r="V26" s="1058"/>
    </row>
    <row r="27" spans="1:22">
      <c r="A27" s="1058"/>
      <c r="B27" s="1058"/>
      <c r="C27" s="1058"/>
      <c r="D27" s="1058"/>
      <c r="E27" s="1058"/>
      <c r="F27" s="1058"/>
      <c r="G27" s="1058"/>
      <c r="H27" s="1058"/>
      <c r="I27" s="1058"/>
      <c r="J27" s="1058"/>
      <c r="K27" s="1058"/>
      <c r="L27" s="1058"/>
      <c r="M27" s="1058"/>
      <c r="N27" s="1058"/>
      <c r="O27" s="1058"/>
      <c r="P27" s="1058"/>
      <c r="Q27" s="1058"/>
      <c r="R27" s="1058"/>
      <c r="S27" s="1058"/>
      <c r="T27" s="1058"/>
      <c r="U27" s="1058"/>
      <c r="V27" s="1058"/>
    </row>
    <row r="28" spans="1:22">
      <c r="A28" s="1058"/>
      <c r="B28" s="1058"/>
      <c r="C28" s="1058"/>
      <c r="D28" s="1058"/>
      <c r="E28" s="1058"/>
      <c r="F28" s="1058"/>
      <c r="G28" s="1058"/>
      <c r="H28" s="1058"/>
      <c r="I28" s="1058"/>
      <c r="J28" s="1058"/>
      <c r="K28" s="1058"/>
      <c r="L28" s="1058"/>
      <c r="M28" s="1058"/>
      <c r="N28" s="1058"/>
      <c r="O28" s="1058"/>
      <c r="P28" s="1058"/>
      <c r="Q28" s="1058"/>
      <c r="R28" s="1058"/>
      <c r="S28" s="1058"/>
      <c r="T28" s="1058"/>
      <c r="U28" s="1058"/>
      <c r="V28" s="1058"/>
    </row>
    <row r="29" spans="1:22">
      <c r="A29" s="1058"/>
      <c r="B29" s="1058"/>
      <c r="C29" s="1058"/>
      <c r="D29" s="1058"/>
      <c r="E29" s="1058"/>
      <c r="F29" s="1058"/>
      <c r="G29" s="1058"/>
      <c r="H29" s="1058"/>
      <c r="I29" s="1058"/>
      <c r="J29" s="1058"/>
      <c r="K29" s="1058"/>
      <c r="L29" s="1058"/>
      <c r="M29" s="1058"/>
      <c r="N29" s="1058"/>
      <c r="O29" s="1058"/>
      <c r="P29" s="1058"/>
      <c r="Q29" s="1058"/>
      <c r="R29" s="1058"/>
      <c r="S29" s="1058"/>
      <c r="T29" s="1058"/>
      <c r="U29" s="1058"/>
      <c r="V29" s="1058"/>
    </row>
    <row r="30" spans="1:22">
      <c r="A30" s="1058"/>
      <c r="B30" s="1058"/>
      <c r="C30" s="1058"/>
      <c r="D30" s="1058"/>
      <c r="E30" s="1058"/>
      <c r="F30" s="1058"/>
      <c r="G30" s="1058"/>
      <c r="H30" s="1058"/>
      <c r="I30" s="1058"/>
      <c r="J30" s="1058"/>
      <c r="K30" s="1058"/>
      <c r="L30" s="1058"/>
      <c r="M30" s="1058"/>
      <c r="N30" s="1058"/>
      <c r="O30" s="1058"/>
      <c r="P30" s="1058"/>
      <c r="Q30" s="1058"/>
      <c r="R30" s="1058"/>
      <c r="S30" s="1058"/>
      <c r="T30" s="1058"/>
      <c r="U30" s="1058"/>
      <c r="V30" s="1058"/>
    </row>
    <row r="31" spans="1:22">
      <c r="A31" s="1058"/>
      <c r="B31" s="1058"/>
      <c r="C31" s="1058"/>
      <c r="D31" s="1058"/>
      <c r="E31" s="1058"/>
      <c r="F31" s="1058"/>
      <c r="G31" s="1058"/>
      <c r="H31" s="1058"/>
      <c r="I31" s="1058"/>
      <c r="J31" s="1058"/>
      <c r="K31" s="1058"/>
      <c r="L31" s="1058"/>
      <c r="M31" s="1058"/>
      <c r="N31" s="1058"/>
      <c r="O31" s="1058"/>
      <c r="P31" s="1058"/>
      <c r="Q31" s="1058"/>
      <c r="R31" s="1058"/>
      <c r="S31" s="1058"/>
      <c r="T31" s="1058"/>
      <c r="U31" s="1058"/>
      <c r="V31" s="1058"/>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DD093-96F9-4F4F-A66A-29917C520279}">
  <dimension ref="A1:S52"/>
  <sheetViews>
    <sheetView topLeftCell="D1" zoomScaleNormal="100" workbookViewId="0">
      <selection activeCell="Q51" sqref="Q51"/>
    </sheetView>
  </sheetViews>
  <sheetFormatPr defaultColWidth="8.75" defaultRowHeight="13.5"/>
  <cols>
    <col min="1" max="1" width="14.75" style="4258" customWidth="1"/>
    <col min="2" max="2" width="6.75" style="4258" customWidth="1"/>
    <col min="3" max="3" width="19.625" style="4258" customWidth="1"/>
    <col min="4" max="4" width="39.75" style="4258" customWidth="1"/>
    <col min="5" max="5" width="19" style="4258" customWidth="1"/>
    <col min="6" max="6" width="10.375" style="4258" customWidth="1"/>
    <col min="7" max="7" width="11.625" style="4258" customWidth="1"/>
    <col min="8" max="9" width="12.375" style="4258" customWidth="1"/>
    <col min="10" max="10" width="7" style="4258" customWidth="1"/>
    <col min="11" max="11" width="16.875" style="4259" customWidth="1"/>
    <col min="12" max="12" width="10.875" style="4260" customWidth="1"/>
    <col min="13" max="13" width="10.875" style="4258" customWidth="1"/>
    <col min="14" max="14" width="13.25" style="4258" customWidth="1"/>
    <col min="15" max="15" width="7.25" style="4258" customWidth="1"/>
    <col min="16" max="16" width="15" style="4260" customWidth="1"/>
    <col min="17" max="18" width="12.75" style="4217" bestFit="1" customWidth="1"/>
    <col min="19" max="19" width="9.875" style="4217" bestFit="1" customWidth="1"/>
    <col min="20" max="16384" width="8.75" style="4217"/>
  </cols>
  <sheetData>
    <row r="1" spans="1:19" ht="18.600000000000001" customHeight="1">
      <c r="A1" s="4651" t="s">
        <v>4024</v>
      </c>
      <c r="B1" s="4652"/>
      <c r="C1" s="4652"/>
      <c r="D1" s="4652"/>
      <c r="E1" s="4652"/>
      <c r="F1" s="4652"/>
      <c r="G1" s="4652"/>
      <c r="H1" s="4652" t="s">
        <v>4025</v>
      </c>
      <c r="I1" s="4652"/>
      <c r="J1" s="4652"/>
      <c r="K1" s="4216" t="s">
        <v>4026</v>
      </c>
      <c r="L1" s="4653" t="s">
        <v>4027</v>
      </c>
      <c r="M1" s="4652"/>
      <c r="N1" s="4652" t="s">
        <v>4028</v>
      </c>
      <c r="O1" s="4652"/>
      <c r="P1" s="4653"/>
    </row>
    <row r="2" spans="1:19" ht="18.600000000000001" customHeight="1">
      <c r="A2" s="4218" t="s">
        <v>4029</v>
      </c>
      <c r="B2" s="4219" t="s">
        <v>4030</v>
      </c>
      <c r="C2" s="4219" t="s">
        <v>4031</v>
      </c>
      <c r="D2" s="4219" t="s">
        <v>4032</v>
      </c>
      <c r="E2" s="4219" t="s">
        <v>4033</v>
      </c>
      <c r="F2" s="4219" t="s">
        <v>4034</v>
      </c>
      <c r="G2" s="4219" t="s">
        <v>4035</v>
      </c>
      <c r="H2" s="4219" t="s">
        <v>4036</v>
      </c>
      <c r="I2" s="4219" t="s">
        <v>4037</v>
      </c>
      <c r="J2" s="4219" t="s">
        <v>4038</v>
      </c>
      <c r="K2" s="4219" t="s">
        <v>4039</v>
      </c>
      <c r="L2" s="4220" t="s">
        <v>4039</v>
      </c>
      <c r="M2" s="4219" t="s">
        <v>4040</v>
      </c>
      <c r="N2" s="4219" t="s">
        <v>4041</v>
      </c>
      <c r="O2" s="4219" t="s">
        <v>4042</v>
      </c>
      <c r="P2" s="4220" t="s">
        <v>4043</v>
      </c>
    </row>
    <row r="3" spans="1:19" s="4227" customFormat="1" ht="18.600000000000001" customHeight="1">
      <c r="A3" s="4221" t="s">
        <v>4044</v>
      </c>
      <c r="B3" s="4222" t="s">
        <v>4045</v>
      </c>
      <c r="C3" s="4223" t="s">
        <v>4045</v>
      </c>
      <c r="D3" s="4222" t="s">
        <v>4045</v>
      </c>
      <c r="E3" s="4222" t="s">
        <v>4045</v>
      </c>
      <c r="F3" s="4222" t="s">
        <v>4045</v>
      </c>
      <c r="G3" s="4222" t="s">
        <v>4045</v>
      </c>
      <c r="H3" s="4224"/>
      <c r="I3" s="4225" t="s">
        <v>4045</v>
      </c>
      <c r="J3" s="4222" t="s">
        <v>4045</v>
      </c>
      <c r="K3" s="4222" t="s">
        <v>4045</v>
      </c>
      <c r="L3" s="4226" t="s">
        <v>4045</v>
      </c>
      <c r="M3" s="4222" t="s">
        <v>4045</v>
      </c>
      <c r="N3" s="4225" t="s">
        <v>4045</v>
      </c>
      <c r="O3" s="4222" t="s">
        <v>4045</v>
      </c>
      <c r="P3" s="4226" t="s">
        <v>4045</v>
      </c>
    </row>
    <row r="4" spans="1:19" s="4227" customFormat="1" ht="18.600000000000001" customHeight="1">
      <c r="A4" s="4228">
        <v>1</v>
      </c>
      <c r="B4" s="4229">
        <v>1</v>
      </c>
      <c r="C4" s="4230" t="s">
        <v>4046</v>
      </c>
      <c r="D4" s="4231" t="s">
        <v>4047</v>
      </c>
      <c r="E4" s="4229" t="s">
        <v>4048</v>
      </c>
      <c r="F4" s="4229" t="s">
        <v>19</v>
      </c>
      <c r="G4" s="4232">
        <v>1123.47</v>
      </c>
      <c r="H4" s="4233">
        <v>45981</v>
      </c>
      <c r="I4" s="4233">
        <v>46345</v>
      </c>
      <c r="J4" s="4229">
        <f t="shared" ref="J4:J21" si="0">I4-H4+1</f>
        <v>365</v>
      </c>
      <c r="K4" s="4234">
        <f>L4+M4*12/365</f>
        <v>4.2005479452054795</v>
      </c>
      <c r="L4" s="4235">
        <v>3.28</v>
      </c>
      <c r="M4" s="4229">
        <v>28</v>
      </c>
      <c r="N4" s="4233"/>
      <c r="O4" s="4236"/>
      <c r="P4" s="4235"/>
      <c r="Q4" s="4227">
        <f>L4*G4</f>
        <v>3684.9816000000001</v>
      </c>
      <c r="R4" s="4227">
        <f t="shared" ref="R4:R10" si="1">K4*G4</f>
        <v>4719.1895999999997</v>
      </c>
      <c r="S4" s="4227">
        <f>K4*G4*365</f>
        <v>1722504.2039999999</v>
      </c>
    </row>
    <row r="5" spans="1:19" s="4227" customFormat="1" ht="18.600000000000001" customHeight="1">
      <c r="A5" s="4228">
        <v>2</v>
      </c>
      <c r="B5" s="4229">
        <v>1</v>
      </c>
      <c r="C5" s="4230" t="s">
        <v>4049</v>
      </c>
      <c r="D5" s="4231" t="s">
        <v>4047</v>
      </c>
      <c r="E5" s="4229" t="s">
        <v>4048</v>
      </c>
      <c r="F5" s="4229" t="s">
        <v>19</v>
      </c>
      <c r="G5" s="4232">
        <v>1277.1400000000001</v>
      </c>
      <c r="H5" s="4233">
        <v>45981</v>
      </c>
      <c r="I5" s="4233">
        <v>46345</v>
      </c>
      <c r="J5" s="4229">
        <f t="shared" si="0"/>
        <v>365</v>
      </c>
      <c r="K5" s="4234">
        <f>L5+M5*12/365</f>
        <v>4.2005479452054795</v>
      </c>
      <c r="L5" s="4235">
        <v>3.28</v>
      </c>
      <c r="M5" s="4229">
        <v>28</v>
      </c>
      <c r="N5" s="4233"/>
      <c r="O5" s="4236"/>
      <c r="P5" s="4235"/>
      <c r="Q5" s="4227">
        <f t="shared" ref="Q5:Q10" si="2">L5*G5</f>
        <v>4189.0191999999997</v>
      </c>
      <c r="R5" s="4227">
        <f t="shared" si="1"/>
        <v>5364.6878027397261</v>
      </c>
      <c r="S5" s="4227">
        <f t="shared" ref="S5:S34" si="3">K5*G5*365</f>
        <v>1958111.048</v>
      </c>
    </row>
    <row r="6" spans="1:19" s="4227" customFormat="1" ht="15.95" customHeight="1">
      <c r="A6" s="4228">
        <v>3</v>
      </c>
      <c r="B6" s="4229">
        <v>1</v>
      </c>
      <c r="C6" s="4230" t="s">
        <v>4050</v>
      </c>
      <c r="D6" s="4231" t="s">
        <v>4051</v>
      </c>
      <c r="E6" s="4229" t="s">
        <v>4052</v>
      </c>
      <c r="F6" s="4229" t="s">
        <v>19</v>
      </c>
      <c r="G6" s="4232">
        <v>1357.79</v>
      </c>
      <c r="H6" s="4233">
        <v>45976</v>
      </c>
      <c r="I6" s="4233">
        <v>47071</v>
      </c>
      <c r="J6" s="4229">
        <f t="shared" si="0"/>
        <v>1096</v>
      </c>
      <c r="K6" s="4234">
        <f t="shared" ref="K6:K34" si="4">L6+M6*12/365</f>
        <v>5.3005479452054791</v>
      </c>
      <c r="L6" s="4235">
        <v>4.38</v>
      </c>
      <c r="M6" s="4229">
        <v>28</v>
      </c>
      <c r="N6" s="4233">
        <v>46706</v>
      </c>
      <c r="O6" s="4236">
        <v>0.06</v>
      </c>
      <c r="P6" s="4235">
        <f>+L6*(1+O6)</f>
        <v>4.6428000000000003</v>
      </c>
      <c r="Q6" s="4227">
        <f t="shared" si="2"/>
        <v>5947.1201999999994</v>
      </c>
      <c r="R6" s="4227">
        <f t="shared" si="1"/>
        <v>7197.0309945205472</v>
      </c>
      <c r="S6" s="4227">
        <f t="shared" si="3"/>
        <v>2626916.3129999996</v>
      </c>
    </row>
    <row r="7" spans="1:19" s="4227" customFormat="1" ht="18.600000000000001" customHeight="1">
      <c r="A7" s="4228">
        <v>4</v>
      </c>
      <c r="B7" s="4229">
        <v>1</v>
      </c>
      <c r="C7" s="4231" t="s">
        <v>4053</v>
      </c>
      <c r="D7" s="4231" t="s">
        <v>4054</v>
      </c>
      <c r="E7" s="4229" t="s">
        <v>4055</v>
      </c>
      <c r="F7" s="4229" t="s">
        <v>19</v>
      </c>
      <c r="G7" s="4232">
        <v>1357.79</v>
      </c>
      <c r="H7" s="4233">
        <v>45763</v>
      </c>
      <c r="I7" s="4233">
        <v>46858</v>
      </c>
      <c r="J7" s="4229">
        <f t="shared" si="0"/>
        <v>1096</v>
      </c>
      <c r="K7" s="4234">
        <f t="shared" si="4"/>
        <v>3.7005479452054795</v>
      </c>
      <c r="L7" s="4235">
        <f>2.78</f>
        <v>2.78</v>
      </c>
      <c r="M7" s="4229">
        <v>28</v>
      </c>
      <c r="N7" s="4233">
        <v>46493</v>
      </c>
      <c r="O7" s="4236">
        <v>0.06</v>
      </c>
      <c r="P7" s="4235">
        <f>+L7*(1+O7)</f>
        <v>2.9468000000000001</v>
      </c>
      <c r="Q7" s="4227">
        <f t="shared" si="2"/>
        <v>3774.6561999999994</v>
      </c>
      <c r="R7" s="4227">
        <f t="shared" si="1"/>
        <v>5024.5669945205482</v>
      </c>
      <c r="S7" s="4227">
        <f t="shared" si="3"/>
        <v>1833966.953</v>
      </c>
    </row>
    <row r="8" spans="1:19" s="4227" customFormat="1" ht="18.600000000000001" customHeight="1">
      <c r="A8" s="4228">
        <v>5</v>
      </c>
      <c r="B8" s="4229">
        <v>1</v>
      </c>
      <c r="C8" s="4230">
        <v>701</v>
      </c>
      <c r="D8" s="4231" t="s">
        <v>4056</v>
      </c>
      <c r="E8" s="4229" t="s">
        <v>4057</v>
      </c>
      <c r="F8" s="4229" t="s">
        <v>19</v>
      </c>
      <c r="G8" s="4232">
        <v>235</v>
      </c>
      <c r="H8" s="4233">
        <v>45477</v>
      </c>
      <c r="I8" s="4233">
        <v>46206</v>
      </c>
      <c r="J8" s="4229">
        <f t="shared" si="0"/>
        <v>730</v>
      </c>
      <c r="K8" s="4234">
        <f t="shared" si="4"/>
        <v>5.0005479452054793</v>
      </c>
      <c r="L8" s="4235">
        <v>4.08</v>
      </c>
      <c r="M8" s="4229">
        <v>28</v>
      </c>
      <c r="N8" s="4233"/>
      <c r="O8" s="4236"/>
      <c r="P8" s="4235"/>
      <c r="Q8" s="4227">
        <f t="shared" si="2"/>
        <v>958.80000000000007</v>
      </c>
      <c r="R8" s="4227">
        <f t="shared" si="1"/>
        <v>1175.1287671232876</v>
      </c>
      <c r="S8" s="4227">
        <f t="shared" si="3"/>
        <v>428922</v>
      </c>
    </row>
    <row r="9" spans="1:19" s="4227" customFormat="1" ht="18.600000000000001" customHeight="1">
      <c r="A9" s="4228">
        <v>6</v>
      </c>
      <c r="B9" s="4229">
        <v>1</v>
      </c>
      <c r="C9" s="4231">
        <v>702</v>
      </c>
      <c r="D9" s="4231" t="s">
        <v>4058</v>
      </c>
      <c r="E9" s="4229" t="s">
        <v>4059</v>
      </c>
      <c r="F9" s="4229" t="s">
        <v>19</v>
      </c>
      <c r="G9" s="4232">
        <v>648.79</v>
      </c>
      <c r="H9" s="4233">
        <v>45962</v>
      </c>
      <c r="I9" s="4233">
        <v>47057</v>
      </c>
      <c r="J9" s="4229">
        <f t="shared" si="0"/>
        <v>1096</v>
      </c>
      <c r="K9" s="4234">
        <v>5</v>
      </c>
      <c r="L9" s="4235">
        <v>4.08</v>
      </c>
      <c r="M9" s="4229">
        <v>28</v>
      </c>
      <c r="N9" s="4233">
        <v>46692</v>
      </c>
      <c r="O9" s="4236">
        <v>0.06</v>
      </c>
      <c r="P9" s="4235">
        <f>+L9*(1+O9)</f>
        <v>4.3248000000000006</v>
      </c>
      <c r="Q9" s="4227">
        <f t="shared" si="2"/>
        <v>2647.0632000000001</v>
      </c>
      <c r="R9" s="4227">
        <f t="shared" si="1"/>
        <v>3243.95</v>
      </c>
      <c r="S9" s="4227">
        <f t="shared" si="3"/>
        <v>1184041.75</v>
      </c>
    </row>
    <row r="10" spans="1:19" s="4227" customFormat="1" ht="18.600000000000001" customHeight="1">
      <c r="A10" s="4228">
        <v>7</v>
      </c>
      <c r="B10" s="4229">
        <v>1</v>
      </c>
      <c r="C10" s="4230">
        <v>703</v>
      </c>
      <c r="D10" s="4231" t="s">
        <v>4060</v>
      </c>
      <c r="E10" s="4229" t="s">
        <v>4059</v>
      </c>
      <c r="F10" s="4229" t="s">
        <v>19</v>
      </c>
      <c r="G10" s="4232">
        <v>474</v>
      </c>
      <c r="H10" s="4233">
        <v>45831</v>
      </c>
      <c r="I10" s="4233">
        <v>46926</v>
      </c>
      <c r="J10" s="4229">
        <f t="shared" si="0"/>
        <v>1096</v>
      </c>
      <c r="K10" s="4234">
        <f t="shared" si="4"/>
        <v>3.8005479452054791</v>
      </c>
      <c r="L10" s="4235">
        <f>2.88</f>
        <v>2.88</v>
      </c>
      <c r="M10" s="4229">
        <v>28</v>
      </c>
      <c r="N10" s="4233">
        <v>46692</v>
      </c>
      <c r="O10" s="4236">
        <v>0.06</v>
      </c>
      <c r="P10" s="4235">
        <f>+L10*(1+O10)</f>
        <v>3.0528</v>
      </c>
      <c r="Q10" s="4227">
        <f t="shared" si="2"/>
        <v>1365.12</v>
      </c>
      <c r="R10" s="4227">
        <f t="shared" si="1"/>
        <v>1801.4597260273972</v>
      </c>
      <c r="S10" s="4227">
        <f t="shared" si="3"/>
        <v>657532.79999999993</v>
      </c>
    </row>
    <row r="11" spans="1:19" s="4227" customFormat="1" ht="18.600000000000001" customHeight="1">
      <c r="A11" s="4228">
        <v>8</v>
      </c>
      <c r="B11" s="4229">
        <v>1</v>
      </c>
      <c r="C11" s="4230" t="s">
        <v>4061</v>
      </c>
      <c r="D11" s="4231" t="s">
        <v>4047</v>
      </c>
      <c r="E11" s="4229" t="s">
        <v>4048</v>
      </c>
      <c r="F11" s="4229" t="s">
        <v>19</v>
      </c>
      <c r="G11" s="4232">
        <v>1277.1400000000001</v>
      </c>
      <c r="H11" s="4233">
        <v>45981</v>
      </c>
      <c r="I11" s="4233">
        <v>46345</v>
      </c>
      <c r="J11" s="4229">
        <f t="shared" si="0"/>
        <v>365</v>
      </c>
      <c r="K11" s="4234">
        <f t="shared" si="4"/>
        <v>4.2005479452054795</v>
      </c>
      <c r="L11" s="4235">
        <v>3.28</v>
      </c>
      <c r="M11" s="4229">
        <v>28</v>
      </c>
      <c r="N11" s="4233"/>
      <c r="O11" s="4236"/>
      <c r="P11" s="4235"/>
      <c r="S11" s="4227">
        <f t="shared" si="3"/>
        <v>1958111.048</v>
      </c>
    </row>
    <row r="12" spans="1:19" s="4227" customFormat="1" ht="18.600000000000001" customHeight="1">
      <c r="A12" s="4228">
        <v>9</v>
      </c>
      <c r="B12" s="4229">
        <v>1</v>
      </c>
      <c r="C12" s="4230">
        <v>901</v>
      </c>
      <c r="D12" s="4231" t="s">
        <v>4062</v>
      </c>
      <c r="E12" s="4229" t="s">
        <v>4059</v>
      </c>
      <c r="F12" s="4229" t="s">
        <v>19</v>
      </c>
      <c r="G12" s="4232">
        <v>235</v>
      </c>
      <c r="H12" s="4233">
        <v>45474</v>
      </c>
      <c r="I12" s="4233">
        <v>46203</v>
      </c>
      <c r="J12" s="4229">
        <f t="shared" si="0"/>
        <v>730</v>
      </c>
      <c r="K12" s="4234">
        <f t="shared" si="4"/>
        <v>3.8805479452054792</v>
      </c>
      <c r="L12" s="4235">
        <v>2.96</v>
      </c>
      <c r="M12" s="4229">
        <v>28</v>
      </c>
      <c r="N12" s="4233"/>
      <c r="O12" s="4236"/>
      <c r="P12" s="4235"/>
      <c r="S12" s="4227">
        <f t="shared" si="3"/>
        <v>332853.99999999994</v>
      </c>
    </row>
    <row r="13" spans="1:19" s="4227" customFormat="1" ht="18.600000000000001" customHeight="1">
      <c r="A13" s="4228">
        <v>10</v>
      </c>
      <c r="B13" s="4229">
        <v>1</v>
      </c>
      <c r="C13" s="4230">
        <v>902</v>
      </c>
      <c r="D13" s="4231" t="s">
        <v>4063</v>
      </c>
      <c r="E13" s="4229"/>
      <c r="F13" s="4229"/>
      <c r="G13" s="4232">
        <v>174.79</v>
      </c>
      <c r="H13" s="4233"/>
      <c r="I13" s="4233"/>
      <c r="J13" s="4229"/>
      <c r="K13" s="4234"/>
      <c r="L13" s="4235"/>
      <c r="M13" s="4229"/>
      <c r="N13" s="4233"/>
      <c r="O13" s="4236"/>
      <c r="P13" s="4235"/>
      <c r="S13" s="4227">
        <f t="shared" si="3"/>
        <v>0</v>
      </c>
    </row>
    <row r="14" spans="1:19" s="4227" customFormat="1" ht="18.600000000000001" customHeight="1">
      <c r="A14" s="4228">
        <v>11</v>
      </c>
      <c r="B14" s="4229">
        <v>1</v>
      </c>
      <c r="C14" s="4230">
        <v>903</v>
      </c>
      <c r="D14" s="4231" t="s">
        <v>4064</v>
      </c>
      <c r="E14" s="4229" t="s">
        <v>4059</v>
      </c>
      <c r="F14" s="4229" t="s">
        <v>19</v>
      </c>
      <c r="G14" s="4232">
        <v>474</v>
      </c>
      <c r="H14" s="4233">
        <v>45537</v>
      </c>
      <c r="I14" s="4233">
        <v>46266</v>
      </c>
      <c r="J14" s="4229">
        <f t="shared" si="0"/>
        <v>730</v>
      </c>
      <c r="K14" s="4234">
        <f t="shared" si="4"/>
        <v>4.9005479452054796</v>
      </c>
      <c r="L14" s="4235">
        <v>3.98</v>
      </c>
      <c r="M14" s="4229">
        <v>28</v>
      </c>
      <c r="N14" s="4233"/>
      <c r="O14" s="4236"/>
      <c r="P14" s="4235"/>
      <c r="S14" s="4227">
        <f t="shared" si="3"/>
        <v>847843.8</v>
      </c>
    </row>
    <row r="15" spans="1:19" s="4227" customFormat="1" ht="18.600000000000001" customHeight="1">
      <c r="A15" s="4228">
        <v>12</v>
      </c>
      <c r="B15" s="4229">
        <v>1</v>
      </c>
      <c r="C15" s="4231">
        <v>904</v>
      </c>
      <c r="D15" s="4231" t="s">
        <v>4065</v>
      </c>
      <c r="E15" s="4229" t="s">
        <v>4057</v>
      </c>
      <c r="F15" s="4229" t="s">
        <v>19</v>
      </c>
      <c r="G15" s="4232">
        <v>237</v>
      </c>
      <c r="H15" s="4233">
        <v>45785</v>
      </c>
      <c r="I15" s="4233">
        <v>46880</v>
      </c>
      <c r="J15" s="4229">
        <f t="shared" si="0"/>
        <v>1096</v>
      </c>
      <c r="K15" s="4234">
        <f t="shared" si="4"/>
        <v>3.8005479452054791</v>
      </c>
      <c r="L15" s="4232">
        <v>2.88</v>
      </c>
      <c r="M15" s="4229">
        <v>28</v>
      </c>
      <c r="N15" s="4233">
        <v>46515</v>
      </c>
      <c r="O15" s="4236">
        <v>0.06</v>
      </c>
      <c r="P15" s="4235">
        <f>+L15*(1+O15)</f>
        <v>3.0528</v>
      </c>
      <c r="Q15" s="4227">
        <f t="shared" ref="Q15:Q34" si="5">L15*G15</f>
        <v>682.56</v>
      </c>
      <c r="R15" s="4227">
        <f t="shared" ref="R15:R18" si="6">K15*G15</f>
        <v>900.7298630136986</v>
      </c>
      <c r="S15" s="4227">
        <f t="shared" si="3"/>
        <v>328766.39999999997</v>
      </c>
    </row>
    <row r="16" spans="1:19" s="4227" customFormat="1" ht="18.600000000000001" customHeight="1">
      <c r="A16" s="4228">
        <v>13</v>
      </c>
      <c r="B16" s="4229">
        <v>1</v>
      </c>
      <c r="C16" s="4231">
        <v>905</v>
      </c>
      <c r="D16" s="4231" t="s">
        <v>4065</v>
      </c>
      <c r="E16" s="4229" t="s">
        <v>4057</v>
      </c>
      <c r="F16" s="4229" t="s">
        <v>19</v>
      </c>
      <c r="G16" s="4232">
        <v>237</v>
      </c>
      <c r="H16" s="4233">
        <v>45785</v>
      </c>
      <c r="I16" s="4233">
        <v>46880</v>
      </c>
      <c r="J16" s="4229">
        <f t="shared" si="0"/>
        <v>1096</v>
      </c>
      <c r="K16" s="4234">
        <f t="shared" si="4"/>
        <v>3.8005479452054791</v>
      </c>
      <c r="L16" s="4232">
        <v>2.88</v>
      </c>
      <c r="M16" s="4229">
        <v>28</v>
      </c>
      <c r="N16" s="4233">
        <v>46515</v>
      </c>
      <c r="O16" s="4236">
        <v>0.06</v>
      </c>
      <c r="P16" s="4235">
        <f t="shared" ref="P16" si="7">+L16*(1+O16)</f>
        <v>3.0528</v>
      </c>
      <c r="Q16" s="4227">
        <f t="shared" si="5"/>
        <v>682.56</v>
      </c>
      <c r="R16" s="4227">
        <f t="shared" si="6"/>
        <v>900.7298630136986</v>
      </c>
      <c r="S16" s="4227">
        <f t="shared" si="3"/>
        <v>328766.39999999997</v>
      </c>
    </row>
    <row r="17" spans="1:19" s="4227" customFormat="1" ht="18.600000000000001" customHeight="1">
      <c r="A17" s="4228">
        <v>14</v>
      </c>
      <c r="B17" s="4229">
        <v>1</v>
      </c>
      <c r="C17" s="4231">
        <v>1001</v>
      </c>
      <c r="D17" s="4231" t="s">
        <v>4066</v>
      </c>
      <c r="E17" s="4229" t="s">
        <v>4059</v>
      </c>
      <c r="F17" s="4229" t="s">
        <v>19</v>
      </c>
      <c r="G17" s="4232">
        <v>709</v>
      </c>
      <c r="H17" s="4233">
        <v>45536</v>
      </c>
      <c r="I17" s="4233">
        <v>46265</v>
      </c>
      <c r="J17" s="4229">
        <f t="shared" si="0"/>
        <v>730</v>
      </c>
      <c r="K17" s="4234">
        <f t="shared" si="4"/>
        <v>3.8005479452054791</v>
      </c>
      <c r="L17" s="4235">
        <v>2.88</v>
      </c>
      <c r="M17" s="4229">
        <v>28</v>
      </c>
      <c r="N17" s="4233"/>
      <c r="O17" s="4236"/>
      <c r="P17" s="4235"/>
      <c r="Q17" s="4227">
        <f t="shared" si="5"/>
        <v>2041.9199999999998</v>
      </c>
      <c r="R17" s="4227">
        <f t="shared" si="6"/>
        <v>2694.5884931506848</v>
      </c>
      <c r="S17" s="4227">
        <f t="shared" si="3"/>
        <v>983524.79999999993</v>
      </c>
    </row>
    <row r="18" spans="1:19" s="4227" customFormat="1" ht="18.600000000000001" customHeight="1">
      <c r="A18" s="4228">
        <v>15</v>
      </c>
      <c r="B18" s="4229">
        <v>1</v>
      </c>
      <c r="C18" s="4230">
        <v>1002</v>
      </c>
      <c r="D18" s="4231" t="s">
        <v>4067</v>
      </c>
      <c r="E18" s="4229" t="s">
        <v>4068</v>
      </c>
      <c r="F18" s="4229" t="s">
        <v>19</v>
      </c>
      <c r="G18" s="4232">
        <v>174.79</v>
      </c>
      <c r="H18" s="4233">
        <v>45781</v>
      </c>
      <c r="I18" s="4233">
        <v>46876</v>
      </c>
      <c r="J18" s="4229">
        <f t="shared" si="0"/>
        <v>1096</v>
      </c>
      <c r="K18" s="4234">
        <f t="shared" si="4"/>
        <v>4.470547945205479</v>
      </c>
      <c r="L18" s="4232">
        <v>3.55</v>
      </c>
      <c r="M18" s="4229">
        <v>28</v>
      </c>
      <c r="N18" s="4233">
        <v>46511</v>
      </c>
      <c r="O18" s="4236">
        <v>0.06</v>
      </c>
      <c r="P18" s="4235">
        <f>+L18*(1+O18)</f>
        <v>3.7629999999999999</v>
      </c>
      <c r="Q18" s="4227">
        <f t="shared" si="5"/>
        <v>620.50449999999989</v>
      </c>
      <c r="R18" s="4227">
        <f t="shared" si="6"/>
        <v>781.40707534246565</v>
      </c>
      <c r="S18" s="4227">
        <f t="shared" si="3"/>
        <v>285213.58249999996</v>
      </c>
    </row>
    <row r="19" spans="1:19" s="4227" customFormat="1" ht="18.600000000000001" customHeight="1">
      <c r="A19" s="4228">
        <v>16</v>
      </c>
      <c r="B19" s="4229">
        <v>1</v>
      </c>
      <c r="C19" s="4230">
        <v>1003</v>
      </c>
      <c r="D19" s="4231" t="s">
        <v>4063</v>
      </c>
      <c r="E19" s="4229"/>
      <c r="F19" s="4229"/>
      <c r="G19" s="4232">
        <v>474</v>
      </c>
      <c r="H19" s="4233"/>
      <c r="I19" s="4233"/>
      <c r="J19" s="4229"/>
      <c r="K19" s="4234"/>
      <c r="L19" s="4237"/>
      <c r="M19" s="4229"/>
      <c r="N19" s="4233"/>
      <c r="O19" s="4236"/>
      <c r="P19" s="4235"/>
      <c r="S19" s="4227">
        <f t="shared" si="3"/>
        <v>0</v>
      </c>
    </row>
    <row r="20" spans="1:19" s="4227" customFormat="1" ht="18.600000000000001" customHeight="1">
      <c r="A20" s="4228">
        <v>17</v>
      </c>
      <c r="B20" s="4229">
        <v>1</v>
      </c>
      <c r="C20" s="4230">
        <v>1102</v>
      </c>
      <c r="D20" s="4231" t="s">
        <v>4069</v>
      </c>
      <c r="E20" s="4229" t="s">
        <v>4070</v>
      </c>
      <c r="F20" s="4229" t="s">
        <v>19</v>
      </c>
      <c r="G20" s="4232">
        <v>610</v>
      </c>
      <c r="H20" s="4233">
        <v>46011</v>
      </c>
      <c r="I20" s="4233">
        <v>47106</v>
      </c>
      <c r="J20" s="4229">
        <f t="shared" si="0"/>
        <v>1096</v>
      </c>
      <c r="K20" s="4234">
        <f t="shared" si="4"/>
        <v>5.2505479452054793</v>
      </c>
      <c r="L20" s="4235">
        <v>4.33</v>
      </c>
      <c r="M20" s="4229">
        <v>28</v>
      </c>
      <c r="N20" s="4233">
        <v>46741</v>
      </c>
      <c r="O20" s="4236">
        <v>0.06</v>
      </c>
      <c r="P20" s="4235">
        <f t="shared" ref="P20:P26" si="8">+L20*(1+O20)</f>
        <v>4.5898000000000003</v>
      </c>
      <c r="Q20" s="4227">
        <f t="shared" si="5"/>
        <v>2641.3</v>
      </c>
      <c r="R20" s="4227">
        <f t="shared" ref="R20:R34" si="9">K20*G20</f>
        <v>3202.8342465753421</v>
      </c>
      <c r="S20" s="4227">
        <f t="shared" si="3"/>
        <v>1169034.5</v>
      </c>
    </row>
    <row r="21" spans="1:19" s="4227" customFormat="1" ht="18.600000000000001" customHeight="1">
      <c r="A21" s="4228">
        <v>18</v>
      </c>
      <c r="B21" s="4229">
        <v>1</v>
      </c>
      <c r="C21" s="4230">
        <v>1101</v>
      </c>
      <c r="D21" s="4231" t="s">
        <v>4069</v>
      </c>
      <c r="E21" s="4229" t="s">
        <v>4070</v>
      </c>
      <c r="F21" s="4229" t="s">
        <v>19</v>
      </c>
      <c r="G21" s="4232">
        <v>709</v>
      </c>
      <c r="H21" s="4233">
        <v>46011</v>
      </c>
      <c r="I21" s="4233">
        <v>47106</v>
      </c>
      <c r="J21" s="4229">
        <f t="shared" si="0"/>
        <v>1096</v>
      </c>
      <c r="K21" s="4234">
        <f t="shared" si="4"/>
        <v>5.2505479452054793</v>
      </c>
      <c r="L21" s="4235">
        <v>4.33</v>
      </c>
      <c r="M21" s="4229">
        <v>28</v>
      </c>
      <c r="N21" s="4233">
        <v>46741</v>
      </c>
      <c r="O21" s="4236">
        <v>0.06</v>
      </c>
      <c r="P21" s="4235">
        <f t="shared" si="8"/>
        <v>4.5898000000000003</v>
      </c>
      <c r="Q21" s="4227">
        <f t="shared" si="5"/>
        <v>3069.9700000000003</v>
      </c>
      <c r="R21" s="4227">
        <f t="shared" si="9"/>
        <v>3722.638493150685</v>
      </c>
      <c r="S21" s="4227">
        <f t="shared" si="3"/>
        <v>1358763.05</v>
      </c>
    </row>
    <row r="22" spans="1:19" s="4227" customFormat="1" ht="18.600000000000001" customHeight="1">
      <c r="A22" s="4228">
        <v>19</v>
      </c>
      <c r="B22" s="4229">
        <v>1</v>
      </c>
      <c r="C22" s="4230">
        <v>1201</v>
      </c>
      <c r="D22" s="4231" t="s">
        <v>4071</v>
      </c>
      <c r="E22" s="4229" t="s">
        <v>4072</v>
      </c>
      <c r="F22" s="4229" t="s">
        <v>19</v>
      </c>
      <c r="G22" s="4232">
        <v>668</v>
      </c>
      <c r="H22" s="4233">
        <v>45473</v>
      </c>
      <c r="I22" s="4233">
        <v>46202</v>
      </c>
      <c r="J22" s="4229">
        <v>730</v>
      </c>
      <c r="K22" s="4234">
        <f t="shared" si="4"/>
        <v>4.2005479452054795</v>
      </c>
      <c r="L22" s="4232">
        <v>3.28</v>
      </c>
      <c r="M22" s="4229">
        <v>28</v>
      </c>
      <c r="N22" s="4233"/>
      <c r="O22" s="4236"/>
      <c r="P22" s="4235"/>
      <c r="Q22" s="4227">
        <f t="shared" si="5"/>
        <v>2191.04</v>
      </c>
      <c r="R22" s="4227">
        <f t="shared" si="9"/>
        <v>2805.9660273972604</v>
      </c>
      <c r="S22" s="4227">
        <f t="shared" si="3"/>
        <v>1024177.6000000001</v>
      </c>
    </row>
    <row r="23" spans="1:19" s="4227" customFormat="1" ht="18.600000000000001" customHeight="1">
      <c r="A23" s="4228">
        <v>20</v>
      </c>
      <c r="B23" s="4229">
        <v>1</v>
      </c>
      <c r="C23" s="4230">
        <v>1202</v>
      </c>
      <c r="D23" s="4231" t="s">
        <v>4071</v>
      </c>
      <c r="E23" s="4229" t="s">
        <v>4072</v>
      </c>
      <c r="F23" s="4229" t="s">
        <v>19</v>
      </c>
      <c r="G23" s="4232">
        <v>610</v>
      </c>
      <c r="H23" s="4233">
        <v>45473</v>
      </c>
      <c r="I23" s="4233">
        <v>46202</v>
      </c>
      <c r="J23" s="4229">
        <v>730</v>
      </c>
      <c r="K23" s="4234">
        <f t="shared" si="4"/>
        <v>4.2005479452054795</v>
      </c>
      <c r="L23" s="4232">
        <v>3.28</v>
      </c>
      <c r="M23" s="4229">
        <v>28</v>
      </c>
      <c r="N23" s="4233"/>
      <c r="O23" s="4236"/>
      <c r="P23" s="4235"/>
      <c r="Q23" s="4227">
        <f t="shared" si="5"/>
        <v>2000.8</v>
      </c>
      <c r="R23" s="4227">
        <f t="shared" si="9"/>
        <v>2562.3342465753426</v>
      </c>
      <c r="S23" s="4227">
        <f t="shared" si="3"/>
        <v>935252</v>
      </c>
    </row>
    <row r="24" spans="1:19" s="4227" customFormat="1" ht="18.600000000000001" customHeight="1">
      <c r="A24" s="4228">
        <v>21</v>
      </c>
      <c r="B24" s="4229">
        <v>1</v>
      </c>
      <c r="C24" s="4230">
        <v>1301</v>
      </c>
      <c r="D24" s="4231" t="s">
        <v>4073</v>
      </c>
      <c r="E24" s="4229" t="s">
        <v>4074</v>
      </c>
      <c r="F24" s="4229" t="s">
        <v>19</v>
      </c>
      <c r="G24" s="4232">
        <v>176.76</v>
      </c>
      <c r="H24" s="4233">
        <v>45627</v>
      </c>
      <c r="I24" s="4233">
        <v>46721</v>
      </c>
      <c r="J24" s="4229">
        <f t="shared" ref="J24:J34" si="10">I24-H24+1</f>
        <v>1095</v>
      </c>
      <c r="K24" s="4234">
        <f t="shared" si="4"/>
        <v>4.2005479452054795</v>
      </c>
      <c r="L24" s="4235">
        <v>3.28</v>
      </c>
      <c r="M24" s="4229">
        <v>28</v>
      </c>
      <c r="N24" s="4233">
        <v>46357</v>
      </c>
      <c r="O24" s="4236">
        <v>0.06</v>
      </c>
      <c r="P24" s="4235">
        <f t="shared" si="8"/>
        <v>3.4767999999999999</v>
      </c>
      <c r="Q24" s="4227">
        <f t="shared" si="5"/>
        <v>579.77279999999996</v>
      </c>
      <c r="R24" s="4227">
        <f t="shared" si="9"/>
        <v>742.48885479452053</v>
      </c>
      <c r="S24" s="4227">
        <f t="shared" si="3"/>
        <v>271008.43199999997</v>
      </c>
    </row>
    <row r="25" spans="1:19" s="4227" customFormat="1" ht="18.600000000000001" customHeight="1">
      <c r="A25" s="4228">
        <v>22</v>
      </c>
      <c r="B25" s="4229">
        <v>1</v>
      </c>
      <c r="C25" s="4230">
        <v>1302</v>
      </c>
      <c r="D25" s="4231" t="s">
        <v>4075</v>
      </c>
      <c r="E25" s="4229" t="s">
        <v>4074</v>
      </c>
      <c r="F25" s="4229" t="s">
        <v>19</v>
      </c>
      <c r="G25" s="4232">
        <v>176.76</v>
      </c>
      <c r="H25" s="4233">
        <v>45627</v>
      </c>
      <c r="I25" s="4233">
        <v>46721</v>
      </c>
      <c r="J25" s="4229">
        <f t="shared" si="10"/>
        <v>1095</v>
      </c>
      <c r="K25" s="4234">
        <f t="shared" si="4"/>
        <v>4.2005479452054795</v>
      </c>
      <c r="L25" s="4235">
        <v>3.28</v>
      </c>
      <c r="M25" s="4229">
        <v>28</v>
      </c>
      <c r="N25" s="4233">
        <v>46357</v>
      </c>
      <c r="O25" s="4236">
        <v>0.06</v>
      </c>
      <c r="P25" s="4235">
        <f t="shared" si="8"/>
        <v>3.4767999999999999</v>
      </c>
      <c r="Q25" s="4227">
        <f t="shared" si="5"/>
        <v>579.77279999999996</v>
      </c>
      <c r="R25" s="4227">
        <f t="shared" si="9"/>
        <v>742.48885479452053</v>
      </c>
      <c r="S25" s="4227">
        <f t="shared" si="3"/>
        <v>271008.43199999997</v>
      </c>
    </row>
    <row r="26" spans="1:19" s="4227" customFormat="1" ht="18.600000000000001" customHeight="1">
      <c r="A26" s="4228">
        <v>23</v>
      </c>
      <c r="B26" s="4229">
        <v>1</v>
      </c>
      <c r="C26" s="4230">
        <v>1303</v>
      </c>
      <c r="D26" s="4231" t="s">
        <v>4076</v>
      </c>
      <c r="E26" s="4229" t="s">
        <v>4074</v>
      </c>
      <c r="F26" s="4229" t="s">
        <v>19</v>
      </c>
      <c r="G26" s="4232">
        <v>530.27</v>
      </c>
      <c r="H26" s="4233">
        <v>45627</v>
      </c>
      <c r="I26" s="4233">
        <v>46721</v>
      </c>
      <c r="J26" s="4229">
        <f t="shared" si="10"/>
        <v>1095</v>
      </c>
      <c r="K26" s="4234">
        <f t="shared" si="4"/>
        <v>4.2005479452054795</v>
      </c>
      <c r="L26" s="4235">
        <v>3.28</v>
      </c>
      <c r="M26" s="4229">
        <v>28</v>
      </c>
      <c r="N26" s="4233">
        <v>46357</v>
      </c>
      <c r="O26" s="4236">
        <v>0.06</v>
      </c>
      <c r="P26" s="4235">
        <f t="shared" si="8"/>
        <v>3.4767999999999999</v>
      </c>
      <c r="Q26" s="4227">
        <f t="shared" si="5"/>
        <v>1739.2855999999999</v>
      </c>
      <c r="R26" s="4227">
        <f t="shared" si="9"/>
        <v>2227.4245589041097</v>
      </c>
      <c r="S26" s="4227">
        <f t="shared" si="3"/>
        <v>813009.96400000004</v>
      </c>
    </row>
    <row r="27" spans="1:19" s="4227" customFormat="1" ht="18.600000000000001" customHeight="1">
      <c r="A27" s="4228">
        <v>24</v>
      </c>
      <c r="B27" s="4229">
        <v>1</v>
      </c>
      <c r="C27" s="4230">
        <v>1305</v>
      </c>
      <c r="D27" s="4231" t="s">
        <v>4077</v>
      </c>
      <c r="E27" s="4229" t="s">
        <v>4078</v>
      </c>
      <c r="F27" s="4229" t="s">
        <v>19</v>
      </c>
      <c r="G27" s="4232">
        <v>474</v>
      </c>
      <c r="H27" s="4233">
        <v>46095</v>
      </c>
      <c r="I27" s="4233">
        <v>47190</v>
      </c>
      <c r="J27" s="4229">
        <f t="shared" si="10"/>
        <v>1096</v>
      </c>
      <c r="K27" s="4234">
        <f t="shared" si="4"/>
        <v>3.6505479452054796</v>
      </c>
      <c r="L27" s="4235">
        <v>2.73</v>
      </c>
      <c r="M27" s="4229">
        <v>28</v>
      </c>
      <c r="N27" s="4233"/>
      <c r="O27" s="4236"/>
      <c r="P27" s="4235"/>
      <c r="Q27" s="4227">
        <f t="shared" si="5"/>
        <v>1294.02</v>
      </c>
      <c r="R27" s="4227">
        <f t="shared" si="9"/>
        <v>1730.3597260273973</v>
      </c>
      <c r="S27" s="4227">
        <f t="shared" si="3"/>
        <v>631581.30000000005</v>
      </c>
    </row>
    <row r="28" spans="1:19" s="4227" customFormat="1" ht="18.600000000000001" customHeight="1">
      <c r="A28" s="4228">
        <v>25</v>
      </c>
      <c r="B28" s="4229">
        <v>1</v>
      </c>
      <c r="C28" s="4230">
        <v>1401</v>
      </c>
      <c r="D28" s="4231" t="s">
        <v>4079</v>
      </c>
      <c r="E28" s="4229" t="s">
        <v>4059</v>
      </c>
      <c r="F28" s="4229" t="s">
        <v>19</v>
      </c>
      <c r="G28" s="4232">
        <v>709</v>
      </c>
      <c r="H28" s="4233">
        <v>45978</v>
      </c>
      <c r="I28" s="4233">
        <v>46707</v>
      </c>
      <c r="J28" s="4229">
        <f t="shared" si="10"/>
        <v>730</v>
      </c>
      <c r="K28" s="4234">
        <f t="shared" si="4"/>
        <v>4.1005479452054798</v>
      </c>
      <c r="L28" s="4235">
        <v>3.18</v>
      </c>
      <c r="M28" s="4229">
        <v>28</v>
      </c>
      <c r="N28" s="4233"/>
      <c r="O28" s="4236"/>
      <c r="P28" s="4235"/>
      <c r="Q28" s="4227">
        <f t="shared" si="5"/>
        <v>2254.62</v>
      </c>
      <c r="R28" s="4227">
        <f t="shared" si="9"/>
        <v>2907.2884931506851</v>
      </c>
      <c r="S28" s="4227">
        <f t="shared" si="3"/>
        <v>1061160.3</v>
      </c>
    </row>
    <row r="29" spans="1:19" s="4227" customFormat="1" ht="18.600000000000001" customHeight="1">
      <c r="A29" s="4228">
        <v>26</v>
      </c>
      <c r="B29" s="4229">
        <v>1</v>
      </c>
      <c r="C29" s="4230">
        <v>1402</v>
      </c>
      <c r="D29" s="4231" t="s">
        <v>4079</v>
      </c>
      <c r="E29" s="4229" t="s">
        <v>4059</v>
      </c>
      <c r="F29" s="4229" t="s">
        <v>19</v>
      </c>
      <c r="G29" s="4232">
        <v>648.79</v>
      </c>
      <c r="H29" s="4233">
        <v>45978</v>
      </c>
      <c r="I29" s="4233">
        <v>46707</v>
      </c>
      <c r="J29" s="4229">
        <f t="shared" si="10"/>
        <v>730</v>
      </c>
      <c r="K29" s="4234">
        <f t="shared" si="4"/>
        <v>4.1005479452054798</v>
      </c>
      <c r="L29" s="4235">
        <v>3.18</v>
      </c>
      <c r="M29" s="4229">
        <v>28</v>
      </c>
      <c r="N29" s="4233"/>
      <c r="O29" s="4236"/>
      <c r="P29" s="4235">
        <f>+L29*(1+O29)</f>
        <v>3.18</v>
      </c>
      <c r="Q29" s="4227">
        <f t="shared" si="5"/>
        <v>2063.1522</v>
      </c>
      <c r="R29" s="4227">
        <f t="shared" si="9"/>
        <v>2660.3945013698631</v>
      </c>
      <c r="S29" s="4227">
        <f t="shared" si="3"/>
        <v>971043.99300000002</v>
      </c>
    </row>
    <row r="30" spans="1:19" s="4227" customFormat="1" ht="18.600000000000001" customHeight="1">
      <c r="A30" s="4228">
        <v>27</v>
      </c>
      <c r="B30" s="4229">
        <v>1</v>
      </c>
      <c r="C30" s="4231" t="s">
        <v>4080</v>
      </c>
      <c r="D30" s="4231" t="s">
        <v>4069</v>
      </c>
      <c r="E30" s="4229" t="s">
        <v>4070</v>
      </c>
      <c r="F30" s="4229" t="s">
        <v>19</v>
      </c>
      <c r="G30" s="4232">
        <v>1277.1400000000001</v>
      </c>
      <c r="H30" s="4233">
        <v>46011</v>
      </c>
      <c r="I30" s="4233">
        <v>47106</v>
      </c>
      <c r="J30" s="4229">
        <f t="shared" si="10"/>
        <v>1096</v>
      </c>
      <c r="K30" s="4234">
        <f t="shared" si="4"/>
        <v>5.2505479452054793</v>
      </c>
      <c r="L30" s="4235">
        <v>4.33</v>
      </c>
      <c r="M30" s="4229">
        <v>28</v>
      </c>
      <c r="N30" s="4233">
        <v>46741</v>
      </c>
      <c r="O30" s="4236">
        <v>0.06</v>
      </c>
      <c r="P30" s="4235">
        <f>+L30*(1+O30)</f>
        <v>4.5898000000000003</v>
      </c>
      <c r="Q30" s="4227">
        <f t="shared" si="5"/>
        <v>5530.0162000000009</v>
      </c>
      <c r="R30" s="4227">
        <f t="shared" si="9"/>
        <v>6705.6848027397264</v>
      </c>
      <c r="S30" s="4227">
        <f t="shared" si="3"/>
        <v>2447574.9530000002</v>
      </c>
    </row>
    <row r="31" spans="1:19" s="4227" customFormat="1" ht="18.600000000000001" customHeight="1">
      <c r="A31" s="4228">
        <v>28</v>
      </c>
      <c r="B31" s="4229">
        <v>1</v>
      </c>
      <c r="C31" s="4230">
        <v>1601</v>
      </c>
      <c r="D31" s="4231" t="s">
        <v>4081</v>
      </c>
      <c r="E31" s="4229" t="s">
        <v>4057</v>
      </c>
      <c r="F31" s="4229" t="s">
        <v>19</v>
      </c>
      <c r="G31" s="4232">
        <v>589.48</v>
      </c>
      <c r="H31" s="4233">
        <v>45899</v>
      </c>
      <c r="I31" s="4233">
        <v>46628</v>
      </c>
      <c r="J31" s="4229">
        <f t="shared" si="10"/>
        <v>730</v>
      </c>
      <c r="K31" s="4234">
        <f t="shared" si="4"/>
        <v>5.1005479452054789</v>
      </c>
      <c r="L31" s="4237">
        <v>4.18</v>
      </c>
      <c r="M31" s="4229">
        <v>28</v>
      </c>
      <c r="N31" s="4233"/>
      <c r="O31" s="4236"/>
      <c r="P31" s="4235"/>
      <c r="Q31" s="4227">
        <f t="shared" si="5"/>
        <v>2464.0263999999997</v>
      </c>
      <c r="R31" s="4227">
        <f t="shared" si="9"/>
        <v>3006.6710027397257</v>
      </c>
      <c r="S31" s="4227">
        <f t="shared" si="3"/>
        <v>1097434.916</v>
      </c>
    </row>
    <row r="32" spans="1:19" s="4227" customFormat="1" ht="18.600000000000001" customHeight="1">
      <c r="A32" s="4228">
        <v>29</v>
      </c>
      <c r="B32" s="4229">
        <v>1</v>
      </c>
      <c r="C32" s="4230">
        <v>1602</v>
      </c>
      <c r="D32" s="4231" t="s">
        <v>4082</v>
      </c>
      <c r="E32" s="4229" t="s">
        <v>4057</v>
      </c>
      <c r="F32" s="4229" t="s">
        <v>19</v>
      </c>
      <c r="G32" s="4232">
        <v>610</v>
      </c>
      <c r="H32" s="4233">
        <v>45899</v>
      </c>
      <c r="I32" s="4233">
        <v>46628</v>
      </c>
      <c r="J32" s="4229">
        <f t="shared" si="10"/>
        <v>730</v>
      </c>
      <c r="K32" s="4234">
        <f t="shared" si="4"/>
        <v>5.1005479452054789</v>
      </c>
      <c r="L32" s="4237">
        <v>4.18</v>
      </c>
      <c r="M32" s="4229">
        <v>28</v>
      </c>
      <c r="N32" s="4233"/>
      <c r="O32" s="4236"/>
      <c r="P32" s="4235"/>
      <c r="Q32" s="4227">
        <f t="shared" si="5"/>
        <v>2549.7999999999997</v>
      </c>
      <c r="R32" s="4227">
        <f t="shared" si="9"/>
        <v>3111.3342465753421</v>
      </c>
      <c r="S32" s="4227">
        <f t="shared" si="3"/>
        <v>1135637</v>
      </c>
    </row>
    <row r="33" spans="1:19" s="4227" customFormat="1" ht="18.600000000000001" customHeight="1">
      <c r="A33" s="4228">
        <v>30</v>
      </c>
      <c r="B33" s="4229">
        <v>1</v>
      </c>
      <c r="C33" s="4230" t="s">
        <v>4083</v>
      </c>
      <c r="D33" s="4231" t="s">
        <v>4084</v>
      </c>
      <c r="E33" s="4229" t="s">
        <v>4085</v>
      </c>
      <c r="F33" s="4229" t="s">
        <v>19</v>
      </c>
      <c r="G33" s="4232">
        <v>1217.98</v>
      </c>
      <c r="H33" s="4233">
        <v>45931</v>
      </c>
      <c r="I33" s="4233">
        <v>47026</v>
      </c>
      <c r="J33" s="4229">
        <f t="shared" si="10"/>
        <v>1096</v>
      </c>
      <c r="K33" s="4234">
        <f t="shared" si="4"/>
        <v>3.7005479452054795</v>
      </c>
      <c r="L33" s="4235">
        <v>2.78</v>
      </c>
      <c r="M33" s="4229">
        <v>28</v>
      </c>
      <c r="N33" s="4233">
        <v>46661</v>
      </c>
      <c r="O33" s="4236">
        <v>0.06</v>
      </c>
      <c r="P33" s="4235">
        <f>+L33*(1+O33)</f>
        <v>2.9468000000000001</v>
      </c>
      <c r="Q33" s="4227">
        <f t="shared" si="5"/>
        <v>3385.9843999999998</v>
      </c>
      <c r="R33" s="4227">
        <f t="shared" si="9"/>
        <v>4507.1933863013701</v>
      </c>
      <c r="S33" s="4227">
        <f t="shared" si="3"/>
        <v>1645125.5860000001</v>
      </c>
    </row>
    <row r="34" spans="1:19" s="4227" customFormat="1" ht="18.600000000000001" customHeight="1">
      <c r="A34" s="4228">
        <v>31</v>
      </c>
      <c r="B34" s="4229">
        <v>1</v>
      </c>
      <c r="C34" s="4230" t="s">
        <v>4086</v>
      </c>
      <c r="D34" s="4231" t="s">
        <v>4084</v>
      </c>
      <c r="E34" s="4229" t="s">
        <v>4085</v>
      </c>
      <c r="F34" s="4229" t="s">
        <v>19</v>
      </c>
      <c r="G34" s="4232">
        <v>982.58</v>
      </c>
      <c r="H34" s="4233">
        <v>45931</v>
      </c>
      <c r="I34" s="4233">
        <v>47026</v>
      </c>
      <c r="J34" s="4229">
        <f t="shared" si="10"/>
        <v>1096</v>
      </c>
      <c r="K34" s="4234">
        <f t="shared" si="4"/>
        <v>3.7005479452054795</v>
      </c>
      <c r="L34" s="4235">
        <v>2.78</v>
      </c>
      <c r="M34" s="4229">
        <v>28</v>
      </c>
      <c r="N34" s="4233">
        <v>46661</v>
      </c>
      <c r="O34" s="4236">
        <v>0.06</v>
      </c>
      <c r="P34" s="4235">
        <f>+L34*(1+O34)</f>
        <v>2.9468000000000001</v>
      </c>
      <c r="Q34" s="4227">
        <f t="shared" si="5"/>
        <v>2731.5724</v>
      </c>
      <c r="R34" s="4227">
        <f t="shared" si="9"/>
        <v>3636.0844000000002</v>
      </c>
      <c r="S34" s="4227">
        <f t="shared" si="3"/>
        <v>1327170.8060000001</v>
      </c>
    </row>
    <row r="35" spans="1:19" s="4227" customFormat="1" ht="18.600000000000001" customHeight="1">
      <c r="A35" s="4228"/>
      <c r="B35" s="4229"/>
      <c r="C35" s="4229"/>
      <c r="D35" s="4229"/>
      <c r="E35" s="4229"/>
      <c r="F35" s="4229"/>
      <c r="G35" s="4232">
        <f>SUM(G4:G34)-G13-G19</f>
        <v>19807.670000000002</v>
      </c>
      <c r="H35" s="4233"/>
      <c r="I35" s="4233"/>
      <c r="J35" s="4229"/>
      <c r="K35" s="4232">
        <f>R35/G35</f>
        <v>3.9416375081242747</v>
      </c>
      <c r="L35" s="4235">
        <f>Q35/G35</f>
        <v>3.1134120116096438</v>
      </c>
      <c r="M35" s="4229"/>
      <c r="N35" s="4233"/>
      <c r="O35" s="4236"/>
      <c r="P35" s="4235"/>
      <c r="Q35" s="4232">
        <f>SUM(Q4:Q34)-Q13-Q19</f>
        <v>61669.437699999995</v>
      </c>
      <c r="R35" s="4232">
        <f>SUM(R4:R34)-R13-R19</f>
        <v>78074.655020547958</v>
      </c>
      <c r="S35" s="4227">
        <f>SUM(S4:S34)/10000</f>
        <v>3163.605793050001</v>
      </c>
    </row>
    <row r="36" spans="1:19" s="4227" customFormat="1" ht="18.600000000000001" customHeight="1">
      <c r="A36" s="4238"/>
      <c r="B36" s="4239"/>
      <c r="C36" s="4240"/>
      <c r="D36" s="4241" t="s">
        <v>4087</v>
      </c>
      <c r="E36" s="4239">
        <f>SUM(G4:G34)</f>
        <v>20456.460000000003</v>
      </c>
      <c r="F36" s="4239"/>
      <c r="G36" s="4241"/>
      <c r="H36" s="4239"/>
      <c r="I36" s="4239"/>
      <c r="J36" s="4239"/>
      <c r="K36" s="4239"/>
      <c r="L36" s="4242"/>
      <c r="M36" s="4239"/>
      <c r="N36" s="4239"/>
      <c r="O36" s="4239"/>
      <c r="P36" s="4242"/>
    </row>
    <row r="37" spans="1:19" s="4227" customFormat="1" ht="18.600000000000001" customHeight="1">
      <c r="A37" s="4238"/>
      <c r="B37" s="4239"/>
      <c r="C37" s="4240"/>
      <c r="D37" s="4241" t="s">
        <v>4088</v>
      </c>
      <c r="E37" s="4239">
        <f>+SUMIF(F3:F34,"办公",G3:G34)</f>
        <v>19807.670000000002</v>
      </c>
      <c r="F37" s="4239"/>
      <c r="G37" s="4654"/>
      <c r="H37" s="4654"/>
      <c r="I37" s="4654"/>
      <c r="J37" s="4239"/>
      <c r="K37" s="4239"/>
      <c r="L37" s="4242"/>
      <c r="M37" s="4239"/>
      <c r="N37" s="4239"/>
      <c r="O37" s="4239"/>
      <c r="P37" s="4242"/>
      <c r="S37" s="4227">
        <f>S35+'2号楼'!R41+'31号楼'!T19</f>
        <v>74589.767808399993</v>
      </c>
    </row>
    <row r="38" spans="1:19" s="4227" customFormat="1" ht="18.600000000000001" customHeight="1">
      <c r="A38" s="4238"/>
      <c r="B38" s="4239"/>
      <c r="C38" s="4240"/>
      <c r="D38" s="4241" t="s">
        <v>4089</v>
      </c>
      <c r="E38" s="4243">
        <f>E37/E36</f>
        <v>0.96828434636295813</v>
      </c>
      <c r="F38" s="4243"/>
      <c r="G38" s="4241"/>
      <c r="H38" s="4244"/>
      <c r="I38" s="4239"/>
      <c r="J38" s="4239"/>
      <c r="K38" s="4239"/>
      <c r="L38" s="4242"/>
      <c r="M38" s="4239"/>
      <c r="N38" s="4239"/>
      <c r="O38" s="4239"/>
      <c r="P38" s="4242"/>
    </row>
    <row r="39" spans="1:19" s="4227" customFormat="1" ht="18.600000000000001" customHeight="1">
      <c r="A39" s="4245"/>
      <c r="B39" s="4246"/>
      <c r="C39" s="4247"/>
      <c r="D39" s="4248"/>
      <c r="E39" s="4249"/>
      <c r="F39" s="4249"/>
      <c r="G39" s="4248"/>
      <c r="H39" s="4246"/>
      <c r="I39" s="4246"/>
      <c r="J39" s="4246"/>
      <c r="K39" s="4246"/>
      <c r="L39" s="4250"/>
      <c r="M39" s="4246"/>
      <c r="N39" s="4246"/>
      <c r="O39" s="4246"/>
      <c r="P39" s="4250"/>
    </row>
    <row r="40" spans="1:19" s="4227" customFormat="1" ht="14.25">
      <c r="A40" s="4251"/>
      <c r="B40" s="4252"/>
      <c r="C40" s="4252"/>
      <c r="D40" s="4252"/>
      <c r="E40" s="4252"/>
      <c r="F40" s="4252"/>
      <c r="G40" s="4253"/>
      <c r="H40" s="4252"/>
      <c r="I40" s="4252"/>
      <c r="J40" s="4252"/>
      <c r="K40" s="4254"/>
      <c r="L40" s="4255"/>
      <c r="M40" s="4252"/>
      <c r="N40" s="4252"/>
      <c r="O40" s="4252"/>
      <c r="P40" s="4255"/>
    </row>
    <row r="41" spans="1:19" s="4227" customFormat="1">
      <c r="A41" s="4251"/>
      <c r="B41" s="4252"/>
      <c r="C41" s="4252"/>
      <c r="D41" s="4252"/>
      <c r="E41" s="4254"/>
      <c r="F41" s="4254"/>
      <c r="G41" s="4256"/>
      <c r="H41" s="4252"/>
      <c r="I41" s="4252"/>
      <c r="J41" s="4252"/>
      <c r="K41" s="4254"/>
      <c r="L41" s="4255"/>
      <c r="M41" s="4252"/>
      <c r="N41" s="4252"/>
      <c r="O41" s="4252"/>
      <c r="P41" s="4255"/>
    </row>
    <row r="42" spans="1:19" s="4227" customFormat="1" ht="14.25">
      <c r="A42" s="4252"/>
      <c r="B42" s="4252"/>
      <c r="C42" s="4252"/>
      <c r="D42" s="4252"/>
      <c r="E42" s="4255">
        <f>E37+'2号楼'!E43+'31号楼'!E17</f>
        <v>51152.98</v>
      </c>
      <c r="F42" s="4252" t="s">
        <v>4090</v>
      </c>
      <c r="G42" s="4253"/>
      <c r="H42" s="4252"/>
      <c r="I42" s="4252"/>
      <c r="J42" s="4252"/>
      <c r="K42" s="4254"/>
      <c r="L42" s="4255"/>
      <c r="M42" s="4252"/>
      <c r="N42" s="4252"/>
      <c r="O42" s="4252"/>
      <c r="P42" s="4255"/>
    </row>
    <row r="43" spans="1:19" s="4227" customFormat="1">
      <c r="A43" s="4252"/>
      <c r="B43" s="4252"/>
      <c r="C43" s="4252"/>
      <c r="D43" s="4252"/>
      <c r="E43" s="4255">
        <f>+E36+'2号楼'!E42+'31号楼'!E16</f>
        <v>53887.880000000005</v>
      </c>
      <c r="F43" s="4252" t="s">
        <v>4091</v>
      </c>
      <c r="G43" s="4252"/>
      <c r="H43" s="4252"/>
      <c r="I43" s="4252"/>
      <c r="J43" s="4252"/>
      <c r="K43" s="4254"/>
      <c r="L43" s="4255"/>
      <c r="M43" s="4252"/>
      <c r="N43" s="4252"/>
      <c r="O43" s="4252"/>
      <c r="P43" s="4255"/>
    </row>
    <row r="44" spans="1:19" s="4227" customFormat="1">
      <c r="A44" s="4252"/>
      <c r="B44" s="4252"/>
      <c r="C44" s="4252"/>
      <c r="D44" s="4252"/>
      <c r="E44" s="4257">
        <f>+E42/E43</f>
        <v>0.9492483281955052</v>
      </c>
      <c r="F44" s="4252" t="s">
        <v>4092</v>
      </c>
      <c r="G44" s="4252"/>
      <c r="H44" s="4252"/>
      <c r="I44" s="4252"/>
      <c r="J44" s="4252"/>
      <c r="K44" s="4254"/>
      <c r="L44" s="4255"/>
      <c r="M44" s="4252"/>
      <c r="N44" s="4252"/>
      <c r="O44" s="4252"/>
      <c r="P44" s="4255"/>
    </row>
    <row r="45" spans="1:19" s="4227" customFormat="1">
      <c r="A45" s="4252"/>
      <c r="B45" s="4252"/>
      <c r="C45" s="4252"/>
      <c r="D45" s="4252"/>
      <c r="E45" s="4252"/>
      <c r="F45" s="4655"/>
      <c r="G45" s="4252"/>
      <c r="H45" s="4252"/>
      <c r="I45" s="4252"/>
      <c r="J45" s="4252"/>
      <c r="K45" s="4254"/>
      <c r="L45" s="4255"/>
      <c r="M45" s="4252"/>
      <c r="N45" s="4252"/>
      <c r="O45" s="4252"/>
      <c r="P45" s="4255"/>
    </row>
    <row r="46" spans="1:19">
      <c r="F46" s="4656"/>
    </row>
    <row r="47" spans="1:19">
      <c r="E47" s="4260">
        <f>+E36+'2号楼'!E42</f>
        <v>41128.960000000006</v>
      </c>
      <c r="F47" s="4261" t="s">
        <v>4093</v>
      </c>
      <c r="P47" s="4260" t="s">
        <v>4294</v>
      </c>
      <c r="Q47" s="4217">
        <f>Q35*365</f>
        <v>22509344.760499999</v>
      </c>
    </row>
    <row r="48" spans="1:19">
      <c r="D48" s="4262"/>
      <c r="E48" s="4260">
        <f>+E37+'2号楼'!E43</f>
        <v>39427.060000000005</v>
      </c>
      <c r="F48" s="4258" t="s">
        <v>4094</v>
      </c>
      <c r="P48" s="4260" t="s">
        <v>4295</v>
      </c>
      <c r="Q48" s="4217">
        <f>'2号楼'!R41*365</f>
        <v>25288181.119999997</v>
      </c>
    </row>
    <row r="49" spans="5:17">
      <c r="E49" s="4263">
        <f>+E48/E47</f>
        <v>0.9586203978899539</v>
      </c>
      <c r="F49" s="4258" t="s">
        <v>4095</v>
      </c>
      <c r="P49" s="4260" t="s">
        <v>4296</v>
      </c>
      <c r="Q49" s="4217">
        <f>'31号楼'!U15*365</f>
        <v>16206304.5195</v>
      </c>
    </row>
    <row r="50" spans="5:17">
      <c r="Q50" s="4217">
        <f>Q47+Q48+Q49</f>
        <v>64003830.399999999</v>
      </c>
    </row>
    <row r="51" spans="5:17">
      <c r="Q51" s="4217">
        <f>Q50/10000</f>
        <v>6400.3830399999997</v>
      </c>
    </row>
    <row r="52" spans="5:17">
      <c r="P52" s="4260" t="s">
        <v>4297</v>
      </c>
      <c r="Q52" s="4217">
        <f>Q51/1.09</f>
        <v>5871.9110458715586</v>
      </c>
    </row>
  </sheetData>
  <protectedRanges>
    <protectedRange sqref="E13:G13" name="区域2_1_1_1"/>
    <protectedRange sqref="D13" name="区域2_1_3"/>
    <protectedRange sqref="H13" name="区域2_1_2_1"/>
  </protectedRanges>
  <mergeCells count="6">
    <mergeCell ref="F45:F46"/>
    <mergeCell ref="A1:G1"/>
    <mergeCell ref="H1:J1"/>
    <mergeCell ref="L1:M1"/>
    <mergeCell ref="N1:P1"/>
    <mergeCell ref="G37:I37"/>
  </mergeCells>
  <phoneticPr fontId="134" type="noConversion"/>
  <dataValidations count="3">
    <dataValidation type="list" allowBlank="1" showInputMessage="1" showErrorMessage="1" sqref="F1:F1048576" xr:uid="{E6E00006-42F5-45B6-80B6-D122825BE085}">
      <formula1>"办公"</formula1>
    </dataValidation>
    <dataValidation type="list" allowBlank="1" showInputMessage="1" showErrorMessage="1" sqref="E1:E19 E22:E29 E31:E1048576" xr:uid="{015EB842-C006-4F24-BF8C-B869B29855C0}">
      <formula1>"通讯设备,专业技术服务,金融业"</formula1>
    </dataValidation>
    <dataValidation type="list" allowBlank="1" showInputMessage="1" showErrorMessage="1" sqref="E30 E20:E21" xr:uid="{89C5FFB3-9A87-4B95-B25D-3D65D19B503B}">
      <formula1>"通讯设备集成,专业技术服务,金融业"</formula1>
    </dataValidation>
  </dataValidations>
  <pageMargins left="0.7" right="0.7" top="0.75" bottom="0.75" header="0.3" footer="0.3"/>
  <pageSetup paperSize="9"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FC3B6-0629-42E7-A1DC-FDE59C273FC3}">
  <dimension ref="A1:R13328"/>
  <sheetViews>
    <sheetView topLeftCell="B1" zoomScaleNormal="100" workbookViewId="0">
      <selection activeCell="I16" sqref="I16"/>
    </sheetView>
  </sheetViews>
  <sheetFormatPr defaultColWidth="8.75" defaultRowHeight="13.5"/>
  <cols>
    <col min="1" max="1" width="14.75" style="4252" customWidth="1"/>
    <col min="2" max="2" width="6.75" style="4252" customWidth="1"/>
    <col min="3" max="3" width="19.625" style="4252" customWidth="1"/>
    <col min="4" max="4" width="39.75" style="4258" customWidth="1"/>
    <col min="5" max="5" width="24.625" style="4258" customWidth="1"/>
    <col min="6" max="6" width="10.375" style="4258" customWidth="1"/>
    <col min="7" max="7" width="10.75" style="4258" customWidth="1"/>
    <col min="8" max="9" width="12.375" style="4258" customWidth="1"/>
    <col min="10" max="10" width="7" style="4258" customWidth="1"/>
    <col min="11" max="11" width="18.625" style="4258" customWidth="1"/>
    <col min="12" max="12" width="12" style="4260" customWidth="1"/>
    <col min="13" max="13" width="12" style="4258" customWidth="1"/>
    <col min="14" max="14" width="13.25" style="4258" customWidth="1"/>
    <col min="15" max="15" width="7.25" style="4258" customWidth="1"/>
    <col min="16" max="16" width="15" style="4260" customWidth="1"/>
    <col min="17" max="16384" width="8.75" style="4217"/>
  </cols>
  <sheetData>
    <row r="1" spans="1:18" ht="18.600000000000001" customHeight="1">
      <c r="A1" s="4651" t="s">
        <v>4024</v>
      </c>
      <c r="B1" s="4652"/>
      <c r="C1" s="4652"/>
      <c r="D1" s="4652"/>
      <c r="E1" s="4652"/>
      <c r="F1" s="4652"/>
      <c r="G1" s="4652"/>
      <c r="H1" s="4652" t="s">
        <v>4025</v>
      </c>
      <c r="I1" s="4652"/>
      <c r="J1" s="4652"/>
      <c r="K1" s="4216" t="s">
        <v>4026</v>
      </c>
      <c r="L1" s="4653" t="s">
        <v>4027</v>
      </c>
      <c r="M1" s="4652"/>
      <c r="N1" s="4652" t="s">
        <v>4028</v>
      </c>
      <c r="O1" s="4652"/>
      <c r="P1" s="4653"/>
    </row>
    <row r="2" spans="1:18" ht="18.600000000000001" customHeight="1">
      <c r="A2" s="4218" t="s">
        <v>4029</v>
      </c>
      <c r="B2" s="4219" t="s">
        <v>4030</v>
      </c>
      <c r="C2" s="4219" t="s">
        <v>4031</v>
      </c>
      <c r="D2" s="4219" t="s">
        <v>4032</v>
      </c>
      <c r="E2" s="4219" t="s">
        <v>4033</v>
      </c>
      <c r="F2" s="4219" t="s">
        <v>4034</v>
      </c>
      <c r="G2" s="4219" t="s">
        <v>4035</v>
      </c>
      <c r="H2" s="4219" t="s">
        <v>4036</v>
      </c>
      <c r="I2" s="4219" t="s">
        <v>4037</v>
      </c>
      <c r="J2" s="4219" t="s">
        <v>4038</v>
      </c>
      <c r="K2" s="4219" t="s">
        <v>4039</v>
      </c>
      <c r="L2" s="4220" t="s">
        <v>4039</v>
      </c>
      <c r="M2" s="4219" t="s">
        <v>4040</v>
      </c>
      <c r="N2" s="4219" t="s">
        <v>4041</v>
      </c>
      <c r="O2" s="4219" t="s">
        <v>4042</v>
      </c>
      <c r="P2" s="4220" t="s">
        <v>4043</v>
      </c>
    </row>
    <row r="3" spans="1:18" ht="18.600000000000001" customHeight="1">
      <c r="A3" s="4221" t="s">
        <v>4044</v>
      </c>
      <c r="B3" s="4222" t="s">
        <v>4045</v>
      </c>
      <c r="C3" s="4223" t="s">
        <v>4045</v>
      </c>
      <c r="D3" s="4222" t="s">
        <v>4045</v>
      </c>
      <c r="E3" s="4222" t="s">
        <v>4045</v>
      </c>
      <c r="F3" s="4222" t="s">
        <v>4045</v>
      </c>
      <c r="G3" s="4222" t="s">
        <v>4045</v>
      </c>
      <c r="H3" s="4224"/>
      <c r="I3" s="4225" t="s">
        <v>4045</v>
      </c>
      <c r="J3" s="4222" t="s">
        <v>4045</v>
      </c>
      <c r="K3" s="4222" t="s">
        <v>4045</v>
      </c>
      <c r="L3" s="4226" t="s">
        <v>4045</v>
      </c>
      <c r="M3" s="4222" t="s">
        <v>4045</v>
      </c>
      <c r="N3" s="4225" t="s">
        <v>4045</v>
      </c>
      <c r="O3" s="4222" t="s">
        <v>4045</v>
      </c>
      <c r="P3" s="4226" t="s">
        <v>4045</v>
      </c>
    </row>
    <row r="4" spans="1:18" s="4227" customFormat="1" ht="18.600000000000001" customHeight="1">
      <c r="A4" s="4264">
        <v>1</v>
      </c>
      <c r="B4" s="4265">
        <v>2</v>
      </c>
      <c r="C4" s="4266" t="s">
        <v>4046</v>
      </c>
      <c r="D4" s="4265" t="s">
        <v>4096</v>
      </c>
      <c r="E4" s="4265" t="s">
        <v>4097</v>
      </c>
      <c r="F4" s="4265" t="s">
        <v>19</v>
      </c>
      <c r="G4" s="4267">
        <v>1195.02</v>
      </c>
      <c r="H4" s="4268">
        <v>45597</v>
      </c>
      <c r="I4" s="4268">
        <v>46326</v>
      </c>
      <c r="J4" s="4265">
        <f>I4-H4+1</f>
        <v>730</v>
      </c>
      <c r="K4" s="4269">
        <f>L4+M4*12/365</f>
        <v>4.0005479452054793</v>
      </c>
      <c r="L4" s="4270">
        <v>3.08</v>
      </c>
      <c r="M4" s="4265">
        <v>28</v>
      </c>
      <c r="N4" s="4268"/>
      <c r="O4" s="4265"/>
      <c r="P4" s="4270"/>
      <c r="Q4" s="4227">
        <f t="shared" ref="Q4:Q19" si="0">K4*G4</f>
        <v>4780.734805479452</v>
      </c>
      <c r="R4" s="4227">
        <f t="shared" ref="R4:R39" si="1">L4*G4</f>
        <v>3680.6615999999999</v>
      </c>
    </row>
    <row r="5" spans="1:18" s="4227" customFormat="1" ht="18.600000000000001" customHeight="1">
      <c r="A5" s="4264">
        <v>2</v>
      </c>
      <c r="B5" s="4265">
        <v>2</v>
      </c>
      <c r="C5" s="4266">
        <v>401</v>
      </c>
      <c r="D5" s="4265" t="s">
        <v>4098</v>
      </c>
      <c r="E5" s="4265" t="s">
        <v>4059</v>
      </c>
      <c r="F5" s="4265" t="s">
        <v>19</v>
      </c>
      <c r="G5" s="4267">
        <v>474</v>
      </c>
      <c r="H5" s="4268">
        <v>45870</v>
      </c>
      <c r="I5" s="4268">
        <v>46599</v>
      </c>
      <c r="J5" s="4265">
        <v>730</v>
      </c>
      <c r="K5" s="4269">
        <f t="shared" ref="K5:K19" si="2">L5+M5*12/365</f>
        <v>3.6005479452054798</v>
      </c>
      <c r="L5" s="4270">
        <v>2.68</v>
      </c>
      <c r="M5" s="4265">
        <v>28</v>
      </c>
      <c r="N5" s="4268"/>
      <c r="O5" s="4271"/>
      <c r="P5" s="4270"/>
      <c r="Q5" s="4227">
        <f t="shared" si="0"/>
        <v>1706.6597260273975</v>
      </c>
      <c r="R5" s="4227">
        <f t="shared" si="1"/>
        <v>1270.3200000000002</v>
      </c>
    </row>
    <row r="6" spans="1:18" s="4227" customFormat="1" ht="18.600000000000001" customHeight="1">
      <c r="A6" s="4264">
        <v>3</v>
      </c>
      <c r="B6" s="4265">
        <v>2</v>
      </c>
      <c r="C6" s="4266">
        <v>402</v>
      </c>
      <c r="D6" s="4265" t="s">
        <v>4099</v>
      </c>
      <c r="E6" s="4265" t="s">
        <v>4059</v>
      </c>
      <c r="F6" s="4265" t="s">
        <v>19</v>
      </c>
      <c r="G6" s="4267">
        <v>648.14</v>
      </c>
      <c r="H6" s="4268">
        <v>45853</v>
      </c>
      <c r="I6" s="4268">
        <v>46766</v>
      </c>
      <c r="J6" s="4265">
        <f t="shared" ref="J6:J19" si="3">I6-H6+1</f>
        <v>914</v>
      </c>
      <c r="K6" s="4269">
        <f t="shared" si="2"/>
        <v>4.6005479452054798</v>
      </c>
      <c r="L6" s="4272">
        <v>3.68</v>
      </c>
      <c r="M6" s="4265">
        <v>28</v>
      </c>
      <c r="N6" s="4268">
        <v>46583</v>
      </c>
      <c r="O6" s="4271">
        <v>0.06</v>
      </c>
      <c r="P6" s="4270">
        <f t="shared" ref="P6:P7" si="4">+L6*(1+O6)</f>
        <v>3.9008000000000003</v>
      </c>
      <c r="Q6" s="4227">
        <f t="shared" si="0"/>
        <v>2981.7991452054798</v>
      </c>
      <c r="R6" s="4227">
        <f t="shared" si="1"/>
        <v>2385.1552000000001</v>
      </c>
    </row>
    <row r="7" spans="1:18" s="4227" customFormat="1" ht="18.600000000000001" customHeight="1">
      <c r="A7" s="4264">
        <v>4</v>
      </c>
      <c r="B7" s="4265">
        <v>2</v>
      </c>
      <c r="C7" s="4273">
        <v>403</v>
      </c>
      <c r="D7" s="4265" t="s">
        <v>4100</v>
      </c>
      <c r="E7" s="4265" t="s">
        <v>4057</v>
      </c>
      <c r="F7" s="4265" t="s">
        <v>19</v>
      </c>
      <c r="G7" s="4267">
        <v>235</v>
      </c>
      <c r="H7" s="4268">
        <v>45505</v>
      </c>
      <c r="I7" s="4268">
        <v>46599</v>
      </c>
      <c r="J7" s="4265">
        <f t="shared" si="3"/>
        <v>1095</v>
      </c>
      <c r="K7" s="4269">
        <f t="shared" si="2"/>
        <v>4.0005479452054793</v>
      </c>
      <c r="L7" s="4270">
        <v>3.08</v>
      </c>
      <c r="M7" s="4265">
        <v>28</v>
      </c>
      <c r="N7" s="4268">
        <v>46235</v>
      </c>
      <c r="O7" s="4271">
        <v>0.06</v>
      </c>
      <c r="P7" s="4270">
        <f t="shared" si="4"/>
        <v>3.2648000000000001</v>
      </c>
      <c r="Q7" s="4227">
        <f t="shared" si="0"/>
        <v>940.12876712328762</v>
      </c>
      <c r="R7" s="4227">
        <f t="shared" si="1"/>
        <v>723.80000000000007</v>
      </c>
    </row>
    <row r="8" spans="1:18" s="4227" customFormat="1" ht="18.600000000000001" customHeight="1">
      <c r="A8" s="4264">
        <v>5</v>
      </c>
      <c r="B8" s="4265">
        <v>2</v>
      </c>
      <c r="C8" s="4266">
        <v>501</v>
      </c>
      <c r="D8" s="4265" t="s">
        <v>4101</v>
      </c>
      <c r="E8" s="4265" t="s">
        <v>4057</v>
      </c>
      <c r="F8" s="4265" t="s">
        <v>19</v>
      </c>
      <c r="G8" s="4267">
        <v>709</v>
      </c>
      <c r="H8" s="4268">
        <v>45768</v>
      </c>
      <c r="I8" s="4268">
        <v>46863</v>
      </c>
      <c r="J8" s="4265">
        <f t="shared" si="3"/>
        <v>1096</v>
      </c>
      <c r="K8" s="4269">
        <f t="shared" si="2"/>
        <v>4.0005479452054793</v>
      </c>
      <c r="L8" s="4270">
        <v>3.08</v>
      </c>
      <c r="M8" s="4265">
        <v>28</v>
      </c>
      <c r="N8" s="4268"/>
      <c r="O8" s="4271"/>
      <c r="P8" s="4270"/>
      <c r="Q8" s="4227">
        <f t="shared" si="0"/>
        <v>2836.388493150685</v>
      </c>
      <c r="R8" s="4227">
        <f t="shared" si="1"/>
        <v>2183.7200000000003</v>
      </c>
    </row>
    <row r="9" spans="1:18" s="4227" customFormat="1" ht="18.600000000000001" customHeight="1">
      <c r="A9" s="4228">
        <v>6</v>
      </c>
      <c r="B9" s="4229">
        <v>2</v>
      </c>
      <c r="C9" s="4231" t="s">
        <v>4102</v>
      </c>
      <c r="D9" s="4229" t="s">
        <v>4103</v>
      </c>
      <c r="E9" s="4229" t="s">
        <v>4074</v>
      </c>
      <c r="F9" s="4229" t="s">
        <v>19</v>
      </c>
      <c r="G9" s="4232">
        <v>610</v>
      </c>
      <c r="H9" s="4233">
        <v>45383</v>
      </c>
      <c r="I9" s="4233">
        <v>46112</v>
      </c>
      <c r="J9" s="4229">
        <f t="shared" si="3"/>
        <v>730</v>
      </c>
      <c r="K9" s="4234">
        <f t="shared" si="2"/>
        <v>5.2005479452054795</v>
      </c>
      <c r="L9" s="4235">
        <v>4.28</v>
      </c>
      <c r="M9" s="4229">
        <v>28</v>
      </c>
      <c r="N9" s="4233"/>
      <c r="O9" s="4229"/>
      <c r="P9" s="4235"/>
      <c r="Q9" s="4227">
        <f t="shared" si="0"/>
        <v>3172.3342465753426</v>
      </c>
      <c r="R9" s="4227">
        <f t="shared" si="1"/>
        <v>2610.8000000000002</v>
      </c>
    </row>
    <row r="10" spans="1:18" s="4227" customFormat="1" ht="18.600000000000001" customHeight="1">
      <c r="A10" s="4264">
        <v>7</v>
      </c>
      <c r="B10" s="4265">
        <v>2</v>
      </c>
      <c r="C10" s="4266">
        <v>601</v>
      </c>
      <c r="D10" s="4265" t="s">
        <v>4104</v>
      </c>
      <c r="E10" s="4265" t="s">
        <v>4059</v>
      </c>
      <c r="F10" s="4265" t="s">
        <v>19</v>
      </c>
      <c r="G10" s="4267">
        <v>709</v>
      </c>
      <c r="H10" s="4268">
        <v>45767</v>
      </c>
      <c r="I10" s="4268">
        <v>46496</v>
      </c>
      <c r="J10" s="4265">
        <f t="shared" si="3"/>
        <v>730</v>
      </c>
      <c r="K10" s="4269">
        <f t="shared" si="2"/>
        <v>4.1005479452054798</v>
      </c>
      <c r="L10" s="4270">
        <f>3.18</f>
        <v>3.18</v>
      </c>
      <c r="M10" s="4265">
        <v>28</v>
      </c>
      <c r="N10" s="4268"/>
      <c r="O10" s="4271"/>
      <c r="P10" s="4270"/>
      <c r="Q10" s="4227">
        <f t="shared" si="0"/>
        <v>2907.2884931506851</v>
      </c>
      <c r="R10" s="4227">
        <f t="shared" si="1"/>
        <v>2254.62</v>
      </c>
    </row>
    <row r="11" spans="1:18" s="4227" customFormat="1" ht="18.600000000000001" customHeight="1">
      <c r="A11" s="4264">
        <v>8</v>
      </c>
      <c r="B11" s="4265">
        <v>2</v>
      </c>
      <c r="C11" s="4273">
        <v>602</v>
      </c>
      <c r="D11" s="4265" t="s">
        <v>4105</v>
      </c>
      <c r="E11" s="4265" t="s">
        <v>4106</v>
      </c>
      <c r="F11" s="4265" t="s">
        <v>19</v>
      </c>
      <c r="G11" s="4267">
        <v>648.14</v>
      </c>
      <c r="H11" s="4268">
        <v>45915</v>
      </c>
      <c r="I11" s="4268">
        <v>46644</v>
      </c>
      <c r="J11" s="4265">
        <f t="shared" si="3"/>
        <v>730</v>
      </c>
      <c r="K11" s="4269">
        <f t="shared" si="2"/>
        <v>3.7005479452054795</v>
      </c>
      <c r="L11" s="4270">
        <v>2.78</v>
      </c>
      <c r="M11" s="4265">
        <v>28</v>
      </c>
      <c r="N11" s="4268"/>
      <c r="O11" s="4271"/>
      <c r="P11" s="4270"/>
      <c r="Q11" s="4227">
        <f t="shared" si="0"/>
        <v>2398.4731452054793</v>
      </c>
      <c r="R11" s="4227">
        <f t="shared" si="1"/>
        <v>1801.8291999999999</v>
      </c>
    </row>
    <row r="12" spans="1:18" s="4227" customFormat="1" ht="18.600000000000001" customHeight="1">
      <c r="A12" s="4264">
        <v>9</v>
      </c>
      <c r="B12" s="4265">
        <v>2</v>
      </c>
      <c r="C12" s="4273" t="s">
        <v>4107</v>
      </c>
      <c r="D12" s="4265" t="s">
        <v>4108</v>
      </c>
      <c r="E12" s="4265" t="s">
        <v>4055</v>
      </c>
      <c r="F12" s="4265" t="s">
        <v>19</v>
      </c>
      <c r="G12" s="4267">
        <v>1357.14</v>
      </c>
      <c r="H12" s="4268">
        <v>45658</v>
      </c>
      <c r="I12" s="4268">
        <v>46387</v>
      </c>
      <c r="J12" s="4265">
        <f t="shared" si="3"/>
        <v>730</v>
      </c>
      <c r="K12" s="4269">
        <f t="shared" si="2"/>
        <v>5.6205479452054794</v>
      </c>
      <c r="L12" s="4270">
        <v>4.7</v>
      </c>
      <c r="M12" s="4265">
        <v>28</v>
      </c>
      <c r="N12" s="4268"/>
      <c r="O12" s="4265"/>
      <c r="P12" s="4270"/>
      <c r="Q12" s="4227">
        <f t="shared" si="0"/>
        <v>7627.8704383561653</v>
      </c>
      <c r="R12" s="4227">
        <f t="shared" si="1"/>
        <v>6378.5580000000009</v>
      </c>
    </row>
    <row r="13" spans="1:18" s="4227" customFormat="1" ht="18.600000000000001" customHeight="1">
      <c r="A13" s="4264">
        <v>10</v>
      </c>
      <c r="B13" s="4265">
        <v>2</v>
      </c>
      <c r="C13" s="4266">
        <v>801</v>
      </c>
      <c r="D13" s="4265" t="s">
        <v>4109</v>
      </c>
      <c r="E13" s="4265" t="s">
        <v>4059</v>
      </c>
      <c r="F13" s="4265" t="s">
        <v>19</v>
      </c>
      <c r="G13" s="4267">
        <v>474</v>
      </c>
      <c r="H13" s="4268">
        <v>45483</v>
      </c>
      <c r="I13" s="4268">
        <v>46212</v>
      </c>
      <c r="J13" s="4265">
        <f t="shared" si="3"/>
        <v>730</v>
      </c>
      <c r="K13" s="4269">
        <f t="shared" si="2"/>
        <v>4.5005479452054793</v>
      </c>
      <c r="L13" s="4270">
        <v>3.58</v>
      </c>
      <c r="M13" s="4265">
        <v>28</v>
      </c>
      <c r="N13" s="4268"/>
      <c r="O13" s="4265"/>
      <c r="P13" s="4270"/>
      <c r="Q13" s="4227">
        <f t="shared" si="0"/>
        <v>2133.2597260273974</v>
      </c>
      <c r="R13" s="4227">
        <f t="shared" si="1"/>
        <v>1696.92</v>
      </c>
    </row>
    <row r="14" spans="1:18" s="4227" customFormat="1" ht="18.600000000000001" customHeight="1">
      <c r="A14" s="4264">
        <v>11</v>
      </c>
      <c r="B14" s="4265">
        <v>2</v>
      </c>
      <c r="C14" s="4273" t="s">
        <v>4110</v>
      </c>
      <c r="D14" s="4265" t="s">
        <v>4111</v>
      </c>
      <c r="E14" s="4265" t="s">
        <v>4097</v>
      </c>
      <c r="F14" s="4265" t="s">
        <v>19</v>
      </c>
      <c r="G14" s="4267">
        <v>400</v>
      </c>
      <c r="H14" s="4268">
        <v>45505</v>
      </c>
      <c r="I14" s="4268">
        <v>46234</v>
      </c>
      <c r="J14" s="4265">
        <f t="shared" si="3"/>
        <v>730</v>
      </c>
      <c r="K14" s="4269">
        <f t="shared" si="2"/>
        <v>3.8005479452054791</v>
      </c>
      <c r="L14" s="4270">
        <v>2.88</v>
      </c>
      <c r="M14" s="4265">
        <v>28</v>
      </c>
      <c r="N14" s="4268"/>
      <c r="O14" s="4265"/>
      <c r="P14" s="4270"/>
      <c r="Q14" s="4227">
        <f t="shared" si="0"/>
        <v>1520.2191780821915</v>
      </c>
      <c r="R14" s="4227">
        <f t="shared" si="1"/>
        <v>1152</v>
      </c>
    </row>
    <row r="15" spans="1:18" s="4227" customFormat="1" ht="18.600000000000001" customHeight="1">
      <c r="A15" s="4264">
        <v>12</v>
      </c>
      <c r="B15" s="4265">
        <v>2</v>
      </c>
      <c r="C15" s="4273" t="s">
        <v>4112</v>
      </c>
      <c r="D15" s="4265" t="s">
        <v>4113</v>
      </c>
      <c r="E15" s="4265" t="s">
        <v>4097</v>
      </c>
      <c r="F15" s="4265" t="s">
        <v>19</v>
      </c>
      <c r="G15" s="4267">
        <v>248.14</v>
      </c>
      <c r="H15" s="4268">
        <v>45505</v>
      </c>
      <c r="I15" s="4268">
        <v>46234</v>
      </c>
      <c r="J15" s="4265">
        <f t="shared" si="3"/>
        <v>730</v>
      </c>
      <c r="K15" s="4269">
        <f t="shared" si="2"/>
        <v>3.8005479452054791</v>
      </c>
      <c r="L15" s="4270">
        <v>2.88</v>
      </c>
      <c r="M15" s="4265">
        <v>28</v>
      </c>
      <c r="N15" s="4268"/>
      <c r="O15" s="4265"/>
      <c r="P15" s="4270"/>
      <c r="Q15" s="4227">
        <f t="shared" si="0"/>
        <v>943.06796712328753</v>
      </c>
      <c r="R15" s="4227">
        <f t="shared" si="1"/>
        <v>714.64319999999998</v>
      </c>
    </row>
    <row r="16" spans="1:18" s="4227" customFormat="1" ht="18.600000000000001" customHeight="1">
      <c r="A16" s="4264">
        <v>13</v>
      </c>
      <c r="B16" s="4265">
        <v>2</v>
      </c>
      <c r="C16" s="4273">
        <v>803</v>
      </c>
      <c r="D16" s="4265" t="s">
        <v>4114</v>
      </c>
      <c r="E16" s="4265" t="s">
        <v>4057</v>
      </c>
      <c r="F16" s="4265" t="s">
        <v>19</v>
      </c>
      <c r="G16" s="4267">
        <v>235</v>
      </c>
      <c r="H16" s="4268">
        <v>45659</v>
      </c>
      <c r="I16" s="4268">
        <v>46388</v>
      </c>
      <c r="J16" s="4265">
        <f t="shared" si="3"/>
        <v>730</v>
      </c>
      <c r="K16" s="4269">
        <f t="shared" si="2"/>
        <v>3.9005479452054796</v>
      </c>
      <c r="L16" s="4270">
        <v>2.98</v>
      </c>
      <c r="M16" s="4265">
        <v>28</v>
      </c>
      <c r="N16" s="4268"/>
      <c r="O16" s="4271"/>
      <c r="P16" s="4270"/>
      <c r="Q16" s="4227">
        <f t="shared" si="0"/>
        <v>916.62876712328773</v>
      </c>
      <c r="R16" s="4227">
        <f t="shared" si="1"/>
        <v>700.3</v>
      </c>
    </row>
    <row r="17" spans="1:18" s="4227" customFormat="1" ht="18.600000000000001" customHeight="1">
      <c r="A17" s="4264">
        <v>14</v>
      </c>
      <c r="B17" s="4265">
        <v>2</v>
      </c>
      <c r="C17" s="4273">
        <v>901</v>
      </c>
      <c r="D17" s="4265" t="s">
        <v>4115</v>
      </c>
      <c r="E17" s="4265" t="s">
        <v>4057</v>
      </c>
      <c r="F17" s="4265" t="s">
        <v>19</v>
      </c>
      <c r="G17" s="4267">
        <v>664</v>
      </c>
      <c r="H17" s="4268">
        <v>45708</v>
      </c>
      <c r="I17" s="4268">
        <v>46740</v>
      </c>
      <c r="J17" s="4265">
        <f t="shared" si="3"/>
        <v>1033</v>
      </c>
      <c r="K17" s="4269">
        <f t="shared" si="2"/>
        <v>3.9005479452054796</v>
      </c>
      <c r="L17" s="4270">
        <v>2.98</v>
      </c>
      <c r="M17" s="4265">
        <v>28</v>
      </c>
      <c r="N17" s="4268"/>
      <c r="O17" s="4271"/>
      <c r="P17" s="4270"/>
      <c r="Q17" s="4227">
        <f t="shared" si="0"/>
        <v>2589.9638356164387</v>
      </c>
      <c r="R17" s="4227">
        <f t="shared" si="1"/>
        <v>1978.72</v>
      </c>
    </row>
    <row r="18" spans="1:18" s="4227" customFormat="1" ht="18.600000000000001" customHeight="1">
      <c r="A18" s="4264">
        <v>15</v>
      </c>
      <c r="B18" s="4265">
        <v>2</v>
      </c>
      <c r="C18" s="4266">
        <v>902</v>
      </c>
      <c r="D18" s="4265" t="s">
        <v>4116</v>
      </c>
      <c r="E18" s="4265" t="s">
        <v>4117</v>
      </c>
      <c r="F18" s="4265" t="s">
        <v>19</v>
      </c>
      <c r="G18" s="4267">
        <v>648.14</v>
      </c>
      <c r="H18" s="4268">
        <v>45916</v>
      </c>
      <c r="I18" s="4268">
        <v>47011</v>
      </c>
      <c r="J18" s="4265">
        <f t="shared" si="3"/>
        <v>1096</v>
      </c>
      <c r="K18" s="4269">
        <f t="shared" si="2"/>
        <v>3.6005479452054798</v>
      </c>
      <c r="L18" s="4267">
        <v>2.68</v>
      </c>
      <c r="M18" s="4265">
        <v>28</v>
      </c>
      <c r="N18" s="4268">
        <v>46646</v>
      </c>
      <c r="O18" s="4271">
        <v>0.06</v>
      </c>
      <c r="P18" s="4270">
        <f>+L18*(1+O18)</f>
        <v>2.8408000000000002</v>
      </c>
      <c r="Q18" s="4227">
        <f t="shared" si="0"/>
        <v>2333.6591452054795</v>
      </c>
      <c r="R18" s="4227">
        <f t="shared" si="1"/>
        <v>1737.0152</v>
      </c>
    </row>
    <row r="19" spans="1:18" s="4227" customFormat="1" ht="18.600000000000001" customHeight="1">
      <c r="A19" s="4264">
        <v>16</v>
      </c>
      <c r="B19" s="4265">
        <v>2</v>
      </c>
      <c r="C19" s="4273">
        <v>1001</v>
      </c>
      <c r="D19" s="4265" t="s">
        <v>4118</v>
      </c>
      <c r="E19" s="4265" t="s">
        <v>4117</v>
      </c>
      <c r="F19" s="4265" t="s">
        <v>19</v>
      </c>
      <c r="G19" s="4267">
        <v>709</v>
      </c>
      <c r="H19" s="4268">
        <v>45662</v>
      </c>
      <c r="I19" s="4268">
        <v>46026</v>
      </c>
      <c r="J19" s="4265">
        <f t="shared" si="3"/>
        <v>365</v>
      </c>
      <c r="K19" s="4269">
        <f t="shared" si="2"/>
        <v>5.5205479452054789</v>
      </c>
      <c r="L19" s="4270">
        <v>4.5999999999999996</v>
      </c>
      <c r="M19" s="4265">
        <v>28</v>
      </c>
      <c r="N19" s="4268"/>
      <c r="O19" s="4265"/>
      <c r="P19" s="4270"/>
      <c r="Q19" s="4227">
        <f t="shared" si="0"/>
        <v>3914.0684931506844</v>
      </c>
      <c r="R19" s="4227">
        <f t="shared" si="1"/>
        <v>3261.3999999999996</v>
      </c>
    </row>
    <row r="20" spans="1:18" s="4227" customFormat="1" ht="18.600000000000001" customHeight="1">
      <c r="A20" s="4264">
        <v>17</v>
      </c>
      <c r="B20" s="4265">
        <v>2</v>
      </c>
      <c r="C20" s="4266">
        <v>1002</v>
      </c>
      <c r="D20" s="4265" t="s">
        <v>4063</v>
      </c>
      <c r="E20" s="4265"/>
      <c r="F20" s="4265"/>
      <c r="G20" s="4267">
        <v>613.11</v>
      </c>
      <c r="H20" s="4268"/>
      <c r="I20" s="4268"/>
      <c r="J20" s="4265"/>
      <c r="K20" s="4267"/>
      <c r="L20" s="4270"/>
      <c r="M20" s="4265"/>
      <c r="N20" s="4268"/>
      <c r="O20" s="4265"/>
      <c r="P20" s="4270"/>
      <c r="R20" s="4227">
        <f t="shared" si="1"/>
        <v>0</v>
      </c>
    </row>
    <row r="21" spans="1:18" s="4227" customFormat="1" ht="18.600000000000001" customHeight="1">
      <c r="A21" s="4264">
        <v>18</v>
      </c>
      <c r="B21" s="4265">
        <v>2</v>
      </c>
      <c r="C21" s="4266">
        <v>1101</v>
      </c>
      <c r="D21" s="4274" t="s">
        <v>4063</v>
      </c>
      <c r="E21" s="4274"/>
      <c r="F21" s="4265"/>
      <c r="G21" s="4267">
        <v>220</v>
      </c>
      <c r="H21" s="4268"/>
      <c r="I21" s="4268"/>
      <c r="J21" s="4265"/>
      <c r="K21" s="4267"/>
      <c r="L21" s="4270"/>
      <c r="M21" s="4265"/>
      <c r="N21" s="4268"/>
      <c r="O21" s="4265"/>
      <c r="P21" s="4270"/>
      <c r="R21" s="4227">
        <f t="shared" si="1"/>
        <v>0</v>
      </c>
    </row>
    <row r="22" spans="1:18" s="4227" customFormat="1" ht="18.600000000000001" customHeight="1">
      <c r="A22" s="4264">
        <v>19</v>
      </c>
      <c r="B22" s="4265">
        <v>2</v>
      </c>
      <c r="C22" s="4273">
        <v>1102</v>
      </c>
      <c r="D22" s="4265" t="s">
        <v>4119</v>
      </c>
      <c r="E22" s="4265" t="s">
        <v>4120</v>
      </c>
      <c r="F22" s="4265" t="s">
        <v>19</v>
      </c>
      <c r="G22" s="4267">
        <v>166</v>
      </c>
      <c r="H22" s="4268">
        <v>45687</v>
      </c>
      <c r="I22" s="4268">
        <v>46781</v>
      </c>
      <c r="J22" s="4265">
        <f t="shared" ref="J22:J25" si="5">I22-H22+1</f>
        <v>1095</v>
      </c>
      <c r="K22" s="4269">
        <f t="shared" ref="K22:K40" si="6">L22+M22*12/365</f>
        <v>4.5005479452054793</v>
      </c>
      <c r="L22" s="4270">
        <v>3.58</v>
      </c>
      <c r="M22" s="4265">
        <v>28</v>
      </c>
      <c r="N22" s="4268">
        <v>46417</v>
      </c>
      <c r="O22" s="4271">
        <v>0.06</v>
      </c>
      <c r="P22" s="4270">
        <f t="shared" ref="P22:P24" si="7">+L22*(1+O22)</f>
        <v>3.7948000000000004</v>
      </c>
      <c r="Q22" s="4227">
        <f t="shared" ref="Q22:Q25" si="8">K22*G22</f>
        <v>747.09095890410958</v>
      </c>
      <c r="R22" s="4227">
        <f t="shared" si="1"/>
        <v>594.28</v>
      </c>
    </row>
    <row r="23" spans="1:18" s="4227" customFormat="1" ht="18.600000000000001" customHeight="1">
      <c r="A23" s="4264">
        <v>20</v>
      </c>
      <c r="B23" s="4265">
        <v>2</v>
      </c>
      <c r="C23" s="4266">
        <v>1103</v>
      </c>
      <c r="D23" s="4265" t="s">
        <v>4121</v>
      </c>
      <c r="E23" s="4265" t="s">
        <v>4074</v>
      </c>
      <c r="F23" s="4265" t="s">
        <v>19</v>
      </c>
      <c r="G23" s="4267">
        <v>120</v>
      </c>
      <c r="H23" s="4268">
        <v>45613</v>
      </c>
      <c r="I23" s="4268">
        <v>46342</v>
      </c>
      <c r="J23" s="4265">
        <f t="shared" si="5"/>
        <v>730</v>
      </c>
      <c r="K23" s="4269">
        <f t="shared" si="6"/>
        <v>4.5005479452054793</v>
      </c>
      <c r="L23" s="4270">
        <v>3.58</v>
      </c>
      <c r="M23" s="4265">
        <v>28</v>
      </c>
      <c r="N23" s="4268"/>
      <c r="O23" s="4265"/>
      <c r="P23" s="4270"/>
      <c r="Q23" s="4227">
        <f t="shared" si="8"/>
        <v>540.06575342465749</v>
      </c>
      <c r="R23" s="4227">
        <f t="shared" si="1"/>
        <v>429.6</v>
      </c>
    </row>
    <row r="24" spans="1:18" s="4227" customFormat="1" ht="18.600000000000001" customHeight="1">
      <c r="A24" s="4264">
        <v>21</v>
      </c>
      <c r="B24" s="4265">
        <v>2</v>
      </c>
      <c r="C24" s="4273">
        <v>1105</v>
      </c>
      <c r="D24" s="4265" t="s">
        <v>4122</v>
      </c>
      <c r="E24" s="4265" t="s">
        <v>4059</v>
      </c>
      <c r="F24" s="4265" t="s">
        <v>19</v>
      </c>
      <c r="G24" s="4267">
        <v>150</v>
      </c>
      <c r="H24" s="4268">
        <v>45687</v>
      </c>
      <c r="I24" s="4268">
        <v>46781</v>
      </c>
      <c r="J24" s="4265">
        <f t="shared" si="5"/>
        <v>1095</v>
      </c>
      <c r="K24" s="4269">
        <f t="shared" si="6"/>
        <v>4.5005479452054793</v>
      </c>
      <c r="L24" s="4270">
        <v>3.58</v>
      </c>
      <c r="M24" s="4265">
        <v>28</v>
      </c>
      <c r="N24" s="4268">
        <v>46417</v>
      </c>
      <c r="O24" s="4271">
        <v>0.06</v>
      </c>
      <c r="P24" s="4270">
        <f t="shared" si="7"/>
        <v>3.7948000000000004</v>
      </c>
      <c r="Q24" s="4227">
        <f t="shared" si="8"/>
        <v>675.08219178082186</v>
      </c>
      <c r="R24" s="4227">
        <f t="shared" si="1"/>
        <v>537</v>
      </c>
    </row>
    <row r="25" spans="1:18" s="4227" customFormat="1" ht="18.600000000000001" customHeight="1">
      <c r="A25" s="4264">
        <v>22</v>
      </c>
      <c r="B25" s="4265">
        <v>2</v>
      </c>
      <c r="C25" s="4266">
        <v>1106</v>
      </c>
      <c r="D25" s="4265" t="s">
        <v>4104</v>
      </c>
      <c r="E25" s="4265" t="s">
        <v>4059</v>
      </c>
      <c r="F25" s="4265" t="s">
        <v>19</v>
      </c>
      <c r="G25" s="4267">
        <v>150</v>
      </c>
      <c r="H25" s="4268">
        <v>45826</v>
      </c>
      <c r="I25" s="4268">
        <v>46738</v>
      </c>
      <c r="J25" s="4265">
        <f t="shared" si="5"/>
        <v>913</v>
      </c>
      <c r="K25" s="4269">
        <f t="shared" si="6"/>
        <v>4.1405479452054799</v>
      </c>
      <c r="L25" s="4270">
        <f>3.22</f>
        <v>3.22</v>
      </c>
      <c r="M25" s="4265">
        <f>28</f>
        <v>28</v>
      </c>
      <c r="N25" s="4268"/>
      <c r="O25" s="4271"/>
      <c r="P25" s="4270"/>
      <c r="Q25" s="4227">
        <f t="shared" si="8"/>
        <v>621.08219178082197</v>
      </c>
      <c r="R25" s="4227">
        <f t="shared" si="1"/>
        <v>483.00000000000006</v>
      </c>
    </row>
    <row r="26" spans="1:18" s="4227" customFormat="1" ht="18.600000000000001" customHeight="1">
      <c r="A26" s="4264">
        <v>23</v>
      </c>
      <c r="B26" s="4265">
        <v>2</v>
      </c>
      <c r="C26" s="4266">
        <v>1107</v>
      </c>
      <c r="D26" s="4265" t="s">
        <v>4063</v>
      </c>
      <c r="E26" s="4265"/>
      <c r="F26" s="4265"/>
      <c r="G26" s="4267">
        <v>220</v>
      </c>
      <c r="H26" s="4268"/>
      <c r="I26" s="4268"/>
      <c r="J26" s="4265"/>
      <c r="K26" s="4267"/>
      <c r="L26" s="4270"/>
      <c r="M26" s="4265"/>
      <c r="N26" s="4268"/>
      <c r="O26" s="4265"/>
      <c r="P26" s="4270"/>
      <c r="R26" s="4227">
        <f t="shared" si="1"/>
        <v>0</v>
      </c>
    </row>
    <row r="27" spans="1:18" s="4227" customFormat="1" ht="18.600000000000001" customHeight="1">
      <c r="A27" s="4264">
        <v>24</v>
      </c>
      <c r="B27" s="4265">
        <v>2</v>
      </c>
      <c r="C27" s="4273">
        <v>1108</v>
      </c>
      <c r="D27" s="4265" t="s">
        <v>4123</v>
      </c>
      <c r="E27" s="4265" t="s">
        <v>4059</v>
      </c>
      <c r="F27" s="4265" t="s">
        <v>19</v>
      </c>
      <c r="G27" s="4267">
        <v>166</v>
      </c>
      <c r="H27" s="4268">
        <v>45937</v>
      </c>
      <c r="I27" s="4268">
        <v>46675</v>
      </c>
      <c r="J27" s="4265">
        <f t="shared" ref="J27:J40" si="9">I27-H27+1</f>
        <v>739</v>
      </c>
      <c r="K27" s="4269">
        <f t="shared" si="6"/>
        <v>4.0005479452054793</v>
      </c>
      <c r="L27" s="4270">
        <v>3.08</v>
      </c>
      <c r="M27" s="4265">
        <v>28</v>
      </c>
      <c r="N27" s="4268"/>
      <c r="O27" s="4265"/>
      <c r="P27" s="4270"/>
      <c r="Q27" s="4227">
        <f t="shared" ref="Q27:Q35" si="10">K27*G27</f>
        <v>664.09095890410958</v>
      </c>
      <c r="R27" s="4227">
        <f t="shared" si="1"/>
        <v>511.28000000000003</v>
      </c>
    </row>
    <row r="28" spans="1:18" s="4227" customFormat="1" ht="18.600000000000001" customHeight="1">
      <c r="A28" s="4264">
        <v>25</v>
      </c>
      <c r="B28" s="4265">
        <v>2</v>
      </c>
      <c r="C28" s="4266">
        <v>1109</v>
      </c>
      <c r="D28" s="4265" t="s">
        <v>4124</v>
      </c>
      <c r="E28" s="4265" t="s">
        <v>4057</v>
      </c>
      <c r="F28" s="4265" t="s">
        <v>19</v>
      </c>
      <c r="G28" s="4267">
        <v>120</v>
      </c>
      <c r="H28" s="4268">
        <v>45884</v>
      </c>
      <c r="I28" s="4268">
        <v>46979</v>
      </c>
      <c r="J28" s="4265">
        <v>1096</v>
      </c>
      <c r="K28" s="4269">
        <f t="shared" si="6"/>
        <v>3.9005479452054796</v>
      </c>
      <c r="L28" s="4270">
        <v>2.98</v>
      </c>
      <c r="M28" s="4265">
        <v>28</v>
      </c>
      <c r="N28" s="4268">
        <v>46614</v>
      </c>
      <c r="O28" s="4271">
        <v>0.06</v>
      </c>
      <c r="P28" s="4270">
        <f t="shared" ref="P28:P33" si="11">+L28*(1+O28)</f>
        <v>3.1588000000000003</v>
      </c>
      <c r="Q28" s="4227">
        <f t="shared" si="10"/>
        <v>468.06575342465754</v>
      </c>
      <c r="R28" s="4227">
        <f t="shared" si="1"/>
        <v>357.6</v>
      </c>
    </row>
    <row r="29" spans="1:18" s="4227" customFormat="1" ht="18.600000000000001" customHeight="1">
      <c r="A29" s="4264">
        <v>26</v>
      </c>
      <c r="B29" s="4265">
        <v>2</v>
      </c>
      <c r="C29" s="4273" t="s">
        <v>4125</v>
      </c>
      <c r="D29" s="4265" t="s">
        <v>4126</v>
      </c>
      <c r="E29" s="4265" t="s">
        <v>4055</v>
      </c>
      <c r="F29" s="4265" t="s">
        <v>19</v>
      </c>
      <c r="G29" s="4267">
        <v>1277.1099999999999</v>
      </c>
      <c r="H29" s="4268">
        <v>45848</v>
      </c>
      <c r="I29" s="4268">
        <v>46212</v>
      </c>
      <c r="J29" s="4265">
        <f t="shared" si="9"/>
        <v>365</v>
      </c>
      <c r="K29" s="4269">
        <f t="shared" si="6"/>
        <v>3.8005479452054791</v>
      </c>
      <c r="L29" s="4270">
        <f>2.88</f>
        <v>2.88</v>
      </c>
      <c r="M29" s="4265">
        <v>28</v>
      </c>
      <c r="N29" s="4268"/>
      <c r="O29" s="4265"/>
      <c r="P29" s="4270"/>
      <c r="Q29" s="4227">
        <f t="shared" si="10"/>
        <v>4853.7177863013694</v>
      </c>
      <c r="R29" s="4227">
        <f t="shared" si="1"/>
        <v>3678.0767999999994</v>
      </c>
    </row>
    <row r="30" spans="1:18" s="4227" customFormat="1" ht="18.600000000000001" customHeight="1">
      <c r="A30" s="4264">
        <v>27</v>
      </c>
      <c r="B30" s="4265">
        <v>2</v>
      </c>
      <c r="C30" s="4266">
        <v>1301</v>
      </c>
      <c r="D30" s="4265" t="s">
        <v>4127</v>
      </c>
      <c r="E30" s="4265" t="s">
        <v>4048</v>
      </c>
      <c r="F30" s="4265" t="s">
        <v>19</v>
      </c>
      <c r="G30" s="4267">
        <v>400</v>
      </c>
      <c r="H30" s="4268">
        <v>45560</v>
      </c>
      <c r="I30" s="4268">
        <v>46654</v>
      </c>
      <c r="J30" s="4265">
        <f t="shared" si="9"/>
        <v>1095</v>
      </c>
      <c r="K30" s="4269">
        <f t="shared" si="6"/>
        <v>3.9005479452054796</v>
      </c>
      <c r="L30" s="4270">
        <v>2.98</v>
      </c>
      <c r="M30" s="4265">
        <v>28</v>
      </c>
      <c r="N30" s="4268">
        <v>46290</v>
      </c>
      <c r="O30" s="4271">
        <v>0.06</v>
      </c>
      <c r="P30" s="4270">
        <f t="shared" si="11"/>
        <v>3.1588000000000003</v>
      </c>
      <c r="Q30" s="4227">
        <f t="shared" si="10"/>
        <v>1560.2191780821918</v>
      </c>
      <c r="R30" s="4227">
        <f t="shared" si="1"/>
        <v>1192</v>
      </c>
    </row>
    <row r="31" spans="1:18" s="4227" customFormat="1" ht="18.600000000000001" customHeight="1">
      <c r="A31" s="4264">
        <v>28</v>
      </c>
      <c r="B31" s="4265">
        <v>2</v>
      </c>
      <c r="C31" s="4266">
        <v>1302</v>
      </c>
      <c r="D31" s="4265" t="s">
        <v>4128</v>
      </c>
      <c r="E31" s="4265" t="s">
        <v>4074</v>
      </c>
      <c r="F31" s="4265" t="s">
        <v>19</v>
      </c>
      <c r="G31" s="4267">
        <v>400</v>
      </c>
      <c r="H31" s="4268">
        <v>45560</v>
      </c>
      <c r="I31" s="4268">
        <v>46654</v>
      </c>
      <c r="J31" s="4265">
        <f t="shared" si="9"/>
        <v>1095</v>
      </c>
      <c r="K31" s="4269">
        <f t="shared" si="6"/>
        <v>3.9005479452054796</v>
      </c>
      <c r="L31" s="4270">
        <v>2.98</v>
      </c>
      <c r="M31" s="4265">
        <v>28</v>
      </c>
      <c r="N31" s="4268">
        <v>46290</v>
      </c>
      <c r="O31" s="4271">
        <v>0.06</v>
      </c>
      <c r="P31" s="4270">
        <f t="shared" si="11"/>
        <v>3.1588000000000003</v>
      </c>
      <c r="Q31" s="4227">
        <f t="shared" si="10"/>
        <v>1560.2191780821918</v>
      </c>
      <c r="R31" s="4227">
        <f t="shared" si="1"/>
        <v>1192</v>
      </c>
    </row>
    <row r="32" spans="1:18" s="4227" customFormat="1" ht="18.600000000000001" customHeight="1">
      <c r="A32" s="4264">
        <v>29</v>
      </c>
      <c r="B32" s="4265">
        <v>2</v>
      </c>
      <c r="C32" s="4266">
        <v>1303</v>
      </c>
      <c r="D32" s="4265" t="s">
        <v>4129</v>
      </c>
      <c r="E32" s="4265" t="s">
        <v>4048</v>
      </c>
      <c r="F32" s="4265" t="s">
        <v>19</v>
      </c>
      <c r="G32" s="4267">
        <v>300</v>
      </c>
      <c r="H32" s="4268">
        <v>45560</v>
      </c>
      <c r="I32" s="4268">
        <v>46654</v>
      </c>
      <c r="J32" s="4265">
        <f t="shared" si="9"/>
        <v>1095</v>
      </c>
      <c r="K32" s="4269">
        <f t="shared" si="6"/>
        <v>3.9005479452054796</v>
      </c>
      <c r="L32" s="4270">
        <v>2.98</v>
      </c>
      <c r="M32" s="4265">
        <v>28</v>
      </c>
      <c r="N32" s="4268">
        <v>46290</v>
      </c>
      <c r="O32" s="4271">
        <v>0.06</v>
      </c>
      <c r="P32" s="4270">
        <f t="shared" si="11"/>
        <v>3.1588000000000003</v>
      </c>
      <c r="Q32" s="4227">
        <f t="shared" si="10"/>
        <v>1170.1643835616439</v>
      </c>
      <c r="R32" s="4227">
        <f t="shared" si="1"/>
        <v>894</v>
      </c>
    </row>
    <row r="33" spans="1:18" s="4227" customFormat="1" ht="18.600000000000001" customHeight="1">
      <c r="A33" s="4264">
        <v>30</v>
      </c>
      <c r="B33" s="4265">
        <v>2</v>
      </c>
      <c r="C33" s="4266">
        <v>1304</v>
      </c>
      <c r="D33" s="4265" t="s">
        <v>4130</v>
      </c>
      <c r="E33" s="4265" t="s">
        <v>4074</v>
      </c>
      <c r="F33" s="4265" t="s">
        <v>19</v>
      </c>
      <c r="G33" s="4267">
        <v>257.14</v>
      </c>
      <c r="H33" s="4268">
        <v>45560</v>
      </c>
      <c r="I33" s="4268">
        <v>46654</v>
      </c>
      <c r="J33" s="4265">
        <f t="shared" si="9"/>
        <v>1095</v>
      </c>
      <c r="K33" s="4269">
        <f t="shared" si="6"/>
        <v>3.9005479452054796</v>
      </c>
      <c r="L33" s="4270">
        <v>2.98</v>
      </c>
      <c r="M33" s="4265">
        <v>28</v>
      </c>
      <c r="N33" s="4268">
        <v>46290</v>
      </c>
      <c r="O33" s="4271">
        <v>0.06</v>
      </c>
      <c r="P33" s="4270">
        <f t="shared" si="11"/>
        <v>3.1588000000000003</v>
      </c>
      <c r="Q33" s="4227">
        <f t="shared" si="10"/>
        <v>1002.986898630137</v>
      </c>
      <c r="R33" s="4227">
        <f t="shared" si="1"/>
        <v>766.27719999999999</v>
      </c>
    </row>
    <row r="34" spans="1:18" s="4227" customFormat="1" ht="18.600000000000001" customHeight="1">
      <c r="A34" s="4264">
        <v>31</v>
      </c>
      <c r="B34" s="4265">
        <v>2</v>
      </c>
      <c r="C34" s="4273">
        <v>1401</v>
      </c>
      <c r="D34" s="4265" t="s">
        <v>4131</v>
      </c>
      <c r="E34" s="4265" t="s">
        <v>4059</v>
      </c>
      <c r="F34" s="4265" t="s">
        <v>19</v>
      </c>
      <c r="G34" s="4267">
        <v>883.14</v>
      </c>
      <c r="H34" s="4268">
        <v>45550</v>
      </c>
      <c r="I34" s="4268">
        <v>46279</v>
      </c>
      <c r="J34" s="4265">
        <f t="shared" si="9"/>
        <v>730</v>
      </c>
      <c r="K34" s="4269">
        <f t="shared" si="6"/>
        <v>4.7005479452054795</v>
      </c>
      <c r="L34" s="4270">
        <v>3.78</v>
      </c>
      <c r="M34" s="4265">
        <v>28</v>
      </c>
      <c r="N34" s="4268"/>
      <c r="O34" s="4265"/>
      <c r="P34" s="4270"/>
      <c r="Q34" s="4227">
        <f t="shared" si="10"/>
        <v>4151.2419123287673</v>
      </c>
      <c r="R34" s="4227">
        <f t="shared" si="1"/>
        <v>3338.2691999999997</v>
      </c>
    </row>
    <row r="35" spans="1:18" s="4227" customFormat="1" ht="18.600000000000001" customHeight="1">
      <c r="A35" s="4264">
        <v>32</v>
      </c>
      <c r="B35" s="4265">
        <v>2</v>
      </c>
      <c r="C35" s="4266">
        <v>1402</v>
      </c>
      <c r="D35" s="4265" t="s">
        <v>4132</v>
      </c>
      <c r="E35" s="4265" t="s">
        <v>4059</v>
      </c>
      <c r="F35" s="4265" t="s">
        <v>19</v>
      </c>
      <c r="G35" s="4267">
        <v>474</v>
      </c>
      <c r="H35" s="4268">
        <v>45636</v>
      </c>
      <c r="I35" s="4268">
        <v>46365</v>
      </c>
      <c r="J35" s="4265">
        <f t="shared" si="9"/>
        <v>730</v>
      </c>
      <c r="K35" s="4269">
        <f t="shared" si="6"/>
        <v>4.8005479452054791</v>
      </c>
      <c r="L35" s="4270">
        <v>3.88</v>
      </c>
      <c r="M35" s="4265">
        <v>28</v>
      </c>
      <c r="N35" s="4268"/>
      <c r="O35" s="4265"/>
      <c r="P35" s="4270"/>
      <c r="Q35" s="4227">
        <f t="shared" si="10"/>
        <v>2275.4597260273972</v>
      </c>
      <c r="R35" s="4227">
        <f t="shared" si="1"/>
        <v>1839.12</v>
      </c>
    </row>
    <row r="36" spans="1:18" s="4227" customFormat="1" ht="18.600000000000001" customHeight="1">
      <c r="A36" s="4264">
        <v>33</v>
      </c>
      <c r="B36" s="4265">
        <v>2</v>
      </c>
      <c r="C36" s="4266">
        <v>1501</v>
      </c>
      <c r="D36" s="4265" t="s">
        <v>4063</v>
      </c>
      <c r="E36" s="4265"/>
      <c r="F36" s="4265" t="s">
        <v>19</v>
      </c>
      <c r="G36" s="4267">
        <v>474</v>
      </c>
      <c r="H36" s="4268"/>
      <c r="I36" s="4268"/>
      <c r="J36" s="4265"/>
      <c r="K36" s="4269"/>
      <c r="L36" s="4270"/>
      <c r="M36" s="4265"/>
      <c r="N36" s="4268"/>
      <c r="O36" s="4265"/>
      <c r="P36" s="4270"/>
      <c r="R36" s="4227">
        <f t="shared" si="1"/>
        <v>0</v>
      </c>
    </row>
    <row r="37" spans="1:18" s="4227" customFormat="1" ht="18.600000000000001" customHeight="1">
      <c r="A37" s="4264">
        <v>34</v>
      </c>
      <c r="B37" s="4265">
        <v>2</v>
      </c>
      <c r="C37" s="4266">
        <v>1502</v>
      </c>
      <c r="D37" s="4265" t="s">
        <v>4133</v>
      </c>
      <c r="E37" s="4265" t="s">
        <v>4057</v>
      </c>
      <c r="F37" s="4265" t="s">
        <v>19</v>
      </c>
      <c r="G37" s="4267">
        <v>838</v>
      </c>
      <c r="H37" s="4268">
        <v>45802</v>
      </c>
      <c r="I37" s="4268">
        <v>46897</v>
      </c>
      <c r="J37" s="4265">
        <f t="shared" si="9"/>
        <v>1096</v>
      </c>
      <c r="K37" s="4269">
        <f t="shared" si="6"/>
        <v>4.5005479452054793</v>
      </c>
      <c r="L37" s="4267">
        <v>3.58</v>
      </c>
      <c r="M37" s="4265">
        <v>28</v>
      </c>
      <c r="N37" s="4268">
        <v>46532</v>
      </c>
      <c r="O37" s="4271">
        <v>0.06</v>
      </c>
      <c r="P37" s="4270">
        <f t="shared" ref="P37:P40" si="12">+L37*(1+O37)</f>
        <v>3.7948000000000004</v>
      </c>
      <c r="Q37" s="4227">
        <f t="shared" ref="Q37:Q40" si="13">K37*G37</f>
        <v>3771.4591780821916</v>
      </c>
      <c r="R37" s="4227">
        <f t="shared" si="1"/>
        <v>3000.04</v>
      </c>
    </row>
    <row r="38" spans="1:18" s="4227" customFormat="1" ht="18.600000000000001" customHeight="1">
      <c r="A38" s="4228">
        <v>35</v>
      </c>
      <c r="B38" s="4229">
        <v>2</v>
      </c>
      <c r="C38" s="4230" t="s">
        <v>4134</v>
      </c>
      <c r="D38" s="4229" t="s">
        <v>4135</v>
      </c>
      <c r="E38" s="4229" t="s">
        <v>4059</v>
      </c>
      <c r="F38" s="4229" t="s">
        <v>19</v>
      </c>
      <c r="G38" s="4232">
        <v>1280.77</v>
      </c>
      <c r="H38" s="4233">
        <v>45992</v>
      </c>
      <c r="I38" s="4233">
        <v>47087</v>
      </c>
      <c r="J38" s="4229">
        <f t="shared" si="9"/>
        <v>1096</v>
      </c>
      <c r="K38" s="4234">
        <f t="shared" si="6"/>
        <v>5.5005479452054793</v>
      </c>
      <c r="L38" s="4235">
        <v>4.58</v>
      </c>
      <c r="M38" s="4229">
        <v>28</v>
      </c>
      <c r="N38" s="4233">
        <f>+H38+730</f>
        <v>46722</v>
      </c>
      <c r="O38" s="4236">
        <v>0.06</v>
      </c>
      <c r="P38" s="4235">
        <f t="shared" si="12"/>
        <v>4.8548</v>
      </c>
      <c r="Q38" s="4227">
        <f t="shared" si="13"/>
        <v>7044.9367917808213</v>
      </c>
      <c r="R38" s="4227">
        <f t="shared" si="1"/>
        <v>5865.9265999999998</v>
      </c>
    </row>
    <row r="39" spans="1:18" s="4227" customFormat="1" ht="18.600000000000001" customHeight="1">
      <c r="A39" s="4228">
        <v>36</v>
      </c>
      <c r="B39" s="4229">
        <v>2</v>
      </c>
      <c r="C39" s="4230" t="s">
        <v>4083</v>
      </c>
      <c r="D39" s="4229" t="s">
        <v>4135</v>
      </c>
      <c r="E39" s="4229" t="s">
        <v>4059</v>
      </c>
      <c r="F39" s="4229" t="s">
        <v>19</v>
      </c>
      <c r="G39" s="4232">
        <v>1217.4000000000001</v>
      </c>
      <c r="H39" s="4233">
        <v>45992</v>
      </c>
      <c r="I39" s="4233">
        <v>47087</v>
      </c>
      <c r="J39" s="4229">
        <f t="shared" si="9"/>
        <v>1096</v>
      </c>
      <c r="K39" s="4234">
        <f t="shared" si="6"/>
        <v>5.5005479452054793</v>
      </c>
      <c r="L39" s="4235">
        <v>4.58</v>
      </c>
      <c r="M39" s="4229">
        <v>28</v>
      </c>
      <c r="N39" s="4233">
        <f>+H39+730</f>
        <v>46722</v>
      </c>
      <c r="O39" s="4236">
        <v>0.06</v>
      </c>
      <c r="P39" s="4235">
        <f t="shared" si="12"/>
        <v>4.8548</v>
      </c>
      <c r="Q39" s="4227">
        <f t="shared" si="13"/>
        <v>6696.3670684931512</v>
      </c>
      <c r="R39" s="4227">
        <f t="shared" si="1"/>
        <v>5575.6920000000009</v>
      </c>
    </row>
    <row r="40" spans="1:18" s="4227" customFormat="1" ht="18.600000000000001" customHeight="1">
      <c r="A40" s="4228">
        <v>37</v>
      </c>
      <c r="B40" s="4229">
        <v>2</v>
      </c>
      <c r="C40" s="4230" t="s">
        <v>4086</v>
      </c>
      <c r="D40" s="4229" t="s">
        <v>4135</v>
      </c>
      <c r="E40" s="4229" t="s">
        <v>4059</v>
      </c>
      <c r="F40" s="4229" t="s">
        <v>19</v>
      </c>
      <c r="G40" s="4232">
        <v>982.11</v>
      </c>
      <c r="H40" s="4233">
        <v>45992</v>
      </c>
      <c r="I40" s="4233">
        <v>47087</v>
      </c>
      <c r="J40" s="4229">
        <f t="shared" si="9"/>
        <v>1096</v>
      </c>
      <c r="K40" s="4234">
        <f t="shared" si="6"/>
        <v>5.5005479452054793</v>
      </c>
      <c r="L40" s="4235">
        <v>4.58</v>
      </c>
      <c r="M40" s="4229">
        <v>28</v>
      </c>
      <c r="N40" s="4233">
        <f>+H40+730</f>
        <v>46722</v>
      </c>
      <c r="O40" s="4236">
        <v>0.06</v>
      </c>
      <c r="P40" s="4235">
        <f t="shared" si="12"/>
        <v>4.8548</v>
      </c>
      <c r="Q40" s="4227">
        <f t="shared" si="13"/>
        <v>5402.143142465753</v>
      </c>
      <c r="R40" s="4227">
        <f>L40*G40</f>
        <v>4498.0637999999999</v>
      </c>
    </row>
    <row r="41" spans="1:18" s="4227" customFormat="1" ht="18.600000000000001" customHeight="1">
      <c r="A41" s="4228"/>
      <c r="B41" s="4229"/>
      <c r="C41" s="4229"/>
      <c r="D41" s="4229"/>
      <c r="E41" s="4229"/>
      <c r="F41" s="4229"/>
      <c r="G41" s="4227">
        <f>SUM(G4:G40)-G20-G21-G26-G36</f>
        <v>19145.390000000003</v>
      </c>
      <c r="H41" s="4233"/>
      <c r="I41" s="4233"/>
      <c r="J41" s="4229"/>
      <c r="K41" s="4232">
        <f>Q41/G41</f>
        <v>4.5393140293646406</v>
      </c>
      <c r="L41" s="4235">
        <f>R41/G41</f>
        <v>3.6187660841591622</v>
      </c>
      <c r="M41" s="4229"/>
      <c r="N41" s="4233"/>
      <c r="O41" s="4236"/>
      <c r="P41" s="4235"/>
      <c r="Q41" s="4227">
        <f>SUM(Q4:Q40)-Q20-Q21-Q26-Q36</f>
        <v>86906.937424657517</v>
      </c>
      <c r="R41" s="4227">
        <f>SUM(R4:R40)</f>
        <v>69282.687999999995</v>
      </c>
    </row>
    <row r="42" spans="1:18" ht="18.600000000000001" customHeight="1">
      <c r="A42" s="4238"/>
      <c r="B42" s="4239"/>
      <c r="C42" s="4240"/>
      <c r="D42" s="4241" t="s">
        <v>4087</v>
      </c>
      <c r="E42" s="4275">
        <f>SUM(G4:G40)</f>
        <v>20672.500000000004</v>
      </c>
      <c r="F42" s="4275"/>
      <c r="G42" s="4276">
        <f>'1号楼'!G35</f>
        <v>19807.670000000002</v>
      </c>
      <c r="H42" s="4275"/>
      <c r="I42" s="4275"/>
      <c r="J42" s="4275"/>
      <c r="K42" s="4275"/>
      <c r="L42" s="4235"/>
      <c r="M42" s="4275"/>
      <c r="N42" s="4275"/>
      <c r="O42" s="4278"/>
      <c r="P42" s="4277"/>
      <c r="R42" s="4217">
        <f>'1号楼'!Q35</f>
        <v>61669.437699999995</v>
      </c>
    </row>
    <row r="43" spans="1:18" ht="18.600000000000001" customHeight="1">
      <c r="A43" s="4238"/>
      <c r="B43" s="4239"/>
      <c r="C43" s="4240"/>
      <c r="D43" s="4276" t="s">
        <v>4088</v>
      </c>
      <c r="E43" s="4275">
        <f>+SUMIF(F3:F40,"办公",G3:G40)</f>
        <v>19619.390000000003</v>
      </c>
      <c r="F43" s="4275"/>
      <c r="G43" s="4276">
        <f>G41+G42</f>
        <v>38953.060000000005</v>
      </c>
      <c r="H43" s="4276"/>
      <c r="I43" s="4276"/>
      <c r="J43" s="4275"/>
      <c r="K43" s="4275" t="s">
        <v>4298</v>
      </c>
      <c r="L43" s="4235">
        <f>R43/G43</f>
        <v>3.3617930324344218</v>
      </c>
      <c r="M43" s="4275"/>
      <c r="N43" s="4275"/>
      <c r="O43" s="4278"/>
      <c r="P43" s="4277"/>
      <c r="R43" s="4217">
        <f>R41+R42</f>
        <v>130952.12569999999</v>
      </c>
    </row>
    <row r="44" spans="1:18" ht="18.600000000000001" customHeight="1">
      <c r="A44" s="4238"/>
      <c r="B44" s="4239"/>
      <c r="C44" s="4240"/>
      <c r="D44" s="4276" t="s">
        <v>4092</v>
      </c>
      <c r="E44" s="4279">
        <f>(E43)/E42</f>
        <v>0.94905744346353849</v>
      </c>
      <c r="F44" s="4279"/>
      <c r="G44" s="4276"/>
      <c r="H44" s="4280"/>
      <c r="I44" s="4275"/>
      <c r="J44" s="4275"/>
      <c r="K44" s="4275" t="s">
        <v>4297</v>
      </c>
      <c r="L44" s="4277">
        <f>L43/1.09</f>
        <v>3.08421379122424</v>
      </c>
      <c r="M44" s="4275"/>
      <c r="N44" s="4275"/>
      <c r="O44" s="4278"/>
      <c r="P44" s="4277"/>
    </row>
    <row r="45" spans="1:18" ht="18.600000000000001" customHeight="1">
      <c r="A45" s="4245"/>
      <c r="B45" s="4246"/>
      <c r="C45" s="4247"/>
      <c r="D45" s="4281"/>
      <c r="E45" s="4282"/>
      <c r="F45" s="4282"/>
      <c r="G45" s="4281"/>
      <c r="H45" s="4283"/>
      <c r="I45" s="4283"/>
      <c r="J45" s="4283"/>
      <c r="K45" s="4283"/>
      <c r="L45" s="4284"/>
      <c r="M45" s="4283"/>
      <c r="N45" s="4283"/>
      <c r="O45" s="4285"/>
      <c r="P45" s="4284"/>
    </row>
    <row r="46" spans="1:18">
      <c r="A46" s="4286"/>
      <c r="B46" s="4258"/>
      <c r="C46" s="4258"/>
      <c r="O46" s="4287"/>
    </row>
    <row r="47" spans="1:18">
      <c r="A47" s="4286"/>
      <c r="B47" s="4258"/>
      <c r="C47" s="4258"/>
      <c r="E47" s="4259"/>
      <c r="F47" s="4259"/>
      <c r="M47" s="4217"/>
      <c r="O47" s="4287"/>
    </row>
    <row r="48" spans="1:18">
      <c r="A48" s="4258"/>
      <c r="B48" s="4258"/>
      <c r="C48" s="4258"/>
      <c r="M48" s="4217"/>
      <c r="O48" s="4287"/>
    </row>
    <row r="49" spans="1:15">
      <c r="A49" s="4258"/>
      <c r="B49" s="4258"/>
      <c r="C49" s="4258"/>
      <c r="M49" s="4217"/>
      <c r="O49" s="4287"/>
    </row>
    <row r="50" spans="1:15">
      <c r="A50" s="4258"/>
      <c r="B50" s="4258"/>
      <c r="C50" s="4258"/>
      <c r="M50" s="4217"/>
      <c r="O50" s="4287"/>
    </row>
    <row r="51" spans="1:15">
      <c r="A51" s="4258"/>
      <c r="B51" s="4258"/>
      <c r="C51" s="4258"/>
      <c r="F51" s="4656"/>
      <c r="M51" s="4217"/>
      <c r="O51" s="4287"/>
    </row>
    <row r="52" spans="1:15">
      <c r="A52" s="4258"/>
      <c r="B52" s="4258"/>
      <c r="C52" s="4258"/>
      <c r="F52" s="4656"/>
      <c r="M52" s="4217"/>
      <c r="O52" s="4287"/>
    </row>
    <row r="53" spans="1:15">
      <c r="A53" s="4258"/>
      <c r="B53" s="4258"/>
      <c r="C53" s="4258"/>
      <c r="E53" s="4260"/>
      <c r="F53" s="4261"/>
      <c r="O53" s="4287"/>
    </row>
    <row r="54" spans="1:15">
      <c r="A54" s="4258"/>
      <c r="B54" s="4258"/>
      <c r="C54" s="4258"/>
      <c r="D54" s="4262"/>
      <c r="O54" s="4287"/>
    </row>
    <row r="55" spans="1:15">
      <c r="A55" s="4258"/>
      <c r="B55" s="4258"/>
      <c r="C55" s="4258"/>
      <c r="O55" s="4287"/>
    </row>
    <row r="56" spans="1:15">
      <c r="A56" s="4258"/>
      <c r="B56" s="4258"/>
      <c r="C56" s="4258"/>
      <c r="O56" s="4287"/>
    </row>
    <row r="57" spans="1:15">
      <c r="A57" s="4258"/>
      <c r="B57" s="4258"/>
      <c r="C57" s="4258"/>
      <c r="O57" s="4287"/>
    </row>
    <row r="58" spans="1:15">
      <c r="A58" s="4258"/>
      <c r="B58" s="4258"/>
      <c r="C58" s="4258"/>
      <c r="O58" s="4287"/>
    </row>
    <row r="59" spans="1:15">
      <c r="A59" s="4258"/>
      <c r="B59" s="4258"/>
      <c r="C59" s="4258"/>
      <c r="O59" s="4287"/>
    </row>
    <row r="60" spans="1:15">
      <c r="A60" s="4258"/>
      <c r="B60" s="4258"/>
      <c r="C60" s="4258"/>
      <c r="O60" s="4287"/>
    </row>
    <row r="61" spans="1:15">
      <c r="A61" s="4258"/>
      <c r="B61" s="4258"/>
      <c r="C61" s="4258"/>
      <c r="O61" s="4287"/>
    </row>
    <row r="62" spans="1:15">
      <c r="A62" s="4258"/>
      <c r="B62" s="4258"/>
      <c r="C62" s="4258"/>
      <c r="O62" s="4287"/>
    </row>
    <row r="63" spans="1:15">
      <c r="A63" s="4258"/>
      <c r="B63" s="4258"/>
      <c r="C63" s="4258"/>
      <c r="O63" s="4287"/>
    </row>
    <row r="64" spans="1:15">
      <c r="A64" s="4258"/>
      <c r="B64" s="4258"/>
      <c r="C64" s="4258"/>
      <c r="O64" s="4287"/>
    </row>
    <row r="65" spans="1:15">
      <c r="A65" s="4258"/>
      <c r="B65" s="4258"/>
      <c r="C65" s="4258"/>
      <c r="O65" s="4287"/>
    </row>
    <row r="66" spans="1:15">
      <c r="A66" s="4258"/>
      <c r="B66" s="4258"/>
      <c r="C66" s="4258"/>
      <c r="O66" s="4287"/>
    </row>
    <row r="67" spans="1:15">
      <c r="A67" s="4258"/>
      <c r="B67" s="4258"/>
      <c r="C67" s="4258"/>
      <c r="O67" s="4287"/>
    </row>
    <row r="68" spans="1:15">
      <c r="A68" s="4258"/>
      <c r="B68" s="4258"/>
      <c r="C68" s="4258"/>
      <c r="O68" s="4287"/>
    </row>
    <row r="69" spans="1:15">
      <c r="A69" s="4258"/>
      <c r="B69" s="4258"/>
      <c r="C69" s="4258"/>
      <c r="O69" s="4287"/>
    </row>
    <row r="70" spans="1:15">
      <c r="A70" s="4258"/>
      <c r="B70" s="4258"/>
      <c r="C70" s="4258"/>
      <c r="O70" s="4287"/>
    </row>
    <row r="71" spans="1:15">
      <c r="A71" s="4258"/>
      <c r="B71" s="4258"/>
      <c r="C71" s="4258"/>
      <c r="O71" s="4287"/>
    </row>
    <row r="72" spans="1:15">
      <c r="A72" s="4258"/>
      <c r="B72" s="4258"/>
      <c r="C72" s="4258"/>
      <c r="O72" s="4287"/>
    </row>
    <row r="73" spans="1:15">
      <c r="A73" s="4258"/>
      <c r="B73" s="4258"/>
      <c r="C73" s="4258"/>
      <c r="O73" s="4287"/>
    </row>
    <row r="74" spans="1:15">
      <c r="A74" s="4258"/>
      <c r="B74" s="4258"/>
      <c r="C74" s="4258"/>
      <c r="O74" s="4287"/>
    </row>
    <row r="75" spans="1:15">
      <c r="A75" s="4258"/>
      <c r="B75" s="4258"/>
      <c r="C75" s="4258"/>
      <c r="O75" s="4287"/>
    </row>
    <row r="76" spans="1:15">
      <c r="A76" s="4258"/>
      <c r="B76" s="4258"/>
      <c r="C76" s="4258"/>
      <c r="O76" s="4287"/>
    </row>
    <row r="77" spans="1:15">
      <c r="A77" s="4258"/>
      <c r="B77" s="4258"/>
      <c r="C77" s="4258"/>
      <c r="O77" s="4287"/>
    </row>
    <row r="78" spans="1:15">
      <c r="A78" s="4258"/>
      <c r="B78" s="4258"/>
      <c r="C78" s="4258"/>
      <c r="O78" s="4287"/>
    </row>
    <row r="79" spans="1:15">
      <c r="A79" s="4258"/>
      <c r="B79" s="4258"/>
      <c r="C79" s="4258"/>
      <c r="O79" s="4287"/>
    </row>
    <row r="80" spans="1:15">
      <c r="A80" s="4258"/>
      <c r="B80" s="4258"/>
      <c r="C80" s="4258"/>
      <c r="O80" s="4287"/>
    </row>
    <row r="81" spans="1:15">
      <c r="A81" s="4258"/>
      <c r="B81" s="4258"/>
      <c r="C81" s="4258"/>
      <c r="O81" s="4287"/>
    </row>
    <row r="82" spans="1:15">
      <c r="A82" s="4258"/>
      <c r="B82" s="4258"/>
      <c r="C82" s="4258"/>
      <c r="O82" s="4287"/>
    </row>
    <row r="83" spans="1:15">
      <c r="A83" s="4258"/>
      <c r="B83" s="4258"/>
      <c r="C83" s="4258"/>
      <c r="O83" s="4287"/>
    </row>
    <row r="84" spans="1:15">
      <c r="A84" s="4258"/>
      <c r="B84" s="4258"/>
      <c r="C84" s="4258"/>
      <c r="O84" s="4287"/>
    </row>
    <row r="85" spans="1:15">
      <c r="A85" s="4258"/>
      <c r="B85" s="4258"/>
      <c r="C85" s="4258"/>
      <c r="O85" s="4287"/>
    </row>
    <row r="86" spans="1:15">
      <c r="A86" s="4258"/>
      <c r="B86" s="4258"/>
      <c r="C86" s="4258"/>
      <c r="O86" s="4287"/>
    </row>
    <row r="87" spans="1:15">
      <c r="A87" s="4258"/>
      <c r="B87" s="4258"/>
      <c r="C87" s="4258"/>
      <c r="O87" s="4287"/>
    </row>
    <row r="88" spans="1:15">
      <c r="A88" s="4258"/>
      <c r="B88" s="4258"/>
      <c r="C88" s="4258"/>
      <c r="O88" s="4287"/>
    </row>
    <row r="89" spans="1:15">
      <c r="A89" s="4258"/>
      <c r="B89" s="4258"/>
      <c r="C89" s="4258"/>
      <c r="O89" s="4287"/>
    </row>
    <row r="90" spans="1:15">
      <c r="A90" s="4258"/>
      <c r="B90" s="4258"/>
      <c r="C90" s="4258"/>
      <c r="O90" s="4287"/>
    </row>
    <row r="91" spans="1:15">
      <c r="A91" s="4258"/>
      <c r="B91" s="4258"/>
      <c r="C91" s="4258"/>
      <c r="O91" s="4287"/>
    </row>
    <row r="92" spans="1:15">
      <c r="A92" s="4258"/>
      <c r="B92" s="4258"/>
      <c r="C92" s="4258"/>
      <c r="O92" s="4287"/>
    </row>
    <row r="93" spans="1:15">
      <c r="A93" s="4258"/>
      <c r="B93" s="4258"/>
      <c r="C93" s="4258"/>
      <c r="O93" s="4287"/>
    </row>
    <row r="94" spans="1:15">
      <c r="A94" s="4258"/>
      <c r="B94" s="4258"/>
      <c r="C94" s="4258"/>
      <c r="O94" s="4287"/>
    </row>
    <row r="95" spans="1:15">
      <c r="A95" s="4258"/>
      <c r="B95" s="4258"/>
      <c r="C95" s="4258"/>
      <c r="O95" s="4287"/>
    </row>
    <row r="96" spans="1:15">
      <c r="A96" s="4258"/>
      <c r="B96" s="4258"/>
      <c r="C96" s="4258"/>
      <c r="O96" s="4287"/>
    </row>
    <row r="97" spans="1:15">
      <c r="A97" s="4258"/>
      <c r="B97" s="4258"/>
      <c r="C97" s="4258"/>
      <c r="O97" s="4287"/>
    </row>
    <row r="98" spans="1:15">
      <c r="A98" s="4258"/>
      <c r="B98" s="4258"/>
      <c r="C98" s="4258"/>
      <c r="O98" s="4287"/>
    </row>
    <row r="99" spans="1:15">
      <c r="A99" s="4258"/>
      <c r="B99" s="4258"/>
      <c r="C99" s="4258"/>
      <c r="O99" s="4287"/>
    </row>
    <row r="100" spans="1:15">
      <c r="A100" s="4258"/>
      <c r="B100" s="4258"/>
      <c r="C100" s="4258"/>
      <c r="O100" s="4287"/>
    </row>
    <row r="101" spans="1:15">
      <c r="A101" s="4258"/>
      <c r="B101" s="4258"/>
      <c r="C101" s="4258"/>
      <c r="O101" s="4287"/>
    </row>
    <row r="102" spans="1:15">
      <c r="A102" s="4258"/>
      <c r="B102" s="4258"/>
      <c r="C102" s="4258"/>
      <c r="O102" s="4287"/>
    </row>
    <row r="103" spans="1:15">
      <c r="A103" s="4258"/>
      <c r="B103" s="4258"/>
      <c r="C103" s="4258"/>
      <c r="O103" s="4287"/>
    </row>
    <row r="104" spans="1:15">
      <c r="A104" s="4258"/>
      <c r="B104" s="4258"/>
      <c r="C104" s="4258"/>
      <c r="O104" s="4287"/>
    </row>
    <row r="105" spans="1:15">
      <c r="A105" s="4258"/>
      <c r="B105" s="4258"/>
      <c r="C105" s="4258"/>
      <c r="O105" s="4287"/>
    </row>
    <row r="106" spans="1:15">
      <c r="A106" s="4258"/>
      <c r="B106" s="4258"/>
      <c r="C106" s="4258"/>
      <c r="O106" s="4287"/>
    </row>
    <row r="107" spans="1:15">
      <c r="A107" s="4258"/>
      <c r="B107" s="4258"/>
      <c r="C107" s="4258"/>
      <c r="O107" s="4287"/>
    </row>
    <row r="108" spans="1:15">
      <c r="A108" s="4258"/>
      <c r="B108" s="4258"/>
      <c r="C108" s="4258"/>
      <c r="O108" s="4287"/>
    </row>
    <row r="109" spans="1:15">
      <c r="A109" s="4258"/>
      <c r="B109" s="4258"/>
      <c r="C109" s="4258"/>
      <c r="O109" s="4287"/>
    </row>
    <row r="110" spans="1:15">
      <c r="A110" s="4258"/>
      <c r="B110" s="4258"/>
      <c r="C110" s="4258"/>
      <c r="O110" s="4287"/>
    </row>
    <row r="111" spans="1:15">
      <c r="A111" s="4258"/>
      <c r="B111" s="4258"/>
      <c r="C111" s="4258"/>
      <c r="O111" s="4287"/>
    </row>
    <row r="112" spans="1:15">
      <c r="A112" s="4258"/>
      <c r="B112" s="4258"/>
      <c r="C112" s="4258"/>
      <c r="O112" s="4287"/>
    </row>
    <row r="113" spans="1:15">
      <c r="A113" s="4258"/>
      <c r="B113" s="4258"/>
      <c r="C113" s="4258"/>
      <c r="O113" s="4287"/>
    </row>
    <row r="114" spans="1:15">
      <c r="A114" s="4258"/>
      <c r="B114" s="4258"/>
      <c r="C114" s="4258"/>
      <c r="O114" s="4287"/>
    </row>
    <row r="115" spans="1:15">
      <c r="A115" s="4258"/>
      <c r="B115" s="4258"/>
      <c r="C115" s="4258"/>
      <c r="O115" s="4287"/>
    </row>
    <row r="116" spans="1:15">
      <c r="A116" s="4258"/>
      <c r="B116" s="4258"/>
      <c r="C116" s="4258"/>
      <c r="O116" s="4287"/>
    </row>
    <row r="117" spans="1:15">
      <c r="A117" s="4258"/>
      <c r="B117" s="4258"/>
      <c r="C117" s="4258"/>
      <c r="O117" s="4287"/>
    </row>
    <row r="118" spans="1:15">
      <c r="A118" s="4258"/>
      <c r="B118" s="4258"/>
      <c r="C118" s="4258"/>
      <c r="O118" s="4287"/>
    </row>
    <row r="119" spans="1:15">
      <c r="A119" s="4258"/>
      <c r="B119" s="4258"/>
      <c r="C119" s="4258"/>
      <c r="O119" s="4287"/>
    </row>
    <row r="120" spans="1:15">
      <c r="A120" s="4258"/>
      <c r="B120" s="4258"/>
      <c r="C120" s="4258"/>
      <c r="O120" s="4287"/>
    </row>
    <row r="121" spans="1:15">
      <c r="A121" s="4258"/>
      <c r="B121" s="4258"/>
      <c r="C121" s="4258"/>
      <c r="O121" s="4287"/>
    </row>
    <row r="122" spans="1:15">
      <c r="A122" s="4258"/>
      <c r="B122" s="4258"/>
      <c r="C122" s="4258"/>
      <c r="O122" s="4287"/>
    </row>
    <row r="123" spans="1:15">
      <c r="A123" s="4258"/>
      <c r="B123" s="4258"/>
      <c r="C123" s="4258"/>
      <c r="O123" s="4287"/>
    </row>
    <row r="124" spans="1:15">
      <c r="A124" s="4258"/>
      <c r="B124" s="4258"/>
      <c r="C124" s="4258"/>
      <c r="O124" s="4287"/>
    </row>
    <row r="125" spans="1:15">
      <c r="A125" s="4258"/>
      <c r="B125" s="4258"/>
      <c r="C125" s="4258"/>
      <c r="O125" s="4287"/>
    </row>
    <row r="126" spans="1:15">
      <c r="A126" s="4258"/>
      <c r="B126" s="4258"/>
      <c r="C126" s="4258"/>
      <c r="O126" s="4287"/>
    </row>
    <row r="127" spans="1:15">
      <c r="A127" s="4258"/>
      <c r="B127" s="4258"/>
      <c r="C127" s="4258"/>
      <c r="O127" s="4287"/>
    </row>
    <row r="128" spans="1:15">
      <c r="A128" s="4258"/>
      <c r="B128" s="4258"/>
      <c r="C128" s="4258"/>
      <c r="O128" s="4287"/>
    </row>
    <row r="129" spans="1:15">
      <c r="A129" s="4258"/>
      <c r="B129" s="4258"/>
      <c r="C129" s="4258"/>
      <c r="O129" s="4287"/>
    </row>
    <row r="130" spans="1:15">
      <c r="A130" s="4258"/>
      <c r="B130" s="4258"/>
      <c r="C130" s="4258"/>
      <c r="O130" s="4287"/>
    </row>
    <row r="131" spans="1:15">
      <c r="A131" s="4258"/>
      <c r="B131" s="4258"/>
      <c r="C131" s="4258"/>
      <c r="O131" s="4287"/>
    </row>
    <row r="132" spans="1:15">
      <c r="A132" s="4258"/>
      <c r="B132" s="4258"/>
      <c r="C132" s="4258"/>
      <c r="O132" s="4287"/>
    </row>
    <row r="133" spans="1:15">
      <c r="A133" s="4258"/>
      <c r="B133" s="4258"/>
      <c r="C133" s="4258"/>
      <c r="O133" s="4287"/>
    </row>
    <row r="134" spans="1:15">
      <c r="A134" s="4258"/>
      <c r="B134" s="4258"/>
      <c r="C134" s="4258"/>
      <c r="O134" s="4287"/>
    </row>
    <row r="135" spans="1:15">
      <c r="A135" s="4258"/>
      <c r="B135" s="4258"/>
      <c r="C135" s="4258"/>
      <c r="O135" s="4287"/>
    </row>
    <row r="136" spans="1:15">
      <c r="A136" s="4258"/>
      <c r="B136" s="4258"/>
      <c r="C136" s="4258"/>
      <c r="O136" s="4287"/>
    </row>
    <row r="137" spans="1:15">
      <c r="A137" s="4258"/>
      <c r="B137" s="4258"/>
      <c r="C137" s="4258"/>
      <c r="O137" s="4287"/>
    </row>
    <row r="138" spans="1:15">
      <c r="A138" s="4258"/>
      <c r="B138" s="4258"/>
      <c r="C138" s="4258"/>
      <c r="O138" s="4287"/>
    </row>
    <row r="139" spans="1:15">
      <c r="A139" s="4258"/>
      <c r="B139" s="4258"/>
      <c r="C139" s="4258"/>
      <c r="O139" s="4287"/>
    </row>
    <row r="140" spans="1:15">
      <c r="A140" s="4258"/>
      <c r="B140" s="4258"/>
      <c r="C140" s="4258"/>
      <c r="O140" s="4287"/>
    </row>
    <row r="141" spans="1:15">
      <c r="A141" s="4258"/>
      <c r="B141" s="4258"/>
      <c r="C141" s="4258"/>
      <c r="O141" s="4287"/>
    </row>
    <row r="142" spans="1:15">
      <c r="A142" s="4258"/>
      <c r="B142" s="4258"/>
      <c r="C142" s="4258"/>
      <c r="O142" s="4287"/>
    </row>
    <row r="143" spans="1:15">
      <c r="A143" s="4258"/>
      <c r="B143" s="4258"/>
      <c r="C143" s="4258"/>
      <c r="O143" s="4287"/>
    </row>
    <row r="144" spans="1:15">
      <c r="A144" s="4258"/>
      <c r="B144" s="4258"/>
      <c r="C144" s="4258"/>
      <c r="O144" s="4287"/>
    </row>
    <row r="145" spans="1:15">
      <c r="A145" s="4258"/>
      <c r="B145" s="4258"/>
      <c r="C145" s="4258"/>
      <c r="O145" s="4287"/>
    </row>
    <row r="146" spans="1:15">
      <c r="A146" s="4258"/>
      <c r="B146" s="4258"/>
      <c r="C146" s="4258"/>
      <c r="O146" s="4287"/>
    </row>
    <row r="147" spans="1:15">
      <c r="A147" s="4258"/>
      <c r="B147" s="4258"/>
      <c r="C147" s="4258"/>
      <c r="O147" s="4287"/>
    </row>
    <row r="148" spans="1:15">
      <c r="A148" s="4258"/>
      <c r="B148" s="4258"/>
      <c r="C148" s="4258"/>
      <c r="O148" s="4287"/>
    </row>
    <row r="149" spans="1:15">
      <c r="A149" s="4258"/>
      <c r="B149" s="4258"/>
      <c r="C149" s="4258"/>
      <c r="O149" s="4287"/>
    </row>
    <row r="150" spans="1:15">
      <c r="A150" s="4258"/>
      <c r="B150" s="4258"/>
      <c r="C150" s="4258"/>
      <c r="O150" s="4287"/>
    </row>
    <row r="151" spans="1:15">
      <c r="A151" s="4258"/>
      <c r="B151" s="4258"/>
      <c r="C151" s="4258"/>
      <c r="O151" s="4287"/>
    </row>
    <row r="152" spans="1:15">
      <c r="A152" s="4258"/>
      <c r="B152" s="4258"/>
      <c r="C152" s="4258"/>
      <c r="O152" s="4287"/>
    </row>
    <row r="153" spans="1:15">
      <c r="A153" s="4258"/>
      <c r="B153" s="4258"/>
      <c r="C153" s="4258"/>
      <c r="O153" s="4287"/>
    </row>
    <row r="154" spans="1:15">
      <c r="A154" s="4258"/>
      <c r="B154" s="4258"/>
      <c r="C154" s="4258"/>
      <c r="O154" s="4287"/>
    </row>
    <row r="155" spans="1:15">
      <c r="A155" s="4258"/>
      <c r="B155" s="4258"/>
      <c r="C155" s="4258"/>
      <c r="O155" s="4287"/>
    </row>
    <row r="156" spans="1:15">
      <c r="A156" s="4258"/>
      <c r="B156" s="4258"/>
      <c r="C156" s="4258"/>
      <c r="O156" s="4287"/>
    </row>
    <row r="157" spans="1:15">
      <c r="A157" s="4258"/>
      <c r="B157" s="4258"/>
      <c r="C157" s="4258"/>
      <c r="O157" s="4287"/>
    </row>
    <row r="158" spans="1:15">
      <c r="A158" s="4258"/>
      <c r="B158" s="4258"/>
      <c r="C158" s="4258"/>
      <c r="O158" s="4287"/>
    </row>
    <row r="159" spans="1:15">
      <c r="A159" s="4258"/>
      <c r="B159" s="4258"/>
      <c r="C159" s="4258"/>
      <c r="O159" s="4287"/>
    </row>
    <row r="160" spans="1:15">
      <c r="A160" s="4258"/>
      <c r="B160" s="4258"/>
      <c r="C160" s="4258"/>
      <c r="O160" s="4287"/>
    </row>
    <row r="161" spans="1:15">
      <c r="A161" s="4258"/>
      <c r="B161" s="4258"/>
      <c r="C161" s="4258"/>
      <c r="O161" s="4287"/>
    </row>
    <row r="162" spans="1:15">
      <c r="A162" s="4258"/>
      <c r="B162" s="4258"/>
      <c r="C162" s="4258"/>
      <c r="O162" s="4287"/>
    </row>
    <row r="163" spans="1:15">
      <c r="A163" s="4258"/>
      <c r="B163" s="4258"/>
      <c r="C163" s="4258"/>
      <c r="O163" s="4287"/>
    </row>
    <row r="164" spans="1:15">
      <c r="A164" s="4258"/>
      <c r="B164" s="4258"/>
      <c r="C164" s="4258"/>
      <c r="O164" s="4287"/>
    </row>
    <row r="165" spans="1:15">
      <c r="A165" s="4258"/>
      <c r="B165" s="4258"/>
      <c r="C165" s="4258"/>
      <c r="O165" s="4287"/>
    </row>
    <row r="166" spans="1:15">
      <c r="A166" s="4258"/>
      <c r="B166" s="4258"/>
      <c r="C166" s="4258"/>
      <c r="O166" s="4287"/>
    </row>
    <row r="167" spans="1:15">
      <c r="A167" s="4258"/>
      <c r="B167" s="4258"/>
      <c r="C167" s="4258"/>
      <c r="O167" s="4287"/>
    </row>
    <row r="168" spans="1:15">
      <c r="A168" s="4258"/>
      <c r="B168" s="4258"/>
      <c r="C168" s="4258"/>
      <c r="O168" s="4287"/>
    </row>
    <row r="169" spans="1:15">
      <c r="A169" s="4258"/>
      <c r="B169" s="4258"/>
      <c r="C169" s="4258"/>
      <c r="O169" s="4287"/>
    </row>
    <row r="170" spans="1:15">
      <c r="A170" s="4258"/>
      <c r="B170" s="4258"/>
      <c r="C170" s="4258"/>
      <c r="O170" s="4287"/>
    </row>
    <row r="171" spans="1:15">
      <c r="A171" s="4258"/>
      <c r="B171" s="4258"/>
      <c r="C171" s="4258"/>
      <c r="O171" s="4287"/>
    </row>
    <row r="172" spans="1:15">
      <c r="A172" s="4258"/>
      <c r="B172" s="4258"/>
      <c r="C172" s="4258"/>
      <c r="O172" s="4287"/>
    </row>
    <row r="173" spans="1:15">
      <c r="A173" s="4258"/>
      <c r="B173" s="4258"/>
      <c r="C173" s="4258"/>
      <c r="O173" s="4287"/>
    </row>
    <row r="174" spans="1:15">
      <c r="A174" s="4258"/>
      <c r="B174" s="4258"/>
      <c r="C174" s="4258"/>
      <c r="O174" s="4287"/>
    </row>
    <row r="175" spans="1:15">
      <c r="A175" s="4258"/>
      <c r="B175" s="4258"/>
      <c r="C175" s="4258"/>
      <c r="O175" s="4287"/>
    </row>
    <row r="176" spans="1:15">
      <c r="A176" s="4258"/>
      <c r="B176" s="4258"/>
      <c r="C176" s="4258"/>
      <c r="O176" s="4287"/>
    </row>
    <row r="177" spans="1:15">
      <c r="A177" s="4258"/>
      <c r="B177" s="4258"/>
      <c r="C177" s="4258"/>
      <c r="O177" s="4287"/>
    </row>
    <row r="178" spans="1:15">
      <c r="A178" s="4258"/>
      <c r="B178" s="4258"/>
      <c r="C178" s="4258"/>
      <c r="O178" s="4287"/>
    </row>
    <row r="179" spans="1:15">
      <c r="A179" s="4258"/>
      <c r="B179" s="4258"/>
      <c r="C179" s="4258"/>
      <c r="O179" s="4287"/>
    </row>
    <row r="180" spans="1:15">
      <c r="A180" s="4258"/>
      <c r="B180" s="4258"/>
      <c r="C180" s="4258"/>
      <c r="O180" s="4287"/>
    </row>
    <row r="181" spans="1:15">
      <c r="A181" s="4258"/>
      <c r="B181" s="4258"/>
      <c r="C181" s="4258"/>
      <c r="O181" s="4287"/>
    </row>
    <row r="182" spans="1:15">
      <c r="A182" s="4258"/>
      <c r="B182" s="4258"/>
      <c r="C182" s="4258"/>
      <c r="O182" s="4287"/>
    </row>
    <row r="183" spans="1:15">
      <c r="A183" s="4258"/>
      <c r="B183" s="4258"/>
      <c r="C183" s="4258"/>
      <c r="O183" s="4287"/>
    </row>
    <row r="184" spans="1:15">
      <c r="A184" s="4258"/>
      <c r="B184" s="4258"/>
      <c r="C184" s="4258"/>
      <c r="O184" s="4287"/>
    </row>
    <row r="185" spans="1:15">
      <c r="A185" s="4258"/>
      <c r="B185" s="4258"/>
      <c r="C185" s="4258"/>
      <c r="O185" s="4287"/>
    </row>
    <row r="186" spans="1:15">
      <c r="A186" s="4258"/>
      <c r="B186" s="4258"/>
      <c r="C186" s="4258"/>
      <c r="O186" s="4287"/>
    </row>
    <row r="187" spans="1:15">
      <c r="A187" s="4258"/>
      <c r="B187" s="4258"/>
      <c r="C187" s="4258"/>
      <c r="O187" s="4287"/>
    </row>
    <row r="188" spans="1:15">
      <c r="A188" s="4258"/>
      <c r="B188" s="4258"/>
      <c r="C188" s="4258"/>
      <c r="O188" s="4287"/>
    </row>
    <row r="189" spans="1:15">
      <c r="A189" s="4258"/>
      <c r="B189" s="4258"/>
      <c r="C189" s="4258"/>
      <c r="O189" s="4287"/>
    </row>
    <row r="190" spans="1:15">
      <c r="A190" s="4258"/>
      <c r="B190" s="4258"/>
      <c r="C190" s="4258"/>
      <c r="O190" s="4287"/>
    </row>
    <row r="191" spans="1:15">
      <c r="A191" s="4258"/>
      <c r="B191" s="4258"/>
      <c r="C191" s="4258"/>
      <c r="O191" s="4287"/>
    </row>
    <row r="192" spans="1:15">
      <c r="A192" s="4258"/>
      <c r="B192" s="4258"/>
      <c r="C192" s="4258"/>
      <c r="O192" s="4287"/>
    </row>
    <row r="193" spans="1:15">
      <c r="A193" s="4258"/>
      <c r="B193" s="4258"/>
      <c r="C193" s="4258"/>
      <c r="O193" s="4287"/>
    </row>
    <row r="194" spans="1:15">
      <c r="A194" s="4258"/>
      <c r="B194" s="4258"/>
      <c r="C194" s="4258"/>
      <c r="O194" s="4287"/>
    </row>
    <row r="195" spans="1:15">
      <c r="A195" s="4258"/>
      <c r="B195" s="4258"/>
      <c r="C195" s="4258"/>
      <c r="O195" s="4287"/>
    </row>
    <row r="196" spans="1:15">
      <c r="A196" s="4258"/>
      <c r="B196" s="4258"/>
      <c r="C196" s="4258"/>
      <c r="O196" s="4287"/>
    </row>
    <row r="197" spans="1:15">
      <c r="A197" s="4258"/>
      <c r="B197" s="4258"/>
      <c r="C197" s="4258"/>
      <c r="O197" s="4287"/>
    </row>
    <row r="198" spans="1:15">
      <c r="A198" s="4258"/>
      <c r="B198" s="4258"/>
      <c r="C198" s="4258"/>
      <c r="O198" s="4287"/>
    </row>
    <row r="199" spans="1:15">
      <c r="A199" s="4258"/>
      <c r="B199" s="4258"/>
      <c r="C199" s="4258"/>
      <c r="O199" s="4287"/>
    </row>
    <row r="200" spans="1:15">
      <c r="A200" s="4258"/>
      <c r="B200" s="4258"/>
      <c r="C200" s="4258"/>
      <c r="O200" s="4287"/>
    </row>
    <row r="201" spans="1:15">
      <c r="A201" s="4258"/>
      <c r="B201" s="4258"/>
      <c r="C201" s="4258"/>
      <c r="O201" s="4287"/>
    </row>
    <row r="202" spans="1:15">
      <c r="A202" s="4258"/>
      <c r="B202" s="4258"/>
      <c r="C202" s="4258"/>
      <c r="O202" s="4287"/>
    </row>
    <row r="203" spans="1:15">
      <c r="A203" s="4258"/>
      <c r="B203" s="4258"/>
      <c r="C203" s="4258"/>
      <c r="O203" s="4287"/>
    </row>
    <row r="204" spans="1:15">
      <c r="A204" s="4258"/>
      <c r="B204" s="4258"/>
      <c r="C204" s="4258"/>
      <c r="O204" s="4287"/>
    </row>
    <row r="205" spans="1:15">
      <c r="A205" s="4258"/>
      <c r="B205" s="4258"/>
      <c r="C205" s="4258"/>
      <c r="O205" s="4287"/>
    </row>
    <row r="206" spans="1:15">
      <c r="A206" s="4258"/>
      <c r="B206" s="4258"/>
      <c r="C206" s="4258"/>
      <c r="O206" s="4287"/>
    </row>
    <row r="207" spans="1:15">
      <c r="A207" s="4258"/>
      <c r="B207" s="4258"/>
      <c r="C207" s="4258"/>
      <c r="O207" s="4287"/>
    </row>
    <row r="208" spans="1:15">
      <c r="A208" s="4258"/>
      <c r="B208" s="4258"/>
      <c r="C208" s="4258"/>
      <c r="O208" s="4287"/>
    </row>
    <row r="209" spans="1:15">
      <c r="A209" s="4258"/>
      <c r="B209" s="4258"/>
      <c r="C209" s="4258"/>
      <c r="O209" s="4287"/>
    </row>
    <row r="210" spans="1:15">
      <c r="A210" s="4258"/>
      <c r="B210" s="4258"/>
      <c r="C210" s="4258"/>
      <c r="O210" s="4287"/>
    </row>
    <row r="211" spans="1:15">
      <c r="A211" s="4258"/>
      <c r="B211" s="4258"/>
      <c r="C211" s="4258"/>
      <c r="O211" s="4287"/>
    </row>
    <row r="212" spans="1:15">
      <c r="A212" s="4258"/>
      <c r="B212" s="4258"/>
      <c r="C212" s="4258"/>
      <c r="O212" s="4287"/>
    </row>
    <row r="213" spans="1:15">
      <c r="A213" s="4258"/>
      <c r="B213" s="4258"/>
      <c r="C213" s="4258"/>
      <c r="O213" s="4287"/>
    </row>
    <row r="214" spans="1:15">
      <c r="A214" s="4258"/>
      <c r="B214" s="4258"/>
      <c r="C214" s="4258"/>
      <c r="O214" s="4287"/>
    </row>
    <row r="215" spans="1:15">
      <c r="A215" s="4258"/>
      <c r="B215" s="4258"/>
      <c r="C215" s="4258"/>
      <c r="O215" s="4287"/>
    </row>
    <row r="216" spans="1:15">
      <c r="A216" s="4258"/>
      <c r="B216" s="4258"/>
      <c r="C216" s="4258"/>
      <c r="O216" s="4287"/>
    </row>
    <row r="217" spans="1:15">
      <c r="A217" s="4258"/>
      <c r="B217" s="4258"/>
      <c r="C217" s="4258"/>
      <c r="O217" s="4287"/>
    </row>
    <row r="218" spans="1:15">
      <c r="A218" s="4258"/>
      <c r="B218" s="4258"/>
      <c r="C218" s="4258"/>
      <c r="O218" s="4287"/>
    </row>
    <row r="219" spans="1:15">
      <c r="A219" s="4258"/>
      <c r="B219" s="4258"/>
      <c r="C219" s="4258"/>
      <c r="O219" s="4287"/>
    </row>
    <row r="220" spans="1:15">
      <c r="A220" s="4258"/>
      <c r="B220" s="4258"/>
      <c r="C220" s="4258"/>
      <c r="O220" s="4287"/>
    </row>
    <row r="221" spans="1:15">
      <c r="A221" s="4258"/>
      <c r="B221" s="4258"/>
      <c r="C221" s="4258"/>
      <c r="O221" s="4287"/>
    </row>
    <row r="222" spans="1:15">
      <c r="A222" s="4258"/>
      <c r="B222" s="4258"/>
      <c r="C222" s="4258"/>
      <c r="O222" s="4287"/>
    </row>
    <row r="223" spans="1:15">
      <c r="A223" s="4258"/>
      <c r="B223" s="4258"/>
      <c r="C223" s="4258"/>
      <c r="O223" s="4287"/>
    </row>
    <row r="224" spans="1:15">
      <c r="A224" s="4258"/>
      <c r="B224" s="4258"/>
      <c r="C224" s="4258"/>
      <c r="O224" s="4287"/>
    </row>
    <row r="225" spans="1:15">
      <c r="A225" s="4258"/>
      <c r="B225" s="4258"/>
      <c r="C225" s="4258"/>
      <c r="O225" s="4287"/>
    </row>
    <row r="226" spans="1:15">
      <c r="A226" s="4258"/>
      <c r="B226" s="4258"/>
      <c r="C226" s="4258"/>
      <c r="O226" s="4287"/>
    </row>
    <row r="227" spans="1:15">
      <c r="A227" s="4258"/>
      <c r="B227" s="4258"/>
      <c r="C227" s="4258"/>
      <c r="O227" s="4287"/>
    </row>
    <row r="228" spans="1:15">
      <c r="A228" s="4258"/>
      <c r="B228" s="4258"/>
      <c r="C228" s="4258"/>
      <c r="O228" s="4287"/>
    </row>
    <row r="229" spans="1:15">
      <c r="A229" s="4258"/>
      <c r="B229" s="4258"/>
      <c r="C229" s="4258"/>
      <c r="O229" s="4287"/>
    </row>
    <row r="230" spans="1:15">
      <c r="A230" s="4258"/>
      <c r="B230" s="4258"/>
      <c r="C230" s="4258"/>
      <c r="O230" s="4287"/>
    </row>
    <row r="231" spans="1:15">
      <c r="A231" s="4258"/>
      <c r="B231" s="4258"/>
      <c r="C231" s="4258"/>
      <c r="O231" s="4287"/>
    </row>
    <row r="232" spans="1:15">
      <c r="A232" s="4258"/>
      <c r="B232" s="4258"/>
      <c r="C232" s="4258"/>
      <c r="O232" s="4287"/>
    </row>
    <row r="233" spans="1:15">
      <c r="A233" s="4258"/>
      <c r="B233" s="4258"/>
      <c r="C233" s="4258"/>
      <c r="O233" s="4287"/>
    </row>
    <row r="234" spans="1:15">
      <c r="A234" s="4258"/>
      <c r="B234" s="4258"/>
      <c r="C234" s="4258"/>
      <c r="O234" s="4287"/>
    </row>
    <row r="235" spans="1:15">
      <c r="A235" s="4258"/>
      <c r="B235" s="4258"/>
      <c r="C235" s="4258"/>
      <c r="O235" s="4287"/>
    </row>
    <row r="236" spans="1:15">
      <c r="A236" s="4258"/>
      <c r="B236" s="4258"/>
      <c r="C236" s="4258"/>
      <c r="O236" s="4287"/>
    </row>
    <row r="237" spans="1:15">
      <c r="A237" s="4258"/>
      <c r="B237" s="4258"/>
      <c r="C237" s="4258"/>
      <c r="O237" s="4287"/>
    </row>
    <row r="238" spans="1:15">
      <c r="A238" s="4258"/>
      <c r="B238" s="4258"/>
      <c r="C238" s="4258"/>
      <c r="O238" s="4287"/>
    </row>
    <row r="239" spans="1:15">
      <c r="A239" s="4258"/>
      <c r="B239" s="4258"/>
      <c r="C239" s="4258"/>
      <c r="O239" s="4287"/>
    </row>
    <row r="240" spans="1:15">
      <c r="A240" s="4258"/>
      <c r="B240" s="4258"/>
      <c r="C240" s="4258"/>
      <c r="O240" s="4287"/>
    </row>
    <row r="241" spans="1:15">
      <c r="A241" s="4258"/>
      <c r="B241" s="4258"/>
      <c r="C241" s="4258"/>
      <c r="O241" s="4287"/>
    </row>
    <row r="242" spans="1:15">
      <c r="A242" s="4258"/>
      <c r="B242" s="4258"/>
      <c r="C242" s="4258"/>
      <c r="O242" s="4287"/>
    </row>
    <row r="243" spans="1:15">
      <c r="A243" s="4258"/>
      <c r="B243" s="4258"/>
      <c r="C243" s="4258"/>
      <c r="O243" s="4287"/>
    </row>
    <row r="244" spans="1:15">
      <c r="A244" s="4258"/>
      <c r="B244" s="4258"/>
      <c r="C244" s="4258"/>
      <c r="O244" s="4287"/>
    </row>
    <row r="245" spans="1:15">
      <c r="A245" s="4258"/>
      <c r="B245" s="4258"/>
      <c r="C245" s="4258"/>
      <c r="O245" s="4287"/>
    </row>
    <row r="246" spans="1:15">
      <c r="A246" s="4258"/>
      <c r="B246" s="4258"/>
      <c r="C246" s="4258"/>
      <c r="O246" s="4287"/>
    </row>
    <row r="247" spans="1:15">
      <c r="A247" s="4258"/>
      <c r="B247" s="4258"/>
      <c r="C247" s="4258"/>
      <c r="O247" s="4287"/>
    </row>
    <row r="248" spans="1:15">
      <c r="A248" s="4258"/>
      <c r="B248" s="4258"/>
      <c r="C248" s="4258"/>
      <c r="O248" s="4287"/>
    </row>
    <row r="249" spans="1:15">
      <c r="A249" s="4258"/>
      <c r="B249" s="4258"/>
      <c r="C249" s="4258"/>
      <c r="O249" s="4287"/>
    </row>
    <row r="250" spans="1:15">
      <c r="A250" s="4258"/>
      <c r="B250" s="4258"/>
      <c r="C250" s="4258"/>
      <c r="O250" s="4287"/>
    </row>
    <row r="251" spans="1:15">
      <c r="A251" s="4258"/>
      <c r="B251" s="4258"/>
      <c r="C251" s="4258"/>
      <c r="O251" s="4287"/>
    </row>
    <row r="252" spans="1:15">
      <c r="A252" s="4258"/>
      <c r="B252" s="4258"/>
      <c r="C252" s="4258"/>
      <c r="O252" s="4287"/>
    </row>
    <row r="253" spans="1:15">
      <c r="A253" s="4258"/>
      <c r="B253" s="4258"/>
      <c r="C253" s="4258"/>
      <c r="O253" s="4287"/>
    </row>
    <row r="254" spans="1:15">
      <c r="O254" s="4288"/>
    </row>
    <row r="255" spans="1:15">
      <c r="O255" s="4288"/>
    </row>
    <row r="256" spans="1:15">
      <c r="O256" s="4288"/>
    </row>
    <row r="257" spans="15:15">
      <c r="O257" s="4288"/>
    </row>
    <row r="258" spans="15:15">
      <c r="O258" s="4288"/>
    </row>
    <row r="259" spans="15:15">
      <c r="O259" s="4288"/>
    </row>
    <row r="260" spans="15:15">
      <c r="O260" s="4288"/>
    </row>
    <row r="261" spans="15:15">
      <c r="O261" s="4288"/>
    </row>
    <row r="262" spans="15:15">
      <c r="O262" s="4288"/>
    </row>
    <row r="263" spans="15:15">
      <c r="O263" s="4288"/>
    </row>
    <row r="264" spans="15:15">
      <c r="O264" s="4288"/>
    </row>
    <row r="265" spans="15:15">
      <c r="O265" s="4288"/>
    </row>
    <row r="266" spans="15:15">
      <c r="O266" s="4288"/>
    </row>
    <row r="267" spans="15:15">
      <c r="O267" s="4288"/>
    </row>
    <row r="268" spans="15:15">
      <c r="O268" s="4288"/>
    </row>
    <row r="269" spans="15:15">
      <c r="O269" s="4288"/>
    </row>
    <row r="270" spans="15:15">
      <c r="O270" s="4288"/>
    </row>
    <row r="271" spans="15:15">
      <c r="O271" s="4288"/>
    </row>
    <row r="272" spans="15:15">
      <c r="O272" s="4288"/>
    </row>
    <row r="273" spans="15:15">
      <c r="O273" s="4288"/>
    </row>
    <row r="274" spans="15:15">
      <c r="O274" s="4288"/>
    </row>
    <row r="275" spans="15:15">
      <c r="O275" s="4288"/>
    </row>
    <row r="276" spans="15:15">
      <c r="O276" s="4288"/>
    </row>
    <row r="277" spans="15:15">
      <c r="O277" s="4288"/>
    </row>
    <row r="278" spans="15:15">
      <c r="O278" s="4288"/>
    </row>
    <row r="279" spans="15:15">
      <c r="O279" s="4288"/>
    </row>
    <row r="280" spans="15:15">
      <c r="O280" s="4288"/>
    </row>
    <row r="281" spans="15:15">
      <c r="O281" s="4288"/>
    </row>
    <row r="282" spans="15:15">
      <c r="O282" s="4288"/>
    </row>
    <row r="283" spans="15:15">
      <c r="O283" s="4288"/>
    </row>
    <row r="284" spans="15:15">
      <c r="O284" s="4288"/>
    </row>
    <row r="285" spans="15:15">
      <c r="O285" s="4288"/>
    </row>
    <row r="286" spans="15:15">
      <c r="O286" s="4288"/>
    </row>
    <row r="287" spans="15:15">
      <c r="O287" s="4288"/>
    </row>
    <row r="288" spans="15:15">
      <c r="O288" s="4288"/>
    </row>
    <row r="289" spans="15:15">
      <c r="O289" s="4288"/>
    </row>
    <row r="290" spans="15:15">
      <c r="O290" s="4288"/>
    </row>
    <row r="291" spans="15:15">
      <c r="O291" s="4288"/>
    </row>
    <row r="292" spans="15:15">
      <c r="O292" s="4288"/>
    </row>
    <row r="293" spans="15:15">
      <c r="O293" s="4288"/>
    </row>
    <row r="294" spans="15:15">
      <c r="O294" s="4288"/>
    </row>
    <row r="295" spans="15:15">
      <c r="O295" s="4288"/>
    </row>
    <row r="296" spans="15:15">
      <c r="O296" s="4288"/>
    </row>
    <row r="297" spans="15:15">
      <c r="O297" s="4288"/>
    </row>
    <row r="298" spans="15:15">
      <c r="O298" s="4288"/>
    </row>
    <row r="299" spans="15:15">
      <c r="O299" s="4288"/>
    </row>
    <row r="300" spans="15:15">
      <c r="O300" s="4288"/>
    </row>
    <row r="301" spans="15:15">
      <c r="O301" s="4288"/>
    </row>
    <row r="302" spans="15:15">
      <c r="O302" s="4288"/>
    </row>
    <row r="303" spans="15:15">
      <c r="O303" s="4288"/>
    </row>
    <row r="304" spans="15:15">
      <c r="O304" s="4288"/>
    </row>
    <row r="305" spans="15:15">
      <c r="O305" s="4288"/>
    </row>
    <row r="306" spans="15:15">
      <c r="O306" s="4288"/>
    </row>
    <row r="307" spans="15:15">
      <c r="O307" s="4288"/>
    </row>
    <row r="308" spans="15:15">
      <c r="O308" s="4288"/>
    </row>
    <row r="309" spans="15:15">
      <c r="O309" s="4288"/>
    </row>
    <row r="310" spans="15:15">
      <c r="O310" s="4288"/>
    </row>
    <row r="311" spans="15:15">
      <c r="O311" s="4288"/>
    </row>
    <row r="312" spans="15:15">
      <c r="O312" s="4288"/>
    </row>
    <row r="313" spans="15:15">
      <c r="O313" s="4288"/>
    </row>
    <row r="314" spans="15:15">
      <c r="O314" s="4288"/>
    </row>
    <row r="315" spans="15:15">
      <c r="O315" s="4288"/>
    </row>
    <row r="316" spans="15:15">
      <c r="O316" s="4288"/>
    </row>
    <row r="317" spans="15:15">
      <c r="O317" s="4288"/>
    </row>
    <row r="318" spans="15:15">
      <c r="O318" s="4288"/>
    </row>
    <row r="319" spans="15:15">
      <c r="O319" s="4288"/>
    </row>
    <row r="320" spans="15:15">
      <c r="O320" s="4288"/>
    </row>
    <row r="321" spans="15:15">
      <c r="O321" s="4288"/>
    </row>
    <row r="322" spans="15:15">
      <c r="O322" s="4288"/>
    </row>
    <row r="323" spans="15:15">
      <c r="O323" s="4288"/>
    </row>
    <row r="324" spans="15:15">
      <c r="O324" s="4288"/>
    </row>
    <row r="325" spans="15:15">
      <c r="O325" s="4288"/>
    </row>
    <row r="326" spans="15:15">
      <c r="O326" s="4288"/>
    </row>
    <row r="327" spans="15:15">
      <c r="O327" s="4288"/>
    </row>
    <row r="328" spans="15:15">
      <c r="O328" s="4288"/>
    </row>
    <row r="329" spans="15:15">
      <c r="O329" s="4288"/>
    </row>
    <row r="330" spans="15:15">
      <c r="O330" s="4288"/>
    </row>
    <row r="331" spans="15:15">
      <c r="O331" s="4288"/>
    </row>
    <row r="332" spans="15:15">
      <c r="O332" s="4288"/>
    </row>
    <row r="333" spans="15:15">
      <c r="O333" s="4288"/>
    </row>
    <row r="334" spans="15:15">
      <c r="O334" s="4288"/>
    </row>
    <row r="335" spans="15:15">
      <c r="O335" s="4288"/>
    </row>
    <row r="336" spans="15:15">
      <c r="O336" s="4288"/>
    </row>
    <row r="337" spans="15:15">
      <c r="O337" s="4288"/>
    </row>
    <row r="338" spans="15:15">
      <c r="O338" s="4288"/>
    </row>
    <row r="339" spans="15:15">
      <c r="O339" s="4288"/>
    </row>
    <row r="340" spans="15:15">
      <c r="O340" s="4288"/>
    </row>
    <row r="341" spans="15:15">
      <c r="O341" s="4288"/>
    </row>
    <row r="342" spans="15:15">
      <c r="O342" s="4288"/>
    </row>
    <row r="343" spans="15:15">
      <c r="O343" s="4288"/>
    </row>
    <row r="344" spans="15:15">
      <c r="O344" s="4288"/>
    </row>
    <row r="345" spans="15:15">
      <c r="O345" s="4288"/>
    </row>
    <row r="346" spans="15:15">
      <c r="O346" s="4288"/>
    </row>
    <row r="347" spans="15:15">
      <c r="O347" s="4288"/>
    </row>
    <row r="348" spans="15:15">
      <c r="O348" s="4288"/>
    </row>
    <row r="349" spans="15:15">
      <c r="O349" s="4288"/>
    </row>
    <row r="350" spans="15:15">
      <c r="O350" s="4288"/>
    </row>
    <row r="351" spans="15:15">
      <c r="O351" s="4288"/>
    </row>
    <row r="352" spans="15:15">
      <c r="O352" s="4288"/>
    </row>
    <row r="353" spans="15:15">
      <c r="O353" s="4288"/>
    </row>
    <row r="354" spans="15:15">
      <c r="O354" s="4288"/>
    </row>
    <row r="355" spans="15:15">
      <c r="O355" s="4288"/>
    </row>
    <row r="356" spans="15:15">
      <c r="O356" s="4288"/>
    </row>
    <row r="357" spans="15:15">
      <c r="O357" s="4288"/>
    </row>
    <row r="358" spans="15:15">
      <c r="O358" s="4288"/>
    </row>
    <row r="359" spans="15:15">
      <c r="O359" s="4288"/>
    </row>
    <row r="360" spans="15:15">
      <c r="O360" s="4288"/>
    </row>
    <row r="361" spans="15:15">
      <c r="O361" s="4288"/>
    </row>
    <row r="362" spans="15:15">
      <c r="O362" s="4288"/>
    </row>
    <row r="363" spans="15:15">
      <c r="O363" s="4288"/>
    </row>
    <row r="364" spans="15:15">
      <c r="O364" s="4288"/>
    </row>
    <row r="365" spans="15:15">
      <c r="O365" s="4288"/>
    </row>
    <row r="366" spans="15:15">
      <c r="O366" s="4288"/>
    </row>
    <row r="367" spans="15:15">
      <c r="O367" s="4288"/>
    </row>
    <row r="368" spans="15:15">
      <c r="O368" s="4288"/>
    </row>
    <row r="369" spans="15:15">
      <c r="O369" s="4288"/>
    </row>
    <row r="370" spans="15:15">
      <c r="O370" s="4288"/>
    </row>
    <row r="371" spans="15:15">
      <c r="O371" s="4288"/>
    </row>
    <row r="372" spans="15:15">
      <c r="O372" s="4288"/>
    </row>
    <row r="373" spans="15:15">
      <c r="O373" s="4288"/>
    </row>
    <row r="374" spans="15:15">
      <c r="O374" s="4288"/>
    </row>
    <row r="375" spans="15:15">
      <c r="O375" s="4288"/>
    </row>
    <row r="376" spans="15:15">
      <c r="O376" s="4288"/>
    </row>
    <row r="377" spans="15:15">
      <c r="O377" s="4288"/>
    </row>
    <row r="378" spans="15:15">
      <c r="O378" s="4288"/>
    </row>
    <row r="379" spans="15:15">
      <c r="O379" s="4288"/>
    </row>
    <row r="380" spans="15:15">
      <c r="O380" s="4288"/>
    </row>
    <row r="381" spans="15:15">
      <c r="O381" s="4288"/>
    </row>
    <row r="382" spans="15:15">
      <c r="O382" s="4288"/>
    </row>
    <row r="383" spans="15:15">
      <c r="O383" s="4288"/>
    </row>
    <row r="384" spans="15:15">
      <c r="O384" s="4288"/>
    </row>
    <row r="385" spans="15:15">
      <c r="O385" s="4288"/>
    </row>
    <row r="386" spans="15:15">
      <c r="O386" s="4288"/>
    </row>
    <row r="387" spans="15:15">
      <c r="O387" s="4288"/>
    </row>
    <row r="388" spans="15:15">
      <c r="O388" s="4288"/>
    </row>
    <row r="389" spans="15:15">
      <c r="O389" s="4288"/>
    </row>
    <row r="390" spans="15:15">
      <c r="O390" s="4288"/>
    </row>
    <row r="391" spans="15:15">
      <c r="O391" s="4288"/>
    </row>
    <row r="392" spans="15:15">
      <c r="O392" s="4288"/>
    </row>
    <row r="393" spans="15:15">
      <c r="O393" s="4288"/>
    </row>
    <row r="394" spans="15:15">
      <c r="O394" s="4288"/>
    </row>
    <row r="395" spans="15:15">
      <c r="O395" s="4288"/>
    </row>
    <row r="396" spans="15:15">
      <c r="O396" s="4288"/>
    </row>
    <row r="397" spans="15:15">
      <c r="O397" s="4288"/>
    </row>
    <row r="398" spans="15:15">
      <c r="O398" s="4288"/>
    </row>
    <row r="399" spans="15:15">
      <c r="O399" s="4288"/>
    </row>
    <row r="400" spans="15:15">
      <c r="O400" s="4288"/>
    </row>
    <row r="401" spans="15:15">
      <c r="O401" s="4288"/>
    </row>
    <row r="402" spans="15:15">
      <c r="O402" s="4288"/>
    </row>
    <row r="403" spans="15:15">
      <c r="O403" s="4288"/>
    </row>
    <row r="404" spans="15:15">
      <c r="O404" s="4288"/>
    </row>
    <row r="405" spans="15:15">
      <c r="O405" s="4288"/>
    </row>
    <row r="406" spans="15:15">
      <c r="O406" s="4288"/>
    </row>
    <row r="407" spans="15:15">
      <c r="O407" s="4288"/>
    </row>
    <row r="408" spans="15:15">
      <c r="O408" s="4288"/>
    </row>
    <row r="409" spans="15:15">
      <c r="O409" s="4288"/>
    </row>
    <row r="410" spans="15:15">
      <c r="O410" s="4288"/>
    </row>
    <row r="411" spans="15:15">
      <c r="O411" s="4288"/>
    </row>
    <row r="412" spans="15:15">
      <c r="O412" s="4288"/>
    </row>
    <row r="413" spans="15:15">
      <c r="O413" s="4288"/>
    </row>
    <row r="414" spans="15:15">
      <c r="O414" s="4288"/>
    </row>
    <row r="415" spans="15:15">
      <c r="O415" s="4288"/>
    </row>
    <row r="416" spans="15:15">
      <c r="O416" s="4288"/>
    </row>
    <row r="417" spans="15:15">
      <c r="O417" s="4288"/>
    </row>
    <row r="418" spans="15:15">
      <c r="O418" s="4288"/>
    </row>
    <row r="419" spans="15:15">
      <c r="O419" s="4288"/>
    </row>
    <row r="420" spans="15:15">
      <c r="O420" s="4288"/>
    </row>
    <row r="421" spans="15:15">
      <c r="O421" s="4288"/>
    </row>
    <row r="422" spans="15:15">
      <c r="O422" s="4288"/>
    </row>
    <row r="423" spans="15:15">
      <c r="O423" s="4288"/>
    </row>
    <row r="424" spans="15:15">
      <c r="O424" s="4288"/>
    </row>
    <row r="425" spans="15:15">
      <c r="O425" s="4288"/>
    </row>
    <row r="426" spans="15:15">
      <c r="O426" s="4288"/>
    </row>
    <row r="427" spans="15:15">
      <c r="O427" s="4288"/>
    </row>
    <row r="428" spans="15:15">
      <c r="O428" s="4288"/>
    </row>
    <row r="429" spans="15:15">
      <c r="O429" s="4288"/>
    </row>
    <row r="430" spans="15:15">
      <c r="O430" s="4288"/>
    </row>
    <row r="431" spans="15:15">
      <c r="O431" s="4288"/>
    </row>
    <row r="432" spans="15:15">
      <c r="O432" s="4288"/>
    </row>
    <row r="433" spans="15:15">
      <c r="O433" s="4288"/>
    </row>
    <row r="434" spans="15:15">
      <c r="O434" s="4288"/>
    </row>
    <row r="435" spans="15:15">
      <c r="O435" s="4288"/>
    </row>
    <row r="436" spans="15:15">
      <c r="O436" s="4288"/>
    </row>
    <row r="437" spans="15:15">
      <c r="O437" s="4288"/>
    </row>
    <row r="438" spans="15:15">
      <c r="O438" s="4288"/>
    </row>
    <row r="439" spans="15:15">
      <c r="O439" s="4288"/>
    </row>
    <row r="440" spans="15:15">
      <c r="O440" s="4288"/>
    </row>
    <row r="441" spans="15:15">
      <c r="O441" s="4288"/>
    </row>
    <row r="442" spans="15:15">
      <c r="O442" s="4288"/>
    </row>
    <row r="443" spans="15:15">
      <c r="O443" s="4288"/>
    </row>
    <row r="444" spans="15:15">
      <c r="O444" s="4288"/>
    </row>
    <row r="445" spans="15:15">
      <c r="O445" s="4288"/>
    </row>
    <row r="446" spans="15:15">
      <c r="O446" s="4288"/>
    </row>
    <row r="447" spans="15:15">
      <c r="O447" s="4288"/>
    </row>
    <row r="448" spans="15:15">
      <c r="O448" s="4288"/>
    </row>
    <row r="449" spans="15:15">
      <c r="O449" s="4288"/>
    </row>
    <row r="450" spans="15:15">
      <c r="O450" s="4288"/>
    </row>
    <row r="451" spans="15:15">
      <c r="O451" s="4288"/>
    </row>
    <row r="452" spans="15:15">
      <c r="O452" s="4288"/>
    </row>
    <row r="453" spans="15:15">
      <c r="O453" s="4288"/>
    </row>
    <row r="454" spans="15:15">
      <c r="O454" s="4288"/>
    </row>
    <row r="455" spans="15:15">
      <c r="O455" s="4288"/>
    </row>
    <row r="456" spans="15:15">
      <c r="O456" s="4288"/>
    </row>
    <row r="457" spans="15:15">
      <c r="O457" s="4288"/>
    </row>
    <row r="458" spans="15:15">
      <c r="O458" s="4288"/>
    </row>
    <row r="459" spans="15:15">
      <c r="O459" s="4288"/>
    </row>
    <row r="460" spans="15:15">
      <c r="O460" s="4288"/>
    </row>
    <row r="461" spans="15:15">
      <c r="O461" s="4288"/>
    </row>
    <row r="462" spans="15:15">
      <c r="O462" s="4288"/>
    </row>
    <row r="463" spans="15:15">
      <c r="O463" s="4288"/>
    </row>
    <row r="464" spans="15:15">
      <c r="O464" s="4288"/>
    </row>
    <row r="465" spans="15:15">
      <c r="O465" s="4288"/>
    </row>
    <row r="466" spans="15:15">
      <c r="O466" s="4288"/>
    </row>
    <row r="467" spans="15:15">
      <c r="O467" s="4288"/>
    </row>
    <row r="468" spans="15:15">
      <c r="O468" s="4288"/>
    </row>
    <row r="469" spans="15:15">
      <c r="O469" s="4288"/>
    </row>
    <row r="470" spans="15:15">
      <c r="O470" s="4288"/>
    </row>
    <row r="471" spans="15:15">
      <c r="O471" s="4288"/>
    </row>
    <row r="472" spans="15:15">
      <c r="O472" s="4288"/>
    </row>
    <row r="473" spans="15:15">
      <c r="O473" s="4288"/>
    </row>
    <row r="474" spans="15:15">
      <c r="O474" s="4288"/>
    </row>
    <row r="475" spans="15:15">
      <c r="O475" s="4288"/>
    </row>
    <row r="476" spans="15:15">
      <c r="O476" s="4288"/>
    </row>
    <row r="477" spans="15:15">
      <c r="O477" s="4288"/>
    </row>
    <row r="478" spans="15:15">
      <c r="O478" s="4288"/>
    </row>
    <row r="479" spans="15:15">
      <c r="O479" s="4288"/>
    </row>
    <row r="480" spans="15:15">
      <c r="O480" s="4288"/>
    </row>
    <row r="481" spans="15:15">
      <c r="O481" s="4288"/>
    </row>
    <row r="482" spans="15:15">
      <c r="O482" s="4288"/>
    </row>
    <row r="483" spans="15:15">
      <c r="O483" s="4288"/>
    </row>
    <row r="484" spans="15:15">
      <c r="O484" s="4288"/>
    </row>
    <row r="485" spans="15:15">
      <c r="O485" s="4288"/>
    </row>
    <row r="486" spans="15:15">
      <c r="O486" s="4288"/>
    </row>
    <row r="487" spans="15:15">
      <c r="O487" s="4288"/>
    </row>
    <row r="488" spans="15:15">
      <c r="O488" s="4288"/>
    </row>
    <row r="489" spans="15:15">
      <c r="O489" s="4288"/>
    </row>
    <row r="490" spans="15:15">
      <c r="O490" s="4288"/>
    </row>
    <row r="491" spans="15:15">
      <c r="O491" s="4288"/>
    </row>
    <row r="492" spans="15:15">
      <c r="O492" s="4288"/>
    </row>
    <row r="493" spans="15:15">
      <c r="O493" s="4288"/>
    </row>
    <row r="494" spans="15:15">
      <c r="O494" s="4288"/>
    </row>
    <row r="495" spans="15:15">
      <c r="O495" s="4288"/>
    </row>
    <row r="496" spans="15:15">
      <c r="O496" s="4288"/>
    </row>
    <row r="497" spans="15:15">
      <c r="O497" s="4288"/>
    </row>
    <row r="498" spans="15:15">
      <c r="O498" s="4288"/>
    </row>
    <row r="499" spans="15:15">
      <c r="O499" s="4288"/>
    </row>
    <row r="500" spans="15:15">
      <c r="O500" s="4288"/>
    </row>
    <row r="501" spans="15:15">
      <c r="O501" s="4288"/>
    </row>
    <row r="502" spans="15:15">
      <c r="O502" s="4288"/>
    </row>
    <row r="503" spans="15:15">
      <c r="O503" s="4288"/>
    </row>
    <row r="504" spans="15:15">
      <c r="O504" s="4288"/>
    </row>
    <row r="505" spans="15:15">
      <c r="O505" s="4288"/>
    </row>
    <row r="506" spans="15:15">
      <c r="O506" s="4288"/>
    </row>
    <row r="507" spans="15:15">
      <c r="O507" s="4288"/>
    </row>
    <row r="508" spans="15:15">
      <c r="O508" s="4288"/>
    </row>
    <row r="509" spans="15:15">
      <c r="O509" s="4288"/>
    </row>
    <row r="510" spans="15:15">
      <c r="O510" s="4288"/>
    </row>
    <row r="511" spans="15:15">
      <c r="O511" s="4288"/>
    </row>
    <row r="512" spans="15:15">
      <c r="O512" s="4288"/>
    </row>
    <row r="513" spans="15:15">
      <c r="O513" s="4288"/>
    </row>
    <row r="514" spans="15:15">
      <c r="O514" s="4288"/>
    </row>
    <row r="515" spans="15:15">
      <c r="O515" s="4288"/>
    </row>
    <row r="516" spans="15:15">
      <c r="O516" s="4288"/>
    </row>
    <row r="517" spans="15:15">
      <c r="O517" s="4288"/>
    </row>
    <row r="518" spans="15:15">
      <c r="O518" s="4288"/>
    </row>
    <row r="519" spans="15:15">
      <c r="O519" s="4288"/>
    </row>
    <row r="520" spans="15:15">
      <c r="O520" s="4288"/>
    </row>
    <row r="521" spans="15:15">
      <c r="O521" s="4288"/>
    </row>
    <row r="522" spans="15:15">
      <c r="O522" s="4288"/>
    </row>
    <row r="523" spans="15:15">
      <c r="O523" s="4288"/>
    </row>
    <row r="524" spans="15:15">
      <c r="O524" s="4288"/>
    </row>
    <row r="525" spans="15:15">
      <c r="O525" s="4288"/>
    </row>
    <row r="526" spans="15:15">
      <c r="O526" s="4288"/>
    </row>
    <row r="527" spans="15:15">
      <c r="O527" s="4288"/>
    </row>
    <row r="528" spans="15:15">
      <c r="O528" s="4288"/>
    </row>
    <row r="529" spans="15:15">
      <c r="O529" s="4288"/>
    </row>
    <row r="530" spans="15:15">
      <c r="O530" s="4288"/>
    </row>
    <row r="531" spans="15:15">
      <c r="O531" s="4288"/>
    </row>
    <row r="532" spans="15:15">
      <c r="O532" s="4288"/>
    </row>
    <row r="533" spans="15:15">
      <c r="O533" s="4288"/>
    </row>
    <row r="534" spans="15:15">
      <c r="O534" s="4288"/>
    </row>
    <row r="535" spans="15:15">
      <c r="O535" s="4288"/>
    </row>
    <row r="536" spans="15:15">
      <c r="O536" s="4288"/>
    </row>
    <row r="537" spans="15:15">
      <c r="O537" s="4288"/>
    </row>
    <row r="538" spans="15:15">
      <c r="O538" s="4288"/>
    </row>
    <row r="539" spans="15:15">
      <c r="O539" s="4288"/>
    </row>
    <row r="540" spans="15:15">
      <c r="O540" s="4288"/>
    </row>
    <row r="541" spans="15:15">
      <c r="O541" s="4288"/>
    </row>
    <row r="542" spans="15:15">
      <c r="O542" s="4288"/>
    </row>
    <row r="543" spans="15:15">
      <c r="O543" s="4288"/>
    </row>
    <row r="544" spans="15:15">
      <c r="O544" s="4288"/>
    </row>
    <row r="545" spans="15:15">
      <c r="O545" s="4288"/>
    </row>
    <row r="546" spans="15:15">
      <c r="O546" s="4288"/>
    </row>
    <row r="547" spans="15:15">
      <c r="O547" s="4288"/>
    </row>
    <row r="548" spans="15:15">
      <c r="O548" s="4288"/>
    </row>
    <row r="549" spans="15:15">
      <c r="O549" s="4288"/>
    </row>
    <row r="550" spans="15:15">
      <c r="O550" s="4288"/>
    </row>
    <row r="551" spans="15:15">
      <c r="O551" s="4288"/>
    </row>
    <row r="552" spans="15:15">
      <c r="O552" s="4288"/>
    </row>
    <row r="553" spans="15:15">
      <c r="O553" s="4288"/>
    </row>
    <row r="554" spans="15:15">
      <c r="O554" s="4288"/>
    </row>
    <row r="555" spans="15:15">
      <c r="O555" s="4288"/>
    </row>
    <row r="556" spans="15:15">
      <c r="O556" s="4288"/>
    </row>
    <row r="557" spans="15:15">
      <c r="O557" s="4288"/>
    </row>
    <row r="558" spans="15:15">
      <c r="O558" s="4288"/>
    </row>
    <row r="559" spans="15:15">
      <c r="O559" s="4288"/>
    </row>
    <row r="560" spans="15:15">
      <c r="O560" s="4288"/>
    </row>
    <row r="561" spans="15:15">
      <c r="O561" s="4288"/>
    </row>
    <row r="562" spans="15:15">
      <c r="O562" s="4288"/>
    </row>
    <row r="563" spans="15:15">
      <c r="O563" s="4288"/>
    </row>
    <row r="564" spans="15:15">
      <c r="O564" s="4288"/>
    </row>
    <row r="565" spans="15:15">
      <c r="O565" s="4288"/>
    </row>
    <row r="566" spans="15:15">
      <c r="O566" s="4288"/>
    </row>
    <row r="567" spans="15:15">
      <c r="O567" s="4288"/>
    </row>
    <row r="568" spans="15:15">
      <c r="O568" s="4288"/>
    </row>
    <row r="569" spans="15:15">
      <c r="O569" s="4288"/>
    </row>
    <row r="570" spans="15:15">
      <c r="O570" s="4288"/>
    </row>
    <row r="571" spans="15:15">
      <c r="O571" s="4288"/>
    </row>
    <row r="572" spans="15:15">
      <c r="O572" s="4288"/>
    </row>
    <row r="573" spans="15:15">
      <c r="O573" s="4288"/>
    </row>
    <row r="574" spans="15:15">
      <c r="O574" s="4288"/>
    </row>
    <row r="575" spans="15:15">
      <c r="O575" s="4288"/>
    </row>
    <row r="576" spans="15:15">
      <c r="O576" s="4288"/>
    </row>
    <row r="577" spans="15:15">
      <c r="O577" s="4288"/>
    </row>
    <row r="578" spans="15:15">
      <c r="O578" s="4288"/>
    </row>
    <row r="579" spans="15:15">
      <c r="O579" s="4288"/>
    </row>
    <row r="580" spans="15:15">
      <c r="O580" s="4288"/>
    </row>
    <row r="581" spans="15:15">
      <c r="O581" s="4288"/>
    </row>
    <row r="582" spans="15:15">
      <c r="O582" s="4288"/>
    </row>
    <row r="583" spans="15:15">
      <c r="O583" s="4288"/>
    </row>
    <row r="584" spans="15:15">
      <c r="O584" s="4288"/>
    </row>
    <row r="585" spans="15:15">
      <c r="O585" s="4288"/>
    </row>
    <row r="586" spans="15:15">
      <c r="O586" s="4288"/>
    </row>
    <row r="587" spans="15:15">
      <c r="O587" s="4288"/>
    </row>
    <row r="588" spans="15:15">
      <c r="O588" s="4288"/>
    </row>
    <row r="589" spans="15:15">
      <c r="O589" s="4288"/>
    </row>
    <row r="590" spans="15:15">
      <c r="O590" s="4288"/>
    </row>
    <row r="591" spans="15:15">
      <c r="O591" s="4288"/>
    </row>
    <row r="592" spans="15:15">
      <c r="O592" s="4288"/>
    </row>
    <row r="593" spans="15:15">
      <c r="O593" s="4288"/>
    </row>
    <row r="594" spans="15:15">
      <c r="O594" s="4288"/>
    </row>
    <row r="595" spans="15:15">
      <c r="O595" s="4288"/>
    </row>
    <row r="596" spans="15:15">
      <c r="O596" s="4288"/>
    </row>
    <row r="597" spans="15:15">
      <c r="O597" s="4288"/>
    </row>
    <row r="598" spans="15:15">
      <c r="O598" s="4288"/>
    </row>
    <row r="599" spans="15:15">
      <c r="O599" s="4288"/>
    </row>
    <row r="600" spans="15:15">
      <c r="O600" s="4288"/>
    </row>
    <row r="601" spans="15:15">
      <c r="O601" s="4288"/>
    </row>
    <row r="602" spans="15:15">
      <c r="O602" s="4288"/>
    </row>
    <row r="603" spans="15:15">
      <c r="O603" s="4288"/>
    </row>
    <row r="604" spans="15:15">
      <c r="O604" s="4288"/>
    </row>
    <row r="605" spans="15:15">
      <c r="O605" s="4288"/>
    </row>
    <row r="606" spans="15:15">
      <c r="O606" s="4288"/>
    </row>
    <row r="607" spans="15:15">
      <c r="O607" s="4288"/>
    </row>
    <row r="608" spans="15:15">
      <c r="O608" s="4288"/>
    </row>
    <row r="609" spans="15:15">
      <c r="O609" s="4288"/>
    </row>
    <row r="610" spans="15:15">
      <c r="O610" s="4288"/>
    </row>
    <row r="611" spans="15:15">
      <c r="O611" s="4288"/>
    </row>
    <row r="612" spans="15:15">
      <c r="O612" s="4288"/>
    </row>
    <row r="613" spans="15:15">
      <c r="O613" s="4288"/>
    </row>
    <row r="614" spans="15:15">
      <c r="O614" s="4288"/>
    </row>
    <row r="615" spans="15:15">
      <c r="O615" s="4288"/>
    </row>
    <row r="616" spans="15:15">
      <c r="O616" s="4288"/>
    </row>
    <row r="617" spans="15:15">
      <c r="O617" s="4288"/>
    </row>
    <row r="618" spans="15:15">
      <c r="O618" s="4288"/>
    </row>
    <row r="619" spans="15:15">
      <c r="O619" s="4288"/>
    </row>
    <row r="620" spans="15:15">
      <c r="O620" s="4288"/>
    </row>
    <row r="621" spans="15:15">
      <c r="O621" s="4288"/>
    </row>
    <row r="622" spans="15:15">
      <c r="O622" s="4288"/>
    </row>
    <row r="623" spans="15:15">
      <c r="O623" s="4288"/>
    </row>
    <row r="624" spans="15:15">
      <c r="O624" s="4288"/>
    </row>
    <row r="625" spans="15:15">
      <c r="O625" s="4288"/>
    </row>
    <row r="626" spans="15:15">
      <c r="O626" s="4288"/>
    </row>
    <row r="627" spans="15:15">
      <c r="O627" s="4288"/>
    </row>
    <row r="628" spans="15:15">
      <c r="O628" s="4288"/>
    </row>
    <row r="629" spans="15:15">
      <c r="O629" s="4288"/>
    </row>
    <row r="630" spans="15:15">
      <c r="O630" s="4288"/>
    </row>
    <row r="631" spans="15:15">
      <c r="O631" s="4288"/>
    </row>
    <row r="632" spans="15:15">
      <c r="O632" s="4288"/>
    </row>
    <row r="633" spans="15:15">
      <c r="O633" s="4288"/>
    </row>
    <row r="634" spans="15:15">
      <c r="O634" s="4288"/>
    </row>
    <row r="635" spans="15:15">
      <c r="O635" s="4288"/>
    </row>
    <row r="636" spans="15:15">
      <c r="O636" s="4288"/>
    </row>
    <row r="637" spans="15:15">
      <c r="O637" s="4288"/>
    </row>
    <row r="638" spans="15:15">
      <c r="O638" s="4288"/>
    </row>
    <row r="639" spans="15:15">
      <c r="O639" s="4288"/>
    </row>
    <row r="640" spans="15:15">
      <c r="O640" s="4288"/>
    </row>
    <row r="641" spans="15:15">
      <c r="O641" s="4288"/>
    </row>
    <row r="642" spans="15:15">
      <c r="O642" s="4288"/>
    </row>
    <row r="643" spans="15:15">
      <c r="O643" s="4288"/>
    </row>
    <row r="644" spans="15:15">
      <c r="O644" s="4288"/>
    </row>
    <row r="645" spans="15:15">
      <c r="O645" s="4288"/>
    </row>
    <row r="646" spans="15:15">
      <c r="O646" s="4288"/>
    </row>
    <row r="647" spans="15:15">
      <c r="O647" s="4288"/>
    </row>
    <row r="648" spans="15:15">
      <c r="O648" s="4288"/>
    </row>
    <row r="649" spans="15:15">
      <c r="O649" s="4288"/>
    </row>
    <row r="650" spans="15:15">
      <c r="O650" s="4288"/>
    </row>
    <row r="651" spans="15:15">
      <c r="O651" s="4288"/>
    </row>
    <row r="652" spans="15:15">
      <c r="O652" s="4288"/>
    </row>
    <row r="653" spans="15:15">
      <c r="O653" s="4288"/>
    </row>
    <row r="654" spans="15:15">
      <c r="O654" s="4288"/>
    </row>
    <row r="655" spans="15:15">
      <c r="O655" s="4288"/>
    </row>
    <row r="656" spans="15:15">
      <c r="O656" s="4288"/>
    </row>
    <row r="657" spans="15:15">
      <c r="O657" s="4288"/>
    </row>
    <row r="658" spans="15:15">
      <c r="O658" s="4288"/>
    </row>
    <row r="659" spans="15:15">
      <c r="O659" s="4288"/>
    </row>
    <row r="660" spans="15:15">
      <c r="O660" s="4288"/>
    </row>
    <row r="661" spans="15:15">
      <c r="O661" s="4288"/>
    </row>
    <row r="662" spans="15:15">
      <c r="O662" s="4288"/>
    </row>
    <row r="663" spans="15:15">
      <c r="O663" s="4288"/>
    </row>
    <row r="664" spans="15:15">
      <c r="O664" s="4288"/>
    </row>
    <row r="665" spans="15:15">
      <c r="O665" s="4288"/>
    </row>
    <row r="666" spans="15:15">
      <c r="O666" s="4288"/>
    </row>
    <row r="667" spans="15:15">
      <c r="O667" s="4288"/>
    </row>
    <row r="668" spans="15:15">
      <c r="O668" s="4288"/>
    </row>
    <row r="669" spans="15:15">
      <c r="O669" s="4288"/>
    </row>
    <row r="670" spans="15:15">
      <c r="O670" s="4288"/>
    </row>
    <row r="671" spans="15:15">
      <c r="O671" s="4288"/>
    </row>
    <row r="672" spans="15:15">
      <c r="O672" s="4288"/>
    </row>
    <row r="673" spans="15:15">
      <c r="O673" s="4288"/>
    </row>
    <row r="674" spans="15:15">
      <c r="O674" s="4288"/>
    </row>
    <row r="675" spans="15:15">
      <c r="O675" s="4288"/>
    </row>
    <row r="676" spans="15:15">
      <c r="O676" s="4288"/>
    </row>
    <row r="677" spans="15:15">
      <c r="O677" s="4288"/>
    </row>
    <row r="678" spans="15:15">
      <c r="O678" s="4288"/>
    </row>
    <row r="679" spans="15:15">
      <c r="O679" s="4288"/>
    </row>
    <row r="680" spans="15:15">
      <c r="O680" s="4288"/>
    </row>
    <row r="681" spans="15:15">
      <c r="O681" s="4288"/>
    </row>
    <row r="682" spans="15:15">
      <c r="O682" s="4288"/>
    </row>
    <row r="683" spans="15:15">
      <c r="O683" s="4288"/>
    </row>
    <row r="684" spans="15:15">
      <c r="O684" s="4288"/>
    </row>
    <row r="685" spans="15:15">
      <c r="O685" s="4288"/>
    </row>
    <row r="686" spans="15:15">
      <c r="O686" s="4288"/>
    </row>
    <row r="687" spans="15:15">
      <c r="O687" s="4288"/>
    </row>
    <row r="688" spans="15:15">
      <c r="O688" s="4288"/>
    </row>
    <row r="689" spans="15:15">
      <c r="O689" s="4288"/>
    </row>
    <row r="690" spans="15:15">
      <c r="O690" s="4288"/>
    </row>
    <row r="691" spans="15:15">
      <c r="O691" s="4288"/>
    </row>
    <row r="692" spans="15:15">
      <c r="O692" s="4288"/>
    </row>
    <row r="693" spans="15:15">
      <c r="O693" s="4288"/>
    </row>
    <row r="694" spans="15:15">
      <c r="O694" s="4288"/>
    </row>
    <row r="695" spans="15:15">
      <c r="O695" s="4288"/>
    </row>
    <row r="696" spans="15:15">
      <c r="O696" s="4288"/>
    </row>
    <row r="697" spans="15:15">
      <c r="O697" s="4288"/>
    </row>
    <row r="698" spans="15:15">
      <c r="O698" s="4288"/>
    </row>
    <row r="699" spans="15:15">
      <c r="O699" s="4288"/>
    </row>
    <row r="700" spans="15:15">
      <c r="O700" s="4288"/>
    </row>
    <row r="701" spans="15:15">
      <c r="O701" s="4288"/>
    </row>
    <row r="702" spans="15:15">
      <c r="O702" s="4288"/>
    </row>
    <row r="703" spans="15:15">
      <c r="O703" s="4288"/>
    </row>
    <row r="704" spans="15:15">
      <c r="O704" s="4288"/>
    </row>
    <row r="705" spans="15:15">
      <c r="O705" s="4288"/>
    </row>
    <row r="706" spans="15:15">
      <c r="O706" s="4288"/>
    </row>
    <row r="707" spans="15:15">
      <c r="O707" s="4288"/>
    </row>
    <row r="708" spans="15:15">
      <c r="O708" s="4288"/>
    </row>
    <row r="709" spans="15:15">
      <c r="O709" s="4288"/>
    </row>
    <row r="710" spans="15:15">
      <c r="O710" s="4288"/>
    </row>
    <row r="711" spans="15:15">
      <c r="O711" s="4288"/>
    </row>
    <row r="712" spans="15:15">
      <c r="O712" s="4288"/>
    </row>
    <row r="713" spans="15:15">
      <c r="O713" s="4288"/>
    </row>
    <row r="714" spans="15:15">
      <c r="O714" s="4288"/>
    </row>
    <row r="715" spans="15:15">
      <c r="O715" s="4288"/>
    </row>
    <row r="716" spans="15:15">
      <c r="O716" s="4288"/>
    </row>
    <row r="717" spans="15:15">
      <c r="O717" s="4288"/>
    </row>
    <row r="718" spans="15:15">
      <c r="O718" s="4288"/>
    </row>
    <row r="719" spans="15:15">
      <c r="O719" s="4288"/>
    </row>
    <row r="720" spans="15:15">
      <c r="O720" s="4288"/>
    </row>
    <row r="721" spans="15:15">
      <c r="O721" s="4288"/>
    </row>
    <row r="722" spans="15:15">
      <c r="O722" s="4288"/>
    </row>
    <row r="723" spans="15:15">
      <c r="O723" s="4288"/>
    </row>
    <row r="724" spans="15:15">
      <c r="O724" s="4288"/>
    </row>
    <row r="725" spans="15:15">
      <c r="O725" s="4288"/>
    </row>
    <row r="726" spans="15:15">
      <c r="O726" s="4288"/>
    </row>
    <row r="727" spans="15:15">
      <c r="O727" s="4288"/>
    </row>
    <row r="728" spans="15:15">
      <c r="O728" s="4288"/>
    </row>
    <row r="729" spans="15:15">
      <c r="O729" s="4288"/>
    </row>
    <row r="730" spans="15:15">
      <c r="O730" s="4288"/>
    </row>
    <row r="731" spans="15:15">
      <c r="O731" s="4288"/>
    </row>
    <row r="732" spans="15:15">
      <c r="O732" s="4288"/>
    </row>
    <row r="733" spans="15:15">
      <c r="O733" s="4288"/>
    </row>
    <row r="734" spans="15:15">
      <c r="O734" s="4288"/>
    </row>
    <row r="735" spans="15:15">
      <c r="O735" s="4288"/>
    </row>
    <row r="736" spans="15:15">
      <c r="O736" s="4288"/>
    </row>
    <row r="737" spans="15:15">
      <c r="O737" s="4288"/>
    </row>
    <row r="738" spans="15:15">
      <c r="O738" s="4288"/>
    </row>
    <row r="739" spans="15:15">
      <c r="O739" s="4288"/>
    </row>
    <row r="740" spans="15:15">
      <c r="O740" s="4288"/>
    </row>
    <row r="741" spans="15:15">
      <c r="O741" s="4288"/>
    </row>
    <row r="742" spans="15:15">
      <c r="O742" s="4288"/>
    </row>
    <row r="743" spans="15:15">
      <c r="O743" s="4288"/>
    </row>
    <row r="744" spans="15:15">
      <c r="O744" s="4288"/>
    </row>
    <row r="745" spans="15:15">
      <c r="O745" s="4288"/>
    </row>
    <row r="746" spans="15:15">
      <c r="O746" s="4288"/>
    </row>
    <row r="747" spans="15:15">
      <c r="O747" s="4288"/>
    </row>
    <row r="748" spans="15:15">
      <c r="O748" s="4288"/>
    </row>
    <row r="749" spans="15:15">
      <c r="O749" s="4288"/>
    </row>
    <row r="750" spans="15:15">
      <c r="O750" s="4288"/>
    </row>
    <row r="751" spans="15:15">
      <c r="O751" s="4288"/>
    </row>
    <row r="752" spans="15:15">
      <c r="O752" s="4288"/>
    </row>
    <row r="753" spans="15:15">
      <c r="O753" s="4288"/>
    </row>
    <row r="754" spans="15:15">
      <c r="O754" s="4288"/>
    </row>
    <row r="755" spans="15:15">
      <c r="O755" s="4288"/>
    </row>
    <row r="756" spans="15:15">
      <c r="O756" s="4288"/>
    </row>
    <row r="757" spans="15:15">
      <c r="O757" s="4288"/>
    </row>
    <row r="758" spans="15:15">
      <c r="O758" s="4288"/>
    </row>
    <row r="759" spans="15:15">
      <c r="O759" s="4288"/>
    </row>
    <row r="760" spans="15:15">
      <c r="O760" s="4288"/>
    </row>
    <row r="761" spans="15:15">
      <c r="O761" s="4288"/>
    </row>
    <row r="762" spans="15:15">
      <c r="O762" s="4288"/>
    </row>
    <row r="763" spans="15:15">
      <c r="O763" s="4288"/>
    </row>
    <row r="764" spans="15:15">
      <c r="O764" s="4288"/>
    </row>
    <row r="765" spans="15:15">
      <c r="O765" s="4288"/>
    </row>
    <row r="766" spans="15:15">
      <c r="O766" s="4288"/>
    </row>
    <row r="767" spans="15:15">
      <c r="O767" s="4288"/>
    </row>
    <row r="768" spans="15:15">
      <c r="O768" s="4288"/>
    </row>
    <row r="769" spans="15:15">
      <c r="O769" s="4288"/>
    </row>
    <row r="770" spans="15:15">
      <c r="O770" s="4288"/>
    </row>
    <row r="771" spans="15:15">
      <c r="O771" s="4288"/>
    </row>
    <row r="772" spans="15:15">
      <c r="O772" s="4288"/>
    </row>
    <row r="773" spans="15:15">
      <c r="O773" s="4288"/>
    </row>
    <row r="774" spans="15:15">
      <c r="O774" s="4288"/>
    </row>
    <row r="775" spans="15:15">
      <c r="O775" s="4288"/>
    </row>
    <row r="776" spans="15:15">
      <c r="O776" s="4288"/>
    </row>
    <row r="777" spans="15:15">
      <c r="O777" s="4288"/>
    </row>
    <row r="778" spans="15:15">
      <c r="O778" s="4288"/>
    </row>
    <row r="779" spans="15:15">
      <c r="O779" s="4288"/>
    </row>
    <row r="780" spans="15:15">
      <c r="O780" s="4288"/>
    </row>
    <row r="781" spans="15:15">
      <c r="O781" s="4288"/>
    </row>
    <row r="782" spans="15:15">
      <c r="O782" s="4288"/>
    </row>
    <row r="783" spans="15:15">
      <c r="O783" s="4288"/>
    </row>
    <row r="784" spans="15:15">
      <c r="O784" s="4288"/>
    </row>
    <row r="785" spans="15:15">
      <c r="O785" s="4288"/>
    </row>
    <row r="786" spans="15:15">
      <c r="O786" s="4288"/>
    </row>
    <row r="787" spans="15:15">
      <c r="O787" s="4288"/>
    </row>
    <row r="788" spans="15:15">
      <c r="O788" s="4288"/>
    </row>
    <row r="789" spans="15:15">
      <c r="O789" s="4288"/>
    </row>
    <row r="790" spans="15:15">
      <c r="O790" s="4288"/>
    </row>
    <row r="791" spans="15:15">
      <c r="O791" s="4288"/>
    </row>
    <row r="792" spans="15:15">
      <c r="O792" s="4288"/>
    </row>
    <row r="793" spans="15:15">
      <c r="O793" s="4288"/>
    </row>
    <row r="794" spans="15:15">
      <c r="O794" s="4288"/>
    </row>
    <row r="795" spans="15:15">
      <c r="O795" s="4288"/>
    </row>
    <row r="796" spans="15:15">
      <c r="O796" s="4288"/>
    </row>
    <row r="797" spans="15:15">
      <c r="O797" s="4288"/>
    </row>
    <row r="798" spans="15:15">
      <c r="O798" s="4288"/>
    </row>
    <row r="799" spans="15:15">
      <c r="O799" s="4288"/>
    </row>
    <row r="800" spans="15:15">
      <c r="O800" s="4288"/>
    </row>
    <row r="801" spans="15:15">
      <c r="O801" s="4288"/>
    </row>
    <row r="802" spans="15:15">
      <c r="O802" s="4288"/>
    </row>
    <row r="803" spans="15:15">
      <c r="O803" s="4288"/>
    </row>
    <row r="804" spans="15:15">
      <c r="O804" s="4288"/>
    </row>
    <row r="805" spans="15:15">
      <c r="O805" s="4288"/>
    </row>
    <row r="806" spans="15:15">
      <c r="O806" s="4288"/>
    </row>
    <row r="807" spans="15:15">
      <c r="O807" s="4288"/>
    </row>
    <row r="808" spans="15:15">
      <c r="O808" s="4288"/>
    </row>
    <row r="809" spans="15:15">
      <c r="O809" s="4288"/>
    </row>
    <row r="810" spans="15:15">
      <c r="O810" s="4288"/>
    </row>
    <row r="811" spans="15:15">
      <c r="O811" s="4288"/>
    </row>
    <row r="812" spans="15:15">
      <c r="O812" s="4288"/>
    </row>
    <row r="813" spans="15:15">
      <c r="O813" s="4288"/>
    </row>
    <row r="814" spans="15:15">
      <c r="O814" s="4288"/>
    </row>
    <row r="815" spans="15:15">
      <c r="O815" s="4288"/>
    </row>
    <row r="816" spans="15:15">
      <c r="O816" s="4288"/>
    </row>
    <row r="817" spans="15:15">
      <c r="O817" s="4288"/>
    </row>
    <row r="818" spans="15:15">
      <c r="O818" s="4288"/>
    </row>
    <row r="819" spans="15:15">
      <c r="O819" s="4288"/>
    </row>
    <row r="820" spans="15:15">
      <c r="O820" s="4288"/>
    </row>
    <row r="821" spans="15:15">
      <c r="O821" s="4288"/>
    </row>
    <row r="822" spans="15:15">
      <c r="O822" s="4288"/>
    </row>
    <row r="823" spans="15:15">
      <c r="O823" s="4288"/>
    </row>
    <row r="824" spans="15:15">
      <c r="O824" s="4288"/>
    </row>
    <row r="825" spans="15:15">
      <c r="O825" s="4288"/>
    </row>
    <row r="826" spans="15:15">
      <c r="O826" s="4288"/>
    </row>
    <row r="827" spans="15:15">
      <c r="O827" s="4288"/>
    </row>
    <row r="828" spans="15:15">
      <c r="O828" s="4288"/>
    </row>
    <row r="829" spans="15:15">
      <c r="O829" s="4288"/>
    </row>
    <row r="830" spans="15:15">
      <c r="O830" s="4288"/>
    </row>
    <row r="831" spans="15:15">
      <c r="O831" s="4288"/>
    </row>
    <row r="832" spans="15:15">
      <c r="O832" s="4288"/>
    </row>
    <row r="833" spans="15:15">
      <c r="O833" s="4288"/>
    </row>
    <row r="834" spans="15:15">
      <c r="O834" s="4288"/>
    </row>
    <row r="835" spans="15:15">
      <c r="O835" s="4288"/>
    </row>
    <row r="836" spans="15:15">
      <c r="O836" s="4288"/>
    </row>
    <row r="837" spans="15:15">
      <c r="O837" s="4288"/>
    </row>
    <row r="838" spans="15:15">
      <c r="O838" s="4288"/>
    </row>
    <row r="839" spans="15:15">
      <c r="O839" s="4288"/>
    </row>
    <row r="840" spans="15:15">
      <c r="O840" s="4288"/>
    </row>
    <row r="841" spans="15:15">
      <c r="O841" s="4288"/>
    </row>
    <row r="842" spans="15:15">
      <c r="O842" s="4288"/>
    </row>
    <row r="843" spans="15:15">
      <c r="O843" s="4288"/>
    </row>
    <row r="844" spans="15:15">
      <c r="O844" s="4288"/>
    </row>
    <row r="845" spans="15:15">
      <c r="O845" s="4288"/>
    </row>
    <row r="846" spans="15:15">
      <c r="O846" s="4288"/>
    </row>
    <row r="847" spans="15:15">
      <c r="O847" s="4288"/>
    </row>
    <row r="848" spans="15:15">
      <c r="O848" s="4288"/>
    </row>
    <row r="849" spans="15:15">
      <c r="O849" s="4288"/>
    </row>
    <row r="850" spans="15:15">
      <c r="O850" s="4288"/>
    </row>
    <row r="851" spans="15:15">
      <c r="O851" s="4288"/>
    </row>
    <row r="852" spans="15:15">
      <c r="O852" s="4288"/>
    </row>
    <row r="853" spans="15:15">
      <c r="O853" s="4288"/>
    </row>
    <row r="854" spans="15:15">
      <c r="O854" s="4288"/>
    </row>
    <row r="855" spans="15:15">
      <c r="O855" s="4288"/>
    </row>
    <row r="856" spans="15:15">
      <c r="O856" s="4288"/>
    </row>
    <row r="857" spans="15:15">
      <c r="O857" s="4288"/>
    </row>
    <row r="858" spans="15:15">
      <c r="O858" s="4288"/>
    </row>
    <row r="859" spans="15:15">
      <c r="O859" s="4288"/>
    </row>
    <row r="860" spans="15:15">
      <c r="O860" s="4288"/>
    </row>
    <row r="861" spans="15:15">
      <c r="O861" s="4288"/>
    </row>
    <row r="862" spans="15:15">
      <c r="O862" s="4288"/>
    </row>
    <row r="863" spans="15:15">
      <c r="O863" s="4288"/>
    </row>
    <row r="864" spans="15:15">
      <c r="O864" s="4288"/>
    </row>
    <row r="865" spans="15:15">
      <c r="O865" s="4288"/>
    </row>
    <row r="866" spans="15:15">
      <c r="O866" s="4288"/>
    </row>
    <row r="867" spans="15:15">
      <c r="O867" s="4288"/>
    </row>
    <row r="868" spans="15:15">
      <c r="O868" s="4288"/>
    </row>
    <row r="869" spans="15:15">
      <c r="O869" s="4288"/>
    </row>
    <row r="870" spans="15:15">
      <c r="O870" s="4288"/>
    </row>
    <row r="871" spans="15:15">
      <c r="O871" s="4288"/>
    </row>
    <row r="872" spans="15:15">
      <c r="O872" s="4288"/>
    </row>
    <row r="873" spans="15:15">
      <c r="O873" s="4288"/>
    </row>
    <row r="874" spans="15:15">
      <c r="O874" s="4288"/>
    </row>
    <row r="875" spans="15:15">
      <c r="O875" s="4288"/>
    </row>
    <row r="876" spans="15:15">
      <c r="O876" s="4288"/>
    </row>
    <row r="877" spans="15:15">
      <c r="O877" s="4288"/>
    </row>
    <row r="878" spans="15:15">
      <c r="O878" s="4288"/>
    </row>
    <row r="879" spans="15:15">
      <c r="O879" s="4288"/>
    </row>
    <row r="880" spans="15:15">
      <c r="O880" s="4288"/>
    </row>
    <row r="881" spans="15:15">
      <c r="O881" s="4288"/>
    </row>
    <row r="882" spans="15:15">
      <c r="O882" s="4288"/>
    </row>
    <row r="883" spans="15:15">
      <c r="O883" s="4288"/>
    </row>
    <row r="884" spans="15:15">
      <c r="O884" s="4288"/>
    </row>
    <row r="885" spans="15:15">
      <c r="O885" s="4288"/>
    </row>
    <row r="886" spans="15:15">
      <c r="O886" s="4288"/>
    </row>
    <row r="887" spans="15:15">
      <c r="O887" s="4288"/>
    </row>
    <row r="888" spans="15:15">
      <c r="O888" s="4288"/>
    </row>
    <row r="889" spans="15:15">
      <c r="O889" s="4288"/>
    </row>
    <row r="890" spans="15:15">
      <c r="O890" s="4288"/>
    </row>
    <row r="891" spans="15:15">
      <c r="O891" s="4288"/>
    </row>
    <row r="892" spans="15:15">
      <c r="O892" s="4288"/>
    </row>
    <row r="893" spans="15:15">
      <c r="O893" s="4288"/>
    </row>
    <row r="894" spans="15:15">
      <c r="O894" s="4288"/>
    </row>
    <row r="895" spans="15:15">
      <c r="O895" s="4288"/>
    </row>
    <row r="896" spans="15:15">
      <c r="O896" s="4288"/>
    </row>
    <row r="897" spans="15:15">
      <c r="O897" s="4288"/>
    </row>
    <row r="898" spans="15:15">
      <c r="O898" s="4288"/>
    </row>
    <row r="899" spans="15:15">
      <c r="O899" s="4288"/>
    </row>
    <row r="900" spans="15:15">
      <c r="O900" s="4288"/>
    </row>
    <row r="901" spans="15:15">
      <c r="O901" s="4288"/>
    </row>
    <row r="902" spans="15:15">
      <c r="O902" s="4288"/>
    </row>
    <row r="903" spans="15:15">
      <c r="O903" s="4288"/>
    </row>
    <row r="904" spans="15:15">
      <c r="O904" s="4288"/>
    </row>
    <row r="905" spans="15:15">
      <c r="O905" s="4288"/>
    </row>
    <row r="906" spans="15:15">
      <c r="O906" s="4288"/>
    </row>
    <row r="907" spans="15:15">
      <c r="O907" s="4288"/>
    </row>
    <row r="908" spans="15:15">
      <c r="O908" s="4288"/>
    </row>
    <row r="909" spans="15:15">
      <c r="O909" s="4288"/>
    </row>
    <row r="910" spans="15:15">
      <c r="O910" s="4288"/>
    </row>
    <row r="911" spans="15:15">
      <c r="O911" s="4288"/>
    </row>
    <row r="912" spans="15:15">
      <c r="O912" s="4288"/>
    </row>
    <row r="913" spans="15:15">
      <c r="O913" s="4288"/>
    </row>
    <row r="914" spans="15:15">
      <c r="O914" s="4288"/>
    </row>
    <row r="915" spans="15:15">
      <c r="O915" s="4288"/>
    </row>
    <row r="916" spans="15:15">
      <c r="O916" s="4288"/>
    </row>
    <row r="917" spans="15:15">
      <c r="O917" s="4288"/>
    </row>
    <row r="918" spans="15:15">
      <c r="O918" s="4288"/>
    </row>
    <row r="919" spans="15:15">
      <c r="O919" s="4288"/>
    </row>
    <row r="920" spans="15:15">
      <c r="O920" s="4288"/>
    </row>
    <row r="921" spans="15:15">
      <c r="O921" s="4288"/>
    </row>
    <row r="922" spans="15:15">
      <c r="O922" s="4288"/>
    </row>
    <row r="923" spans="15:15">
      <c r="O923" s="4288"/>
    </row>
    <row r="924" spans="15:15">
      <c r="O924" s="4288"/>
    </row>
    <row r="925" spans="15:15">
      <c r="O925" s="4288"/>
    </row>
    <row r="926" spans="15:15">
      <c r="O926" s="4288"/>
    </row>
    <row r="927" spans="15:15">
      <c r="O927" s="4288"/>
    </row>
    <row r="928" spans="15:15">
      <c r="O928" s="4288"/>
    </row>
    <row r="929" spans="15:15">
      <c r="O929" s="4288"/>
    </row>
    <row r="930" spans="15:15">
      <c r="O930" s="4288"/>
    </row>
    <row r="931" spans="15:15">
      <c r="O931" s="4288"/>
    </row>
    <row r="932" spans="15:15">
      <c r="O932" s="4288"/>
    </row>
    <row r="933" spans="15:15">
      <c r="O933" s="4288"/>
    </row>
    <row r="934" spans="15:15">
      <c r="O934" s="4288"/>
    </row>
    <row r="935" spans="15:15">
      <c r="O935" s="4288"/>
    </row>
    <row r="936" spans="15:15">
      <c r="O936" s="4288"/>
    </row>
    <row r="937" spans="15:15">
      <c r="O937" s="4288"/>
    </row>
    <row r="938" spans="15:15">
      <c r="O938" s="4288"/>
    </row>
    <row r="939" spans="15:15">
      <c r="O939" s="4288"/>
    </row>
    <row r="940" spans="15:15">
      <c r="O940" s="4288"/>
    </row>
    <row r="941" spans="15:15">
      <c r="O941" s="4288"/>
    </row>
    <row r="942" spans="15:15">
      <c r="O942" s="4288"/>
    </row>
    <row r="943" spans="15:15">
      <c r="O943" s="4288"/>
    </row>
    <row r="944" spans="15:15">
      <c r="O944" s="4288"/>
    </row>
    <row r="945" spans="15:15">
      <c r="O945" s="4288"/>
    </row>
    <row r="946" spans="15:15">
      <c r="O946" s="4288"/>
    </row>
    <row r="947" spans="15:15">
      <c r="O947" s="4288"/>
    </row>
    <row r="948" spans="15:15">
      <c r="O948" s="4288"/>
    </row>
    <row r="949" spans="15:15">
      <c r="O949" s="4288"/>
    </row>
    <row r="950" spans="15:15">
      <c r="O950" s="4288"/>
    </row>
    <row r="951" spans="15:15">
      <c r="O951" s="4288"/>
    </row>
    <row r="952" spans="15:15">
      <c r="O952" s="4288"/>
    </row>
    <row r="953" spans="15:15">
      <c r="O953" s="4288"/>
    </row>
    <row r="954" spans="15:15">
      <c r="O954" s="4288"/>
    </row>
    <row r="955" spans="15:15">
      <c r="O955" s="4288"/>
    </row>
    <row r="956" spans="15:15">
      <c r="O956" s="4288"/>
    </row>
    <row r="957" spans="15:15">
      <c r="O957" s="4288"/>
    </row>
    <row r="958" spans="15:15">
      <c r="O958" s="4288"/>
    </row>
    <row r="959" spans="15:15">
      <c r="O959" s="4288"/>
    </row>
    <row r="960" spans="15:15">
      <c r="O960" s="4288"/>
    </row>
    <row r="961" spans="15:15">
      <c r="O961" s="4288"/>
    </row>
    <row r="962" spans="15:15">
      <c r="O962" s="4288"/>
    </row>
    <row r="963" spans="15:15">
      <c r="O963" s="4288"/>
    </row>
    <row r="964" spans="15:15">
      <c r="O964" s="4288"/>
    </row>
    <row r="965" spans="15:15">
      <c r="O965" s="4288"/>
    </row>
    <row r="966" spans="15:15">
      <c r="O966" s="4288"/>
    </row>
    <row r="967" spans="15:15">
      <c r="O967" s="4288"/>
    </row>
    <row r="968" spans="15:15">
      <c r="O968" s="4288"/>
    </row>
    <row r="969" spans="15:15">
      <c r="O969" s="4288"/>
    </row>
    <row r="970" spans="15:15">
      <c r="O970" s="4288"/>
    </row>
    <row r="971" spans="15:15">
      <c r="O971" s="4288"/>
    </row>
    <row r="972" spans="15:15">
      <c r="O972" s="4288"/>
    </row>
    <row r="973" spans="15:15">
      <c r="O973" s="4288"/>
    </row>
    <row r="974" spans="15:15">
      <c r="O974" s="4288"/>
    </row>
    <row r="975" spans="15:15">
      <c r="O975" s="4288"/>
    </row>
    <row r="976" spans="15:15">
      <c r="O976" s="4288"/>
    </row>
    <row r="977" spans="15:15">
      <c r="O977" s="4288"/>
    </row>
    <row r="978" spans="15:15">
      <c r="O978" s="4288"/>
    </row>
    <row r="979" spans="15:15">
      <c r="O979" s="4288"/>
    </row>
    <row r="980" spans="15:15">
      <c r="O980" s="4288"/>
    </row>
    <row r="981" spans="15:15">
      <c r="O981" s="4288"/>
    </row>
    <row r="982" spans="15:15">
      <c r="O982" s="4288"/>
    </row>
    <row r="983" spans="15:15">
      <c r="O983" s="4288"/>
    </row>
    <row r="984" spans="15:15">
      <c r="O984" s="4288"/>
    </row>
    <row r="985" spans="15:15">
      <c r="O985" s="4288"/>
    </row>
    <row r="986" spans="15:15">
      <c r="O986" s="4288"/>
    </row>
    <row r="987" spans="15:15">
      <c r="O987" s="4288"/>
    </row>
    <row r="988" spans="15:15">
      <c r="O988" s="4288"/>
    </row>
    <row r="989" spans="15:15">
      <c r="O989" s="4288"/>
    </row>
    <row r="990" spans="15:15">
      <c r="O990" s="4288"/>
    </row>
    <row r="991" spans="15:15">
      <c r="O991" s="4288"/>
    </row>
    <row r="992" spans="15:15">
      <c r="O992" s="4288"/>
    </row>
    <row r="993" spans="15:15">
      <c r="O993" s="4288"/>
    </row>
    <row r="994" spans="15:15">
      <c r="O994" s="4288"/>
    </row>
    <row r="995" spans="15:15">
      <c r="O995" s="4288"/>
    </row>
    <row r="996" spans="15:15">
      <c r="O996" s="4288"/>
    </row>
    <row r="997" spans="15:15">
      <c r="O997" s="4288"/>
    </row>
    <row r="998" spans="15:15">
      <c r="O998" s="4288"/>
    </row>
    <row r="999" spans="15:15">
      <c r="O999" s="4288"/>
    </row>
    <row r="1000" spans="15:15">
      <c r="O1000" s="4288"/>
    </row>
    <row r="1001" spans="15:15">
      <c r="O1001" s="4288"/>
    </row>
    <row r="1002" spans="15:15">
      <c r="O1002" s="4288"/>
    </row>
    <row r="1003" spans="15:15">
      <c r="O1003" s="4288"/>
    </row>
    <row r="1004" spans="15:15">
      <c r="O1004" s="4288"/>
    </row>
    <row r="1005" spans="15:15">
      <c r="O1005" s="4288"/>
    </row>
    <row r="1006" spans="15:15">
      <c r="O1006" s="4288"/>
    </row>
    <row r="1007" spans="15:15">
      <c r="O1007" s="4288"/>
    </row>
    <row r="1008" spans="15:15">
      <c r="O1008" s="4288"/>
    </row>
    <row r="1009" spans="15:15">
      <c r="O1009" s="4288"/>
    </row>
    <row r="1010" spans="15:15">
      <c r="O1010" s="4288"/>
    </row>
    <row r="1011" spans="15:15">
      <c r="O1011" s="4288"/>
    </row>
    <row r="1012" spans="15:15">
      <c r="O1012" s="4288"/>
    </row>
    <row r="1013" spans="15:15">
      <c r="O1013" s="4288"/>
    </row>
    <row r="1014" spans="15:15">
      <c r="O1014" s="4288"/>
    </row>
    <row r="1015" spans="15:15">
      <c r="O1015" s="4288"/>
    </row>
    <row r="1016" spans="15:15">
      <c r="O1016" s="4288"/>
    </row>
    <row r="1017" spans="15:15">
      <c r="O1017" s="4288"/>
    </row>
    <row r="1018" spans="15:15">
      <c r="O1018" s="4288"/>
    </row>
    <row r="1019" spans="15:15">
      <c r="O1019" s="4288"/>
    </row>
    <row r="1020" spans="15:15">
      <c r="O1020" s="4288"/>
    </row>
    <row r="1021" spans="15:15">
      <c r="O1021" s="4288"/>
    </row>
    <row r="1022" spans="15:15">
      <c r="O1022" s="4288"/>
    </row>
    <row r="1023" spans="15:15">
      <c r="O1023" s="4288"/>
    </row>
    <row r="1024" spans="15:15">
      <c r="O1024" s="4288"/>
    </row>
    <row r="1025" spans="15:15">
      <c r="O1025" s="4288"/>
    </row>
    <row r="1026" spans="15:15">
      <c r="O1026" s="4288"/>
    </row>
    <row r="1027" spans="15:15">
      <c r="O1027" s="4288"/>
    </row>
    <row r="1028" spans="15:15">
      <c r="O1028" s="4288"/>
    </row>
    <row r="1029" spans="15:15">
      <c r="O1029" s="4288"/>
    </row>
    <row r="1030" spans="15:15">
      <c r="O1030" s="4288"/>
    </row>
    <row r="1031" spans="15:15">
      <c r="O1031" s="4288"/>
    </row>
    <row r="1032" spans="15:15">
      <c r="O1032" s="4288"/>
    </row>
    <row r="1033" spans="15:15">
      <c r="O1033" s="4288"/>
    </row>
    <row r="1034" spans="15:15">
      <c r="O1034" s="4288"/>
    </row>
    <row r="1035" spans="15:15">
      <c r="O1035" s="4288"/>
    </row>
    <row r="1036" spans="15:15">
      <c r="O1036" s="4288"/>
    </row>
    <row r="1037" spans="15:15">
      <c r="O1037" s="4288"/>
    </row>
    <row r="1038" spans="15:15">
      <c r="O1038" s="4288"/>
    </row>
    <row r="1039" spans="15:15">
      <c r="O1039" s="4288"/>
    </row>
    <row r="1040" spans="15:15">
      <c r="O1040" s="4288"/>
    </row>
    <row r="1041" spans="15:15">
      <c r="O1041" s="4288"/>
    </row>
    <row r="1042" spans="15:15">
      <c r="O1042" s="4288"/>
    </row>
    <row r="1043" spans="15:15">
      <c r="O1043" s="4288"/>
    </row>
    <row r="1044" spans="15:15">
      <c r="O1044" s="4288"/>
    </row>
    <row r="1045" spans="15:15">
      <c r="O1045" s="4288"/>
    </row>
    <row r="1046" spans="15:15">
      <c r="O1046" s="4288"/>
    </row>
    <row r="1047" spans="15:15">
      <c r="O1047" s="4288"/>
    </row>
    <row r="1048" spans="15:15">
      <c r="O1048" s="4288"/>
    </row>
    <row r="1049" spans="15:15">
      <c r="O1049" s="4288"/>
    </row>
    <row r="1050" spans="15:15">
      <c r="O1050" s="4288"/>
    </row>
    <row r="1051" spans="15:15">
      <c r="O1051" s="4288"/>
    </row>
    <row r="1052" spans="15:15">
      <c r="O1052" s="4288"/>
    </row>
    <row r="1053" spans="15:15">
      <c r="O1053" s="4288"/>
    </row>
    <row r="1054" spans="15:15">
      <c r="O1054" s="4288"/>
    </row>
    <row r="1055" spans="15:15">
      <c r="O1055" s="4288"/>
    </row>
    <row r="1056" spans="15:15">
      <c r="O1056" s="4288"/>
    </row>
    <row r="1057" spans="15:15">
      <c r="O1057" s="4288"/>
    </row>
    <row r="1058" spans="15:15">
      <c r="O1058" s="4288"/>
    </row>
    <row r="1059" spans="15:15">
      <c r="O1059" s="4288"/>
    </row>
    <row r="1060" spans="15:15">
      <c r="O1060" s="4288"/>
    </row>
    <row r="1061" spans="15:15">
      <c r="O1061" s="4288"/>
    </row>
    <row r="1062" spans="15:15">
      <c r="O1062" s="4288"/>
    </row>
    <row r="1063" spans="15:15">
      <c r="O1063" s="4288"/>
    </row>
    <row r="1064" spans="15:15">
      <c r="O1064" s="4288"/>
    </row>
    <row r="1065" spans="15:15">
      <c r="O1065" s="4288"/>
    </row>
    <row r="1066" spans="15:15">
      <c r="O1066" s="4288"/>
    </row>
    <row r="1067" spans="15:15">
      <c r="O1067" s="4288"/>
    </row>
    <row r="1068" spans="15:15">
      <c r="O1068" s="4288"/>
    </row>
    <row r="1069" spans="15:15">
      <c r="O1069" s="4288"/>
    </row>
    <row r="1070" spans="15:15">
      <c r="O1070" s="4288"/>
    </row>
    <row r="1071" spans="15:15">
      <c r="O1071" s="4288"/>
    </row>
    <row r="1072" spans="15:15">
      <c r="O1072" s="4288"/>
    </row>
    <row r="1073" spans="15:15">
      <c r="O1073" s="4288"/>
    </row>
    <row r="1074" spans="15:15">
      <c r="O1074" s="4288"/>
    </row>
    <row r="1075" spans="15:15">
      <c r="O1075" s="4288"/>
    </row>
    <row r="1076" spans="15:15">
      <c r="O1076" s="4288"/>
    </row>
    <row r="1077" spans="15:15">
      <c r="O1077" s="4288"/>
    </row>
    <row r="1078" spans="15:15">
      <c r="O1078" s="4288"/>
    </row>
    <row r="1079" spans="15:15">
      <c r="O1079" s="4288"/>
    </row>
    <row r="1080" spans="15:15">
      <c r="O1080" s="4288"/>
    </row>
    <row r="1081" spans="15:15">
      <c r="O1081" s="4288"/>
    </row>
    <row r="1082" spans="15:15">
      <c r="O1082" s="4288"/>
    </row>
    <row r="1083" spans="15:15">
      <c r="O1083" s="4288"/>
    </row>
    <row r="1084" spans="15:15">
      <c r="O1084" s="4288"/>
    </row>
    <row r="1085" spans="15:15">
      <c r="O1085" s="4288"/>
    </row>
    <row r="1086" spans="15:15">
      <c r="O1086" s="4288"/>
    </row>
    <row r="1087" spans="15:15">
      <c r="O1087" s="4288"/>
    </row>
    <row r="1088" spans="15:15">
      <c r="O1088" s="4288"/>
    </row>
    <row r="1089" spans="15:15">
      <c r="O1089" s="4288"/>
    </row>
    <row r="1090" spans="15:15">
      <c r="O1090" s="4288"/>
    </row>
    <row r="1091" spans="15:15">
      <c r="O1091" s="4288"/>
    </row>
    <row r="1092" spans="15:15">
      <c r="O1092" s="4288"/>
    </row>
    <row r="1093" spans="15:15">
      <c r="O1093" s="4288"/>
    </row>
    <row r="1094" spans="15:15">
      <c r="O1094" s="4288"/>
    </row>
    <row r="1095" spans="15:15">
      <c r="O1095" s="4288"/>
    </row>
    <row r="1096" spans="15:15">
      <c r="O1096" s="4288"/>
    </row>
    <row r="1097" spans="15:15">
      <c r="O1097" s="4288"/>
    </row>
    <row r="1098" spans="15:15">
      <c r="O1098" s="4288"/>
    </row>
    <row r="1099" spans="15:15">
      <c r="O1099" s="4288"/>
    </row>
    <row r="1100" spans="15:15">
      <c r="O1100" s="4288"/>
    </row>
    <row r="1101" spans="15:15">
      <c r="O1101" s="4288"/>
    </row>
    <row r="1102" spans="15:15">
      <c r="O1102" s="4288"/>
    </row>
    <row r="1103" spans="15:15">
      <c r="O1103" s="4288"/>
    </row>
    <row r="1104" spans="15:15">
      <c r="O1104" s="4288"/>
    </row>
    <row r="1105" spans="15:15">
      <c r="O1105" s="4288"/>
    </row>
    <row r="1106" spans="15:15">
      <c r="O1106" s="4288"/>
    </row>
    <row r="1107" spans="15:15">
      <c r="O1107" s="4288"/>
    </row>
    <row r="1108" spans="15:15">
      <c r="O1108" s="4288"/>
    </row>
    <row r="1109" spans="15:15">
      <c r="O1109" s="4288"/>
    </row>
    <row r="1110" spans="15:15">
      <c r="O1110" s="4288"/>
    </row>
    <row r="1111" spans="15:15">
      <c r="O1111" s="4288"/>
    </row>
    <row r="1112" spans="15:15">
      <c r="O1112" s="4288"/>
    </row>
    <row r="1113" spans="15:15">
      <c r="O1113" s="4288"/>
    </row>
    <row r="1114" spans="15:15">
      <c r="O1114" s="4288"/>
    </row>
    <row r="1115" spans="15:15">
      <c r="O1115" s="4288"/>
    </row>
    <row r="1116" spans="15:15">
      <c r="O1116" s="4288"/>
    </row>
    <row r="1117" spans="15:15">
      <c r="O1117" s="4288"/>
    </row>
    <row r="1118" spans="15:15">
      <c r="O1118" s="4288"/>
    </row>
    <row r="1119" spans="15:15">
      <c r="O1119" s="4288"/>
    </row>
    <row r="1120" spans="15:15">
      <c r="O1120" s="4288"/>
    </row>
    <row r="1121" spans="15:15">
      <c r="O1121" s="4288"/>
    </row>
    <row r="1122" spans="15:15">
      <c r="O1122" s="4288"/>
    </row>
    <row r="1123" spans="15:15">
      <c r="O1123" s="4288"/>
    </row>
    <row r="1124" spans="15:15">
      <c r="O1124" s="4288"/>
    </row>
    <row r="1125" spans="15:15">
      <c r="O1125" s="4288"/>
    </row>
    <row r="1126" spans="15:15">
      <c r="O1126" s="4288"/>
    </row>
    <row r="1127" spans="15:15">
      <c r="O1127" s="4288"/>
    </row>
    <row r="1128" spans="15:15">
      <c r="O1128" s="4288"/>
    </row>
    <row r="1129" spans="15:15">
      <c r="O1129" s="4288"/>
    </row>
    <row r="1130" spans="15:15">
      <c r="O1130" s="4288"/>
    </row>
    <row r="1131" spans="15:15">
      <c r="O1131" s="4288"/>
    </row>
    <row r="1132" spans="15:15">
      <c r="O1132" s="4288"/>
    </row>
    <row r="1133" spans="15:15">
      <c r="O1133" s="4288"/>
    </row>
    <row r="1134" spans="15:15">
      <c r="O1134" s="4288"/>
    </row>
    <row r="1135" spans="15:15">
      <c r="O1135" s="4288"/>
    </row>
    <row r="1136" spans="15:15">
      <c r="O1136" s="4288"/>
    </row>
    <row r="1137" spans="15:15">
      <c r="O1137" s="4288"/>
    </row>
    <row r="1138" spans="15:15">
      <c r="O1138" s="4288"/>
    </row>
    <row r="1139" spans="15:15">
      <c r="O1139" s="4288"/>
    </row>
    <row r="1140" spans="15:15">
      <c r="O1140" s="4288"/>
    </row>
    <row r="1141" spans="15:15">
      <c r="O1141" s="4288"/>
    </row>
    <row r="1142" spans="15:15">
      <c r="O1142" s="4288"/>
    </row>
    <row r="1143" spans="15:15">
      <c r="O1143" s="4288"/>
    </row>
    <row r="1144" spans="15:15">
      <c r="O1144" s="4288"/>
    </row>
    <row r="1145" spans="15:15">
      <c r="O1145" s="4288"/>
    </row>
    <row r="1146" spans="15:15">
      <c r="O1146" s="4288"/>
    </row>
    <row r="1147" spans="15:15">
      <c r="O1147" s="4288"/>
    </row>
    <row r="1148" spans="15:15">
      <c r="O1148" s="4288"/>
    </row>
    <row r="1149" spans="15:15">
      <c r="O1149" s="4288"/>
    </row>
    <row r="1150" spans="15:15">
      <c r="O1150" s="4288"/>
    </row>
    <row r="1151" spans="15:15">
      <c r="O1151" s="4288"/>
    </row>
    <row r="1152" spans="15:15">
      <c r="O1152" s="4288"/>
    </row>
    <row r="1153" spans="15:15">
      <c r="O1153" s="4288"/>
    </row>
    <row r="1154" spans="15:15">
      <c r="O1154" s="4288"/>
    </row>
    <row r="1155" spans="15:15">
      <c r="O1155" s="4288"/>
    </row>
    <row r="1156" spans="15:15">
      <c r="O1156" s="4288"/>
    </row>
    <row r="1157" spans="15:15">
      <c r="O1157" s="4288"/>
    </row>
    <row r="1158" spans="15:15">
      <c r="O1158" s="4288"/>
    </row>
    <row r="1159" spans="15:15">
      <c r="O1159" s="4288"/>
    </row>
    <row r="1160" spans="15:15">
      <c r="O1160" s="4288"/>
    </row>
    <row r="1161" spans="15:15">
      <c r="O1161" s="4288"/>
    </row>
    <row r="1162" spans="15:15">
      <c r="O1162" s="4288"/>
    </row>
    <row r="1163" spans="15:15">
      <c r="O1163" s="4288"/>
    </row>
    <row r="1164" spans="15:15">
      <c r="O1164" s="4288"/>
    </row>
    <row r="1165" spans="15:15">
      <c r="O1165" s="4288"/>
    </row>
    <row r="1166" spans="15:15">
      <c r="O1166" s="4288"/>
    </row>
    <row r="1167" spans="15:15">
      <c r="O1167" s="4288"/>
    </row>
    <row r="1168" spans="15:15">
      <c r="O1168" s="4288"/>
    </row>
    <row r="1169" spans="15:15">
      <c r="O1169" s="4288"/>
    </row>
    <row r="1170" spans="15:15">
      <c r="O1170" s="4288"/>
    </row>
    <row r="1171" spans="15:15">
      <c r="O1171" s="4288"/>
    </row>
    <row r="1172" spans="15:15">
      <c r="O1172" s="4288"/>
    </row>
    <row r="1173" spans="15:15">
      <c r="O1173" s="4288"/>
    </row>
    <row r="1174" spans="15:15">
      <c r="O1174" s="4288"/>
    </row>
    <row r="1175" spans="15:15">
      <c r="O1175" s="4288"/>
    </row>
    <row r="1176" spans="15:15">
      <c r="O1176" s="4288"/>
    </row>
    <row r="1177" spans="15:15">
      <c r="O1177" s="4288"/>
    </row>
    <row r="1178" spans="15:15">
      <c r="O1178" s="4288"/>
    </row>
    <row r="1179" spans="15:15">
      <c r="O1179" s="4288"/>
    </row>
    <row r="1180" spans="15:15">
      <c r="O1180" s="4288"/>
    </row>
    <row r="1181" spans="15:15">
      <c r="O1181" s="4288"/>
    </row>
    <row r="1182" spans="15:15">
      <c r="O1182" s="4288"/>
    </row>
    <row r="1183" spans="15:15">
      <c r="O1183" s="4288"/>
    </row>
    <row r="1184" spans="15:15">
      <c r="O1184" s="4288"/>
    </row>
    <row r="1185" spans="15:15">
      <c r="O1185" s="4288"/>
    </row>
    <row r="1186" spans="15:15">
      <c r="O1186" s="4288"/>
    </row>
    <row r="1187" spans="15:15">
      <c r="O1187" s="4288"/>
    </row>
    <row r="1188" spans="15:15">
      <c r="O1188" s="4288"/>
    </row>
    <row r="1189" spans="15:15">
      <c r="O1189" s="4288"/>
    </row>
    <row r="1190" spans="15:15">
      <c r="O1190" s="4288"/>
    </row>
    <row r="1191" spans="15:15">
      <c r="O1191" s="4288"/>
    </row>
    <row r="1192" spans="15:15">
      <c r="O1192" s="4288"/>
    </row>
    <row r="1193" spans="15:15">
      <c r="O1193" s="4288"/>
    </row>
    <row r="1194" spans="15:15">
      <c r="O1194" s="4288"/>
    </row>
    <row r="1195" spans="15:15">
      <c r="O1195" s="4288"/>
    </row>
    <row r="1196" spans="15:15">
      <c r="O1196" s="4288"/>
    </row>
    <row r="1197" spans="15:15">
      <c r="O1197" s="4288"/>
    </row>
    <row r="1198" spans="15:15">
      <c r="O1198" s="4288"/>
    </row>
    <row r="1199" spans="15:15">
      <c r="O1199" s="4288"/>
    </row>
    <row r="1200" spans="15:15">
      <c r="O1200" s="4288"/>
    </row>
    <row r="1201" spans="15:15">
      <c r="O1201" s="4288"/>
    </row>
    <row r="1202" spans="15:15">
      <c r="O1202" s="4288"/>
    </row>
    <row r="1203" spans="15:15">
      <c r="O1203" s="4288"/>
    </row>
    <row r="1204" spans="15:15">
      <c r="O1204" s="4288"/>
    </row>
    <row r="1205" spans="15:15">
      <c r="O1205" s="4288"/>
    </row>
    <row r="1206" spans="15:15">
      <c r="O1206" s="4288"/>
    </row>
    <row r="1207" spans="15:15">
      <c r="O1207" s="4288"/>
    </row>
    <row r="1208" spans="15:15">
      <c r="O1208" s="4288"/>
    </row>
    <row r="1209" spans="15:15">
      <c r="O1209" s="4288"/>
    </row>
    <row r="1210" spans="15:15">
      <c r="O1210" s="4288"/>
    </row>
    <row r="1211" spans="15:15">
      <c r="O1211" s="4288"/>
    </row>
    <row r="1212" spans="15:15">
      <c r="O1212" s="4288"/>
    </row>
    <row r="1213" spans="15:15">
      <c r="O1213" s="4288"/>
    </row>
    <row r="1214" spans="15:15">
      <c r="O1214" s="4288"/>
    </row>
    <row r="1215" spans="15:15">
      <c r="O1215" s="4288"/>
    </row>
    <row r="1216" spans="15:15">
      <c r="O1216" s="4288"/>
    </row>
    <row r="1217" spans="15:15">
      <c r="O1217" s="4288"/>
    </row>
    <row r="1218" spans="15:15">
      <c r="O1218" s="4288"/>
    </row>
    <row r="1219" spans="15:15">
      <c r="O1219" s="4288"/>
    </row>
    <row r="1220" spans="15:15">
      <c r="O1220" s="4288"/>
    </row>
    <row r="1221" spans="15:15">
      <c r="O1221" s="4288"/>
    </row>
    <row r="1222" spans="15:15">
      <c r="O1222" s="4288"/>
    </row>
    <row r="1223" spans="15:15">
      <c r="O1223" s="4288"/>
    </row>
    <row r="1224" spans="15:15">
      <c r="O1224" s="4288"/>
    </row>
    <row r="1225" spans="15:15">
      <c r="O1225" s="4288"/>
    </row>
    <row r="1226" spans="15:15">
      <c r="O1226" s="4288"/>
    </row>
    <row r="1227" spans="15:15">
      <c r="O1227" s="4288"/>
    </row>
    <row r="1228" spans="15:15">
      <c r="O1228" s="4288"/>
    </row>
    <row r="1229" spans="15:15">
      <c r="O1229" s="4288"/>
    </row>
    <row r="1230" spans="15:15">
      <c r="O1230" s="4288"/>
    </row>
    <row r="1231" spans="15:15">
      <c r="O1231" s="4288"/>
    </row>
    <row r="1232" spans="15:15">
      <c r="O1232" s="4288"/>
    </row>
    <row r="1233" spans="15:15">
      <c r="O1233" s="4288"/>
    </row>
    <row r="1234" spans="15:15">
      <c r="O1234" s="4288"/>
    </row>
    <row r="1235" spans="15:15">
      <c r="O1235" s="4288"/>
    </row>
    <row r="1236" spans="15:15">
      <c r="O1236" s="4288"/>
    </row>
    <row r="1237" spans="15:15">
      <c r="O1237" s="4288"/>
    </row>
    <row r="1238" spans="15:15">
      <c r="O1238" s="4288"/>
    </row>
    <row r="1239" spans="15:15">
      <c r="O1239" s="4288"/>
    </row>
    <row r="1240" spans="15:15">
      <c r="O1240" s="4288"/>
    </row>
    <row r="1241" spans="15:15">
      <c r="O1241" s="4288"/>
    </row>
    <row r="1242" spans="15:15">
      <c r="O1242" s="4288"/>
    </row>
    <row r="1243" spans="15:15">
      <c r="O1243" s="4288"/>
    </row>
    <row r="1244" spans="15:15">
      <c r="O1244" s="4288"/>
    </row>
    <row r="1245" spans="15:15">
      <c r="O1245" s="4288"/>
    </row>
    <row r="1246" spans="15:15">
      <c r="O1246" s="4288"/>
    </row>
    <row r="1247" spans="15:15">
      <c r="O1247" s="4288"/>
    </row>
    <row r="1248" spans="15:15">
      <c r="O1248" s="4288"/>
    </row>
    <row r="1249" spans="15:15">
      <c r="O1249" s="4288"/>
    </row>
    <row r="1250" spans="15:15">
      <c r="O1250" s="4288"/>
    </row>
    <row r="1251" spans="15:15">
      <c r="O1251" s="4288"/>
    </row>
    <row r="1252" spans="15:15">
      <c r="O1252" s="4288"/>
    </row>
    <row r="1253" spans="15:15">
      <c r="O1253" s="4288"/>
    </row>
    <row r="1254" spans="15:15">
      <c r="O1254" s="4288"/>
    </row>
    <row r="1255" spans="15:15">
      <c r="O1255" s="4288"/>
    </row>
    <row r="1256" spans="15:15">
      <c r="O1256" s="4288"/>
    </row>
    <row r="1257" spans="15:15">
      <c r="O1257" s="4288"/>
    </row>
    <row r="1258" spans="15:15">
      <c r="O1258" s="4288"/>
    </row>
    <row r="1259" spans="15:15">
      <c r="O1259" s="4288"/>
    </row>
    <row r="1260" spans="15:15">
      <c r="O1260" s="4288"/>
    </row>
    <row r="1261" spans="15:15">
      <c r="O1261" s="4288"/>
    </row>
    <row r="1262" spans="15:15">
      <c r="O1262" s="4288"/>
    </row>
    <row r="1263" spans="15:15">
      <c r="O1263" s="4288"/>
    </row>
    <row r="1264" spans="15:15">
      <c r="O1264" s="4288"/>
    </row>
    <row r="1265" spans="15:15">
      <c r="O1265" s="4288"/>
    </row>
    <row r="1266" spans="15:15">
      <c r="O1266" s="4288"/>
    </row>
    <row r="1267" spans="15:15">
      <c r="O1267" s="4288"/>
    </row>
    <row r="1268" spans="15:15">
      <c r="O1268" s="4288"/>
    </row>
    <row r="1269" spans="15:15">
      <c r="O1269" s="4288"/>
    </row>
    <row r="1270" spans="15:15">
      <c r="O1270" s="4288"/>
    </row>
    <row r="1271" spans="15:15">
      <c r="O1271" s="4288"/>
    </row>
    <row r="1272" spans="15:15">
      <c r="O1272" s="4288"/>
    </row>
    <row r="1273" spans="15:15">
      <c r="O1273" s="4288"/>
    </row>
    <row r="1274" spans="15:15">
      <c r="O1274" s="4288"/>
    </row>
    <row r="1275" spans="15:15">
      <c r="O1275" s="4288"/>
    </row>
    <row r="1276" spans="15:15">
      <c r="O1276" s="4288"/>
    </row>
    <row r="1277" spans="15:15">
      <c r="O1277" s="4288"/>
    </row>
    <row r="1278" spans="15:15">
      <c r="O1278" s="4288"/>
    </row>
    <row r="1279" spans="15:15">
      <c r="O1279" s="4288"/>
    </row>
    <row r="1280" spans="15:15">
      <c r="O1280" s="4288"/>
    </row>
    <row r="1281" spans="15:15">
      <c r="O1281" s="4288"/>
    </row>
    <row r="1282" spans="15:15">
      <c r="O1282" s="4288"/>
    </row>
    <row r="1283" spans="15:15">
      <c r="O1283" s="4288"/>
    </row>
    <row r="1284" spans="15:15">
      <c r="O1284" s="4288"/>
    </row>
    <row r="1285" spans="15:15">
      <c r="O1285" s="4288"/>
    </row>
    <row r="1286" spans="15:15">
      <c r="O1286" s="4288"/>
    </row>
    <row r="1287" spans="15:15">
      <c r="O1287" s="4288"/>
    </row>
    <row r="1288" spans="15:15">
      <c r="O1288" s="4288"/>
    </row>
    <row r="1289" spans="15:15">
      <c r="O1289" s="4288"/>
    </row>
    <row r="1290" spans="15:15">
      <c r="O1290" s="4288"/>
    </row>
    <row r="1291" spans="15:15">
      <c r="O1291" s="4288"/>
    </row>
    <row r="1292" spans="15:15">
      <c r="O1292" s="4288"/>
    </row>
    <row r="1293" spans="15:15">
      <c r="O1293" s="4288"/>
    </row>
    <row r="1294" spans="15:15">
      <c r="O1294" s="4288"/>
    </row>
    <row r="1295" spans="15:15">
      <c r="O1295" s="4288"/>
    </row>
    <row r="1296" spans="15:15">
      <c r="O1296" s="4288"/>
    </row>
    <row r="1297" spans="15:15">
      <c r="O1297" s="4288"/>
    </row>
    <row r="1298" spans="15:15">
      <c r="O1298" s="4288"/>
    </row>
    <row r="1299" spans="15:15">
      <c r="O1299" s="4288"/>
    </row>
    <row r="1300" spans="15:15">
      <c r="O1300" s="4288"/>
    </row>
    <row r="1301" spans="15:15">
      <c r="O1301" s="4288"/>
    </row>
    <row r="1302" spans="15:15">
      <c r="O1302" s="4288"/>
    </row>
    <row r="1303" spans="15:15">
      <c r="O1303" s="4288"/>
    </row>
    <row r="1304" spans="15:15">
      <c r="O1304" s="4288"/>
    </row>
    <row r="1305" spans="15:15">
      <c r="O1305" s="4288"/>
    </row>
    <row r="1306" spans="15:15">
      <c r="O1306" s="4288"/>
    </row>
    <row r="1307" spans="15:15">
      <c r="O1307" s="4288"/>
    </row>
    <row r="1308" spans="15:15">
      <c r="O1308" s="4288"/>
    </row>
    <row r="1309" spans="15:15">
      <c r="O1309" s="4288"/>
    </row>
    <row r="1310" spans="15:15">
      <c r="O1310" s="4288"/>
    </row>
    <row r="1311" spans="15:15">
      <c r="O1311" s="4288"/>
    </row>
    <row r="1312" spans="15:15">
      <c r="O1312" s="4288"/>
    </row>
    <row r="1313" spans="15:15">
      <c r="O1313" s="4288"/>
    </row>
    <row r="1314" spans="15:15">
      <c r="O1314" s="4288"/>
    </row>
    <row r="1315" spans="15:15">
      <c r="O1315" s="4288"/>
    </row>
    <row r="1316" spans="15:15">
      <c r="O1316" s="4288"/>
    </row>
    <row r="1317" spans="15:15">
      <c r="O1317" s="4288"/>
    </row>
    <row r="1318" spans="15:15">
      <c r="O1318" s="4288"/>
    </row>
    <row r="1319" spans="15:15">
      <c r="O1319" s="4288"/>
    </row>
    <row r="1320" spans="15:15">
      <c r="O1320" s="4288"/>
    </row>
    <row r="1321" spans="15:15">
      <c r="O1321" s="4288"/>
    </row>
    <row r="1322" spans="15:15">
      <c r="O1322" s="4288"/>
    </row>
    <row r="1323" spans="15:15">
      <c r="O1323" s="4288"/>
    </row>
    <row r="1324" spans="15:15">
      <c r="O1324" s="4288"/>
    </row>
    <row r="1325" spans="15:15">
      <c r="O1325" s="4288"/>
    </row>
    <row r="1326" spans="15:15">
      <c r="O1326" s="4288"/>
    </row>
    <row r="1327" spans="15:15">
      <c r="O1327" s="4288"/>
    </row>
    <row r="1328" spans="15:15">
      <c r="O1328" s="4288"/>
    </row>
    <row r="1329" spans="15:15">
      <c r="O1329" s="4288"/>
    </row>
    <row r="1330" spans="15:15">
      <c r="O1330" s="4288"/>
    </row>
    <row r="1331" spans="15:15">
      <c r="O1331" s="4288"/>
    </row>
    <row r="1332" spans="15:15">
      <c r="O1332" s="4288"/>
    </row>
    <row r="1333" spans="15:15">
      <c r="O1333" s="4288"/>
    </row>
    <row r="1334" spans="15:15">
      <c r="O1334" s="4288"/>
    </row>
    <row r="1335" spans="15:15">
      <c r="O1335" s="4288"/>
    </row>
    <row r="1336" spans="15:15">
      <c r="O1336" s="4288"/>
    </row>
    <row r="1337" spans="15:15">
      <c r="O1337" s="4288"/>
    </row>
    <row r="1338" spans="15:15">
      <c r="O1338" s="4288"/>
    </row>
    <row r="1339" spans="15:15">
      <c r="O1339" s="4288"/>
    </row>
    <row r="1340" spans="15:15">
      <c r="O1340" s="4288"/>
    </row>
    <row r="1341" spans="15:15">
      <c r="O1341" s="4288"/>
    </row>
    <row r="1342" spans="15:15">
      <c r="O1342" s="4288"/>
    </row>
    <row r="1343" spans="15:15">
      <c r="O1343" s="4288"/>
    </row>
    <row r="1344" spans="15:15">
      <c r="O1344" s="4288"/>
    </row>
    <row r="1345" spans="15:15">
      <c r="O1345" s="4288"/>
    </row>
    <row r="1346" spans="15:15">
      <c r="O1346" s="4288"/>
    </row>
    <row r="1347" spans="15:15">
      <c r="O1347" s="4288"/>
    </row>
    <row r="1348" spans="15:15">
      <c r="O1348" s="4288"/>
    </row>
    <row r="1349" spans="15:15">
      <c r="O1349" s="4288"/>
    </row>
    <row r="1350" spans="15:15">
      <c r="O1350" s="4288"/>
    </row>
    <row r="1351" spans="15:15">
      <c r="O1351" s="4288"/>
    </row>
    <row r="1352" spans="15:15">
      <c r="O1352" s="4288"/>
    </row>
    <row r="1353" spans="15:15">
      <c r="O1353" s="4288"/>
    </row>
    <row r="1354" spans="15:15">
      <c r="O1354" s="4288"/>
    </row>
    <row r="1355" spans="15:15">
      <c r="O1355" s="4288"/>
    </row>
    <row r="1356" spans="15:15">
      <c r="O1356" s="4288"/>
    </row>
    <row r="1357" spans="15:15">
      <c r="O1357" s="4288"/>
    </row>
    <row r="1358" spans="15:15">
      <c r="O1358" s="4288"/>
    </row>
    <row r="1359" spans="15:15">
      <c r="O1359" s="4288"/>
    </row>
    <row r="1360" spans="15:15">
      <c r="O1360" s="4288"/>
    </row>
    <row r="1361" spans="15:15">
      <c r="O1361" s="4288"/>
    </row>
    <row r="1362" spans="15:15">
      <c r="O1362" s="4288"/>
    </row>
    <row r="1363" spans="15:15">
      <c r="O1363" s="4288"/>
    </row>
    <row r="1364" spans="15:15">
      <c r="O1364" s="4288"/>
    </row>
    <row r="1365" spans="15:15">
      <c r="O1365" s="4288"/>
    </row>
    <row r="1366" spans="15:15">
      <c r="O1366" s="4288"/>
    </row>
    <row r="1367" spans="15:15">
      <c r="O1367" s="4288"/>
    </row>
    <row r="1368" spans="15:15">
      <c r="O1368" s="4288"/>
    </row>
    <row r="1369" spans="15:15">
      <c r="O1369" s="4288"/>
    </row>
    <row r="1370" spans="15:15">
      <c r="O1370" s="4288"/>
    </row>
    <row r="1371" spans="15:15">
      <c r="O1371" s="4288"/>
    </row>
    <row r="1372" spans="15:15">
      <c r="O1372" s="4288"/>
    </row>
    <row r="1373" spans="15:15">
      <c r="O1373" s="4288"/>
    </row>
    <row r="1374" spans="15:15">
      <c r="O1374" s="4288"/>
    </row>
    <row r="1375" spans="15:15">
      <c r="O1375" s="4288"/>
    </row>
    <row r="1376" spans="15:15">
      <c r="O1376" s="4288"/>
    </row>
    <row r="1377" spans="15:15">
      <c r="O1377" s="4288"/>
    </row>
    <row r="1378" spans="15:15">
      <c r="O1378" s="4288"/>
    </row>
    <row r="1379" spans="15:15">
      <c r="O1379" s="4288"/>
    </row>
    <row r="1380" spans="15:15">
      <c r="O1380" s="4288"/>
    </row>
    <row r="1381" spans="15:15">
      <c r="O1381" s="4288"/>
    </row>
    <row r="1382" spans="15:15">
      <c r="O1382" s="4288"/>
    </row>
    <row r="1383" spans="15:15">
      <c r="O1383" s="4288"/>
    </row>
    <row r="1384" spans="15:15">
      <c r="O1384" s="4288"/>
    </row>
    <row r="1385" spans="15:15">
      <c r="O1385" s="4288"/>
    </row>
    <row r="1386" spans="15:15">
      <c r="O1386" s="4288"/>
    </row>
    <row r="1387" spans="15:15">
      <c r="O1387" s="4288"/>
    </row>
    <row r="1388" spans="15:15">
      <c r="O1388" s="4288"/>
    </row>
    <row r="1389" spans="15:15">
      <c r="O1389" s="4288"/>
    </row>
    <row r="1390" spans="15:15">
      <c r="O1390" s="4288"/>
    </row>
    <row r="1391" spans="15:15">
      <c r="O1391" s="4288"/>
    </row>
    <row r="1392" spans="15:15">
      <c r="O1392" s="4288"/>
    </row>
    <row r="1393" spans="15:15">
      <c r="O1393" s="4288"/>
    </row>
    <row r="1394" spans="15:15">
      <c r="O1394" s="4288"/>
    </row>
    <row r="1395" spans="15:15">
      <c r="O1395" s="4288"/>
    </row>
    <row r="1396" spans="15:15">
      <c r="O1396" s="4288"/>
    </row>
    <row r="1397" spans="15:15">
      <c r="O1397" s="4288"/>
    </row>
    <row r="1398" spans="15:15">
      <c r="O1398" s="4288"/>
    </row>
    <row r="1399" spans="15:15">
      <c r="O1399" s="4288"/>
    </row>
    <row r="1400" spans="15:15">
      <c r="O1400" s="4288"/>
    </row>
    <row r="1401" spans="15:15">
      <c r="O1401" s="4288"/>
    </row>
    <row r="1402" spans="15:15">
      <c r="O1402" s="4288"/>
    </row>
    <row r="1403" spans="15:15">
      <c r="O1403" s="4288"/>
    </row>
    <row r="1404" spans="15:15">
      <c r="O1404" s="4288"/>
    </row>
    <row r="1405" spans="15:15">
      <c r="O1405" s="4288"/>
    </row>
    <row r="1406" spans="15:15">
      <c r="O1406" s="4288"/>
    </row>
    <row r="1407" spans="15:15">
      <c r="O1407" s="4288"/>
    </row>
    <row r="1408" spans="15:15">
      <c r="O1408" s="4288"/>
    </row>
    <row r="1409" spans="15:15">
      <c r="O1409" s="4288"/>
    </row>
    <row r="1410" spans="15:15">
      <c r="O1410" s="4288"/>
    </row>
    <row r="1411" spans="15:15">
      <c r="O1411" s="4288"/>
    </row>
    <row r="1412" spans="15:15">
      <c r="O1412" s="4288"/>
    </row>
    <row r="1413" spans="15:15">
      <c r="O1413" s="4288"/>
    </row>
    <row r="1414" spans="15:15">
      <c r="O1414" s="4288"/>
    </row>
    <row r="1415" spans="15:15">
      <c r="O1415" s="4288"/>
    </row>
    <row r="1416" spans="15:15">
      <c r="O1416" s="4288"/>
    </row>
    <row r="1417" spans="15:15">
      <c r="O1417" s="4288"/>
    </row>
    <row r="1418" spans="15:15">
      <c r="O1418" s="4288"/>
    </row>
    <row r="1419" spans="15:15">
      <c r="O1419" s="4288"/>
    </row>
    <row r="1420" spans="15:15">
      <c r="O1420" s="4288"/>
    </row>
    <row r="1421" spans="15:15">
      <c r="O1421" s="4288"/>
    </row>
    <row r="1422" spans="15:15">
      <c r="O1422" s="4288"/>
    </row>
    <row r="1423" spans="15:15">
      <c r="O1423" s="4288"/>
    </row>
    <row r="1424" spans="15:15">
      <c r="O1424" s="4288"/>
    </row>
    <row r="1425" spans="15:15">
      <c r="O1425" s="4288"/>
    </row>
    <row r="1426" spans="15:15">
      <c r="O1426" s="4288"/>
    </row>
    <row r="1427" spans="15:15">
      <c r="O1427" s="4288"/>
    </row>
    <row r="1428" spans="15:15">
      <c r="O1428" s="4288"/>
    </row>
    <row r="1429" spans="15:15">
      <c r="O1429" s="4288"/>
    </row>
    <row r="1430" spans="15:15">
      <c r="O1430" s="4288"/>
    </row>
    <row r="1431" spans="15:15">
      <c r="O1431" s="4288"/>
    </row>
    <row r="1432" spans="15:15">
      <c r="O1432" s="4288"/>
    </row>
    <row r="1433" spans="15:15">
      <c r="O1433" s="4288"/>
    </row>
    <row r="1434" spans="15:15">
      <c r="O1434" s="4288"/>
    </row>
    <row r="1435" spans="15:15">
      <c r="O1435" s="4288"/>
    </row>
    <row r="1436" spans="15:15">
      <c r="O1436" s="4288"/>
    </row>
    <row r="1437" spans="15:15">
      <c r="O1437" s="4288"/>
    </row>
    <row r="1438" spans="15:15">
      <c r="O1438" s="4288"/>
    </row>
    <row r="1439" spans="15:15">
      <c r="O1439" s="4288"/>
    </row>
    <row r="1440" spans="15:15">
      <c r="O1440" s="4288"/>
    </row>
    <row r="1441" spans="15:15">
      <c r="O1441" s="4288"/>
    </row>
    <row r="1442" spans="15:15">
      <c r="O1442" s="4288"/>
    </row>
    <row r="1443" spans="15:15">
      <c r="O1443" s="4288"/>
    </row>
    <row r="1444" spans="15:15">
      <c r="O1444" s="4288"/>
    </row>
    <row r="1445" spans="15:15">
      <c r="O1445" s="4288"/>
    </row>
    <row r="1446" spans="15:15">
      <c r="O1446" s="4288"/>
    </row>
    <row r="1447" spans="15:15">
      <c r="O1447" s="4288"/>
    </row>
    <row r="1448" spans="15:15">
      <c r="O1448" s="4288"/>
    </row>
    <row r="1449" spans="15:15">
      <c r="O1449" s="4288"/>
    </row>
    <row r="1450" spans="15:15">
      <c r="O1450" s="4288"/>
    </row>
    <row r="1451" spans="15:15">
      <c r="O1451" s="4288"/>
    </row>
    <row r="1452" spans="15:15">
      <c r="O1452" s="4288"/>
    </row>
    <row r="1453" spans="15:15">
      <c r="O1453" s="4288"/>
    </row>
    <row r="1454" spans="15:15">
      <c r="O1454" s="4288"/>
    </row>
    <row r="1455" spans="15:15">
      <c r="O1455" s="4288"/>
    </row>
    <row r="1456" spans="15:15">
      <c r="O1456" s="4288"/>
    </row>
    <row r="1457" spans="15:15">
      <c r="O1457" s="4288"/>
    </row>
    <row r="1458" spans="15:15">
      <c r="O1458" s="4288"/>
    </row>
    <row r="1459" spans="15:15">
      <c r="O1459" s="4288"/>
    </row>
    <row r="1460" spans="15:15">
      <c r="O1460" s="4288"/>
    </row>
    <row r="1461" spans="15:15">
      <c r="O1461" s="4288"/>
    </row>
    <row r="1462" spans="15:15">
      <c r="O1462" s="4288"/>
    </row>
    <row r="1463" spans="15:15">
      <c r="O1463" s="4288"/>
    </row>
    <row r="1464" spans="15:15">
      <c r="O1464" s="4288"/>
    </row>
    <row r="1465" spans="15:15">
      <c r="O1465" s="4288"/>
    </row>
    <row r="1466" spans="15:15">
      <c r="O1466" s="4288"/>
    </row>
    <row r="1467" spans="15:15">
      <c r="O1467" s="4288"/>
    </row>
    <row r="1468" spans="15:15">
      <c r="O1468" s="4288"/>
    </row>
    <row r="1469" spans="15:15">
      <c r="O1469" s="4288"/>
    </row>
    <row r="1470" spans="15:15">
      <c r="O1470" s="4288"/>
    </row>
    <row r="1471" spans="15:15">
      <c r="O1471" s="4288"/>
    </row>
    <row r="1472" spans="15:15">
      <c r="O1472" s="4288"/>
    </row>
    <row r="1473" spans="15:15">
      <c r="O1473" s="4288"/>
    </row>
    <row r="1474" spans="15:15">
      <c r="O1474" s="4288"/>
    </row>
    <row r="1475" spans="15:15">
      <c r="O1475" s="4288"/>
    </row>
    <row r="1476" spans="15:15">
      <c r="O1476" s="4288"/>
    </row>
    <row r="1477" spans="15:15">
      <c r="O1477" s="4288"/>
    </row>
    <row r="1478" spans="15:15">
      <c r="O1478" s="4288"/>
    </row>
    <row r="1479" spans="15:15">
      <c r="O1479" s="4288"/>
    </row>
    <row r="1480" spans="15:15">
      <c r="O1480" s="4288"/>
    </row>
    <row r="1481" spans="15:15">
      <c r="O1481" s="4288"/>
    </row>
    <row r="1482" spans="15:15">
      <c r="O1482" s="4288"/>
    </row>
    <row r="1483" spans="15:15">
      <c r="O1483" s="4288"/>
    </row>
    <row r="1484" spans="15:15">
      <c r="O1484" s="4288"/>
    </row>
    <row r="1485" spans="15:15">
      <c r="O1485" s="4288"/>
    </row>
    <row r="1486" spans="15:15">
      <c r="O1486" s="4288"/>
    </row>
    <row r="1487" spans="15:15">
      <c r="O1487" s="4288"/>
    </row>
    <row r="1488" spans="15:15">
      <c r="O1488" s="4288"/>
    </row>
    <row r="1489" spans="15:15">
      <c r="O1489" s="4288"/>
    </row>
    <row r="1490" spans="15:15">
      <c r="O1490" s="4288"/>
    </row>
    <row r="1491" spans="15:15">
      <c r="O1491" s="4288"/>
    </row>
    <row r="1492" spans="15:15">
      <c r="O1492" s="4288"/>
    </row>
    <row r="1493" spans="15:15">
      <c r="O1493" s="4288"/>
    </row>
    <row r="1494" spans="15:15">
      <c r="O1494" s="4288"/>
    </row>
    <row r="1495" spans="15:15">
      <c r="O1495" s="4288"/>
    </row>
    <row r="1496" spans="15:15">
      <c r="O1496" s="4288"/>
    </row>
    <row r="1497" spans="15:15">
      <c r="O1497" s="4288"/>
    </row>
    <row r="1498" spans="15:15">
      <c r="O1498" s="4288"/>
    </row>
    <row r="1499" spans="15:15">
      <c r="O1499" s="4288"/>
    </row>
    <row r="1500" spans="15:15">
      <c r="O1500" s="4288"/>
    </row>
    <row r="1501" spans="15:15">
      <c r="O1501" s="4288"/>
    </row>
    <row r="1502" spans="15:15">
      <c r="O1502" s="4288"/>
    </row>
    <row r="1503" spans="15:15">
      <c r="O1503" s="4288"/>
    </row>
    <row r="1504" spans="15:15">
      <c r="O1504" s="4288"/>
    </row>
    <row r="1505" spans="15:15">
      <c r="O1505" s="4288"/>
    </row>
    <row r="1506" spans="15:15">
      <c r="O1506" s="4288"/>
    </row>
    <row r="1507" spans="15:15">
      <c r="O1507" s="4288"/>
    </row>
    <row r="1508" spans="15:15">
      <c r="O1508" s="4288"/>
    </row>
    <row r="1509" spans="15:15">
      <c r="O1509" s="4288"/>
    </row>
    <row r="1510" spans="15:15">
      <c r="O1510" s="4288"/>
    </row>
    <row r="1511" spans="15:15">
      <c r="O1511" s="4288"/>
    </row>
    <row r="1512" spans="15:15">
      <c r="O1512" s="4288"/>
    </row>
    <row r="1513" spans="15:15">
      <c r="O1513" s="4288"/>
    </row>
    <row r="1514" spans="15:15">
      <c r="O1514" s="4288"/>
    </row>
    <row r="1515" spans="15:15">
      <c r="O1515" s="4288"/>
    </row>
    <row r="1516" spans="15:15">
      <c r="O1516" s="4288"/>
    </row>
    <row r="1517" spans="15:15">
      <c r="O1517" s="4288"/>
    </row>
    <row r="1518" spans="15:15">
      <c r="O1518" s="4288"/>
    </row>
    <row r="1519" spans="15:15">
      <c r="O1519" s="4288"/>
    </row>
    <row r="1520" spans="15:15">
      <c r="O1520" s="4288"/>
    </row>
    <row r="1521" spans="15:15">
      <c r="O1521" s="4288"/>
    </row>
    <row r="1522" spans="15:15">
      <c r="O1522" s="4288"/>
    </row>
    <row r="1523" spans="15:15">
      <c r="O1523" s="4288"/>
    </row>
    <row r="1524" spans="15:15">
      <c r="O1524" s="4288"/>
    </row>
    <row r="1525" spans="15:15">
      <c r="O1525" s="4288"/>
    </row>
    <row r="1526" spans="15:15">
      <c r="O1526" s="4288"/>
    </row>
    <row r="1527" spans="15:15">
      <c r="O1527" s="4288"/>
    </row>
    <row r="1528" spans="15:15">
      <c r="O1528" s="4288"/>
    </row>
    <row r="1529" spans="15:15">
      <c r="O1529" s="4288"/>
    </row>
    <row r="1530" spans="15:15">
      <c r="O1530" s="4288"/>
    </row>
    <row r="1531" spans="15:15">
      <c r="O1531" s="4288"/>
    </row>
    <row r="1532" spans="15:15">
      <c r="O1532" s="4288"/>
    </row>
    <row r="1533" spans="15:15">
      <c r="O1533" s="4288"/>
    </row>
    <row r="1534" spans="15:15">
      <c r="O1534" s="4288"/>
    </row>
    <row r="1535" spans="15:15">
      <c r="O1535" s="4288"/>
    </row>
    <row r="1536" spans="15:15">
      <c r="O1536" s="4288"/>
    </row>
    <row r="1537" spans="15:15">
      <c r="O1537" s="4288"/>
    </row>
    <row r="1538" spans="15:15">
      <c r="O1538" s="4288"/>
    </row>
    <row r="1539" spans="15:15">
      <c r="O1539" s="4288"/>
    </row>
    <row r="1540" spans="15:15">
      <c r="O1540" s="4288"/>
    </row>
    <row r="1541" spans="15:15">
      <c r="O1541" s="4288"/>
    </row>
    <row r="1542" spans="15:15">
      <c r="O1542" s="4288"/>
    </row>
    <row r="1543" spans="15:15">
      <c r="O1543" s="4288"/>
    </row>
    <row r="1544" spans="15:15">
      <c r="O1544" s="4288"/>
    </row>
    <row r="1545" spans="15:15">
      <c r="O1545" s="4288"/>
    </row>
    <row r="1546" spans="15:15">
      <c r="O1546" s="4288"/>
    </row>
    <row r="1547" spans="15:15">
      <c r="O1547" s="4288"/>
    </row>
    <row r="1548" spans="15:15">
      <c r="O1548" s="4288"/>
    </row>
    <row r="1549" spans="15:15">
      <c r="O1549" s="4288"/>
    </row>
    <row r="1550" spans="15:15">
      <c r="O1550" s="4288"/>
    </row>
    <row r="1551" spans="15:15">
      <c r="O1551" s="4288"/>
    </row>
    <row r="1552" spans="15:15">
      <c r="O1552" s="4288"/>
    </row>
    <row r="1553" spans="15:15">
      <c r="O1553" s="4288"/>
    </row>
    <row r="1554" spans="15:15">
      <c r="O1554" s="4288"/>
    </row>
    <row r="1555" spans="15:15">
      <c r="O1555" s="4288"/>
    </row>
    <row r="1556" spans="15:15">
      <c r="O1556" s="4288"/>
    </row>
    <row r="1557" spans="15:15">
      <c r="O1557" s="4288"/>
    </row>
    <row r="1558" spans="15:15">
      <c r="O1558" s="4288"/>
    </row>
    <row r="1559" spans="15:15">
      <c r="O1559" s="4288"/>
    </row>
    <row r="1560" spans="15:15">
      <c r="O1560" s="4288"/>
    </row>
    <row r="1561" spans="15:15">
      <c r="O1561" s="4288"/>
    </row>
    <row r="1562" spans="15:15">
      <c r="O1562" s="4288"/>
    </row>
    <row r="1563" spans="15:15">
      <c r="O1563" s="4288"/>
    </row>
    <row r="1564" spans="15:15">
      <c r="O1564" s="4288"/>
    </row>
    <row r="1565" spans="15:15">
      <c r="O1565" s="4288"/>
    </row>
    <row r="1566" spans="15:15">
      <c r="O1566" s="4288"/>
    </row>
    <row r="1567" spans="15:15">
      <c r="O1567" s="4288"/>
    </row>
    <row r="1568" spans="15:15">
      <c r="O1568" s="4288"/>
    </row>
    <row r="1569" spans="15:15">
      <c r="O1569" s="4288"/>
    </row>
    <row r="1570" spans="15:15">
      <c r="O1570" s="4288"/>
    </row>
    <row r="1571" spans="15:15">
      <c r="O1571" s="4288"/>
    </row>
    <row r="1572" spans="15:15">
      <c r="O1572" s="4288"/>
    </row>
    <row r="1573" spans="15:15">
      <c r="O1573" s="4288"/>
    </row>
    <row r="1574" spans="15:15">
      <c r="O1574" s="4288"/>
    </row>
    <row r="1575" spans="15:15">
      <c r="O1575" s="4288"/>
    </row>
    <row r="1576" spans="15:15">
      <c r="O1576" s="4288"/>
    </row>
    <row r="1577" spans="15:15">
      <c r="O1577" s="4288"/>
    </row>
    <row r="1578" spans="15:15">
      <c r="O1578" s="4288"/>
    </row>
    <row r="1579" spans="15:15">
      <c r="O1579" s="4288"/>
    </row>
    <row r="1580" spans="15:15">
      <c r="O1580" s="4288"/>
    </row>
    <row r="1581" spans="15:15">
      <c r="O1581" s="4288"/>
    </row>
    <row r="1582" spans="15:15">
      <c r="O1582" s="4288"/>
    </row>
    <row r="1583" spans="15:15">
      <c r="O1583" s="4288"/>
    </row>
    <row r="1584" spans="15:15">
      <c r="O1584" s="4288"/>
    </row>
    <row r="1585" spans="15:15">
      <c r="O1585" s="4288"/>
    </row>
    <row r="1586" spans="15:15">
      <c r="O1586" s="4288"/>
    </row>
    <row r="1587" spans="15:15">
      <c r="O1587" s="4288"/>
    </row>
    <row r="1588" spans="15:15">
      <c r="O1588" s="4288"/>
    </row>
    <row r="1589" spans="15:15">
      <c r="O1589" s="4288"/>
    </row>
    <row r="1590" spans="15:15">
      <c r="O1590" s="4288"/>
    </row>
    <row r="1591" spans="15:15">
      <c r="O1591" s="4288"/>
    </row>
    <row r="1592" spans="15:15">
      <c r="O1592" s="4288"/>
    </row>
    <row r="1593" spans="15:15">
      <c r="O1593" s="4288"/>
    </row>
    <row r="1594" spans="15:15">
      <c r="O1594" s="4288"/>
    </row>
    <row r="1595" spans="15:15">
      <c r="O1595" s="4288"/>
    </row>
    <row r="1596" spans="15:15">
      <c r="O1596" s="4288"/>
    </row>
    <row r="1597" spans="15:15">
      <c r="O1597" s="4288"/>
    </row>
    <row r="1598" spans="15:15">
      <c r="O1598" s="4288"/>
    </row>
    <row r="1599" spans="15:15">
      <c r="O1599" s="4288"/>
    </row>
    <row r="1600" spans="15:15">
      <c r="O1600" s="4288"/>
    </row>
    <row r="1601" spans="15:15">
      <c r="O1601" s="4288"/>
    </row>
    <row r="1602" spans="15:15">
      <c r="O1602" s="4288"/>
    </row>
    <row r="1603" spans="15:15">
      <c r="O1603" s="4288"/>
    </row>
    <row r="1604" spans="15:15">
      <c r="O1604" s="4288"/>
    </row>
    <row r="1605" spans="15:15">
      <c r="O1605" s="4288"/>
    </row>
    <row r="1606" spans="15:15">
      <c r="O1606" s="4288"/>
    </row>
    <row r="1607" spans="15:15">
      <c r="O1607" s="4288"/>
    </row>
    <row r="1608" spans="15:15">
      <c r="O1608" s="4288"/>
    </row>
    <row r="1609" spans="15:15">
      <c r="O1609" s="4288"/>
    </row>
    <row r="1610" spans="15:15">
      <c r="O1610" s="4288"/>
    </row>
    <row r="1611" spans="15:15">
      <c r="O1611" s="4288"/>
    </row>
    <row r="1612" spans="15:15">
      <c r="O1612" s="4288"/>
    </row>
    <row r="1613" spans="15:15">
      <c r="O1613" s="4288"/>
    </row>
    <row r="1614" spans="15:15">
      <c r="O1614" s="4288"/>
    </row>
    <row r="1615" spans="15:15">
      <c r="O1615" s="4288"/>
    </row>
    <row r="1616" spans="15:15">
      <c r="O1616" s="4288"/>
    </row>
    <row r="1617" spans="15:15">
      <c r="O1617" s="4288"/>
    </row>
    <row r="1618" spans="15:15">
      <c r="O1618" s="4288"/>
    </row>
    <row r="1619" spans="15:15">
      <c r="O1619" s="4288"/>
    </row>
    <row r="1620" spans="15:15">
      <c r="O1620" s="4288"/>
    </row>
    <row r="1621" spans="15:15">
      <c r="O1621" s="4288"/>
    </row>
    <row r="1622" spans="15:15">
      <c r="O1622" s="4288"/>
    </row>
    <row r="1623" spans="15:15">
      <c r="O1623" s="4288"/>
    </row>
    <row r="1624" spans="15:15">
      <c r="O1624" s="4288"/>
    </row>
    <row r="1625" spans="15:15">
      <c r="O1625" s="4288"/>
    </row>
    <row r="1626" spans="15:15">
      <c r="O1626" s="4288"/>
    </row>
    <row r="1627" spans="15:15">
      <c r="O1627" s="4288"/>
    </row>
    <row r="1628" spans="15:15">
      <c r="O1628" s="4288"/>
    </row>
    <row r="1629" spans="15:15">
      <c r="O1629" s="4288"/>
    </row>
    <row r="1630" spans="15:15">
      <c r="O1630" s="4288"/>
    </row>
    <row r="1631" spans="15:15">
      <c r="O1631" s="4288"/>
    </row>
    <row r="1632" spans="15:15">
      <c r="O1632" s="4288"/>
    </row>
    <row r="1633" spans="15:15">
      <c r="O1633" s="4288"/>
    </row>
    <row r="1634" spans="15:15">
      <c r="O1634" s="4288"/>
    </row>
    <row r="1635" spans="15:15">
      <c r="O1635" s="4288"/>
    </row>
    <row r="1636" spans="15:15">
      <c r="O1636" s="4288"/>
    </row>
    <row r="1637" spans="15:15">
      <c r="O1637" s="4288"/>
    </row>
    <row r="1638" spans="15:15">
      <c r="O1638" s="4288"/>
    </row>
    <row r="1639" spans="15:15">
      <c r="O1639" s="4288"/>
    </row>
    <row r="1640" spans="15:15">
      <c r="O1640" s="4288"/>
    </row>
    <row r="1641" spans="15:15">
      <c r="O1641" s="4288"/>
    </row>
    <row r="1642" spans="15:15">
      <c r="O1642" s="4288"/>
    </row>
    <row r="1643" spans="15:15">
      <c r="O1643" s="4288"/>
    </row>
    <row r="1644" spans="15:15">
      <c r="O1644" s="4288"/>
    </row>
    <row r="1645" spans="15:15">
      <c r="O1645" s="4288"/>
    </row>
    <row r="1646" spans="15:15">
      <c r="O1646" s="4288"/>
    </row>
    <row r="1647" spans="15:15">
      <c r="O1647" s="4288"/>
    </row>
    <row r="1648" spans="15:15">
      <c r="O1648" s="4288"/>
    </row>
    <row r="1649" spans="15:15">
      <c r="O1649" s="4288"/>
    </row>
    <row r="1650" spans="15:15">
      <c r="O1650" s="4288"/>
    </row>
    <row r="1651" spans="15:15">
      <c r="O1651" s="4288"/>
    </row>
    <row r="1652" spans="15:15">
      <c r="O1652" s="4288"/>
    </row>
    <row r="1653" spans="15:15">
      <c r="O1653" s="4288"/>
    </row>
    <row r="1654" spans="15:15">
      <c r="O1654" s="4288"/>
    </row>
    <row r="1655" spans="15:15">
      <c r="O1655" s="4288"/>
    </row>
    <row r="1656" spans="15:15">
      <c r="O1656" s="4288"/>
    </row>
    <row r="1657" spans="15:15">
      <c r="O1657" s="4288"/>
    </row>
    <row r="1658" spans="15:15">
      <c r="O1658" s="4288"/>
    </row>
    <row r="1659" spans="15:15">
      <c r="O1659" s="4288"/>
    </row>
    <row r="1660" spans="15:15">
      <c r="O1660" s="4288"/>
    </row>
    <row r="1661" spans="15:15">
      <c r="O1661" s="4288"/>
    </row>
    <row r="1662" spans="15:15">
      <c r="O1662" s="4288"/>
    </row>
    <row r="1663" spans="15:15">
      <c r="O1663" s="4288"/>
    </row>
    <row r="1664" spans="15:15">
      <c r="O1664" s="4288"/>
    </row>
    <row r="1665" spans="15:15">
      <c r="O1665" s="4288"/>
    </row>
    <row r="1666" spans="15:15">
      <c r="O1666" s="4288"/>
    </row>
    <row r="1667" spans="15:15">
      <c r="O1667" s="4288"/>
    </row>
    <row r="1668" spans="15:15">
      <c r="O1668" s="4288"/>
    </row>
    <row r="1669" spans="15:15">
      <c r="O1669" s="4288"/>
    </row>
    <row r="1670" spans="15:15">
      <c r="O1670" s="4288"/>
    </row>
    <row r="1671" spans="15:15">
      <c r="O1671" s="4288"/>
    </row>
    <row r="1672" spans="15:15">
      <c r="O1672" s="4288"/>
    </row>
    <row r="1673" spans="15:15">
      <c r="O1673" s="4288"/>
    </row>
    <row r="1674" spans="15:15">
      <c r="O1674" s="4288"/>
    </row>
    <row r="1675" spans="15:15">
      <c r="O1675" s="4288"/>
    </row>
    <row r="1676" spans="15:15">
      <c r="O1676" s="4288"/>
    </row>
    <row r="1677" spans="15:15">
      <c r="O1677" s="4288"/>
    </row>
    <row r="1678" spans="15:15">
      <c r="O1678" s="4288"/>
    </row>
    <row r="1679" spans="15:15">
      <c r="O1679" s="4288"/>
    </row>
    <row r="1680" spans="15:15">
      <c r="O1680" s="4288"/>
    </row>
    <row r="1681" spans="15:15">
      <c r="O1681" s="4288"/>
    </row>
    <row r="1682" spans="15:15">
      <c r="O1682" s="4288"/>
    </row>
    <row r="1683" spans="15:15">
      <c r="O1683" s="4288"/>
    </row>
    <row r="1684" spans="15:15">
      <c r="O1684" s="4288"/>
    </row>
    <row r="1685" spans="15:15">
      <c r="O1685" s="4288"/>
    </row>
    <row r="1686" spans="15:15">
      <c r="O1686" s="4288"/>
    </row>
    <row r="1687" spans="15:15">
      <c r="O1687" s="4288"/>
    </row>
    <row r="1688" spans="15:15">
      <c r="O1688" s="4288"/>
    </row>
    <row r="1689" spans="15:15">
      <c r="O1689" s="4288"/>
    </row>
    <row r="1690" spans="15:15">
      <c r="O1690" s="4288"/>
    </row>
    <row r="1691" spans="15:15">
      <c r="O1691" s="4288"/>
    </row>
    <row r="1692" spans="15:15">
      <c r="O1692" s="4288"/>
    </row>
    <row r="1693" spans="15:15">
      <c r="O1693" s="4288"/>
    </row>
    <row r="1694" spans="15:15">
      <c r="O1694" s="4288"/>
    </row>
    <row r="1695" spans="15:15">
      <c r="O1695" s="4288"/>
    </row>
    <row r="1696" spans="15:15">
      <c r="O1696" s="4288"/>
    </row>
    <row r="1697" spans="15:15">
      <c r="O1697" s="4288"/>
    </row>
    <row r="1698" spans="15:15">
      <c r="O1698" s="4288"/>
    </row>
    <row r="1699" spans="15:15">
      <c r="O1699" s="4288"/>
    </row>
    <row r="1700" spans="15:15">
      <c r="O1700" s="4288"/>
    </row>
    <row r="1701" spans="15:15">
      <c r="O1701" s="4288"/>
    </row>
    <row r="1702" spans="15:15">
      <c r="O1702" s="4288"/>
    </row>
    <row r="1703" spans="15:15">
      <c r="O1703" s="4288"/>
    </row>
    <row r="1704" spans="15:15">
      <c r="O1704" s="4288"/>
    </row>
    <row r="1705" spans="15:15">
      <c r="O1705" s="4288"/>
    </row>
    <row r="1706" spans="15:15">
      <c r="O1706" s="4288"/>
    </row>
    <row r="1707" spans="15:15">
      <c r="O1707" s="4288"/>
    </row>
    <row r="1708" spans="15:15">
      <c r="O1708" s="4288"/>
    </row>
    <row r="1709" spans="15:15">
      <c r="O1709" s="4288"/>
    </row>
    <row r="1710" spans="15:15">
      <c r="O1710" s="4288"/>
    </row>
    <row r="1711" spans="15:15">
      <c r="O1711" s="4288"/>
    </row>
    <row r="1712" spans="15:15">
      <c r="O1712" s="4288"/>
    </row>
    <row r="1713" spans="15:15">
      <c r="O1713" s="4288"/>
    </row>
    <row r="1714" spans="15:15">
      <c r="O1714" s="4288"/>
    </row>
    <row r="1715" spans="15:15">
      <c r="O1715" s="4288"/>
    </row>
    <row r="1716" spans="15:15">
      <c r="O1716" s="4288"/>
    </row>
    <row r="1717" spans="15:15">
      <c r="O1717" s="4288"/>
    </row>
    <row r="1718" spans="15:15">
      <c r="O1718" s="4288"/>
    </row>
    <row r="1719" spans="15:15">
      <c r="O1719" s="4288"/>
    </row>
    <row r="1720" spans="15:15">
      <c r="O1720" s="4288"/>
    </row>
    <row r="1721" spans="15:15">
      <c r="O1721" s="4288"/>
    </row>
    <row r="1722" spans="15:15">
      <c r="O1722" s="4288"/>
    </row>
    <row r="1723" spans="15:15">
      <c r="O1723" s="4288"/>
    </row>
    <row r="1724" spans="15:15">
      <c r="O1724" s="4288"/>
    </row>
    <row r="1725" spans="15:15">
      <c r="O1725" s="4288"/>
    </row>
    <row r="1726" spans="15:15">
      <c r="O1726" s="4288"/>
    </row>
    <row r="1727" spans="15:15">
      <c r="O1727" s="4288"/>
    </row>
    <row r="1728" spans="15:15">
      <c r="O1728" s="4288"/>
    </row>
    <row r="1729" spans="15:15">
      <c r="O1729" s="4288"/>
    </row>
    <row r="1730" spans="15:15">
      <c r="O1730" s="4288"/>
    </row>
    <row r="1731" spans="15:15">
      <c r="O1731" s="4288"/>
    </row>
    <row r="1732" spans="15:15">
      <c r="O1732" s="4288"/>
    </row>
    <row r="1733" spans="15:15">
      <c r="O1733" s="4288"/>
    </row>
    <row r="1734" spans="15:15">
      <c r="O1734" s="4288"/>
    </row>
    <row r="1735" spans="15:15">
      <c r="O1735" s="4288"/>
    </row>
    <row r="1736" spans="15:15">
      <c r="O1736" s="4288"/>
    </row>
    <row r="1737" spans="15:15">
      <c r="O1737" s="4288"/>
    </row>
    <row r="1738" spans="15:15">
      <c r="O1738" s="4288"/>
    </row>
    <row r="1739" spans="15:15">
      <c r="O1739" s="4288"/>
    </row>
    <row r="1740" spans="15:15">
      <c r="O1740" s="4288"/>
    </row>
    <row r="1741" spans="15:15">
      <c r="O1741" s="4288"/>
    </row>
    <row r="1742" spans="15:15">
      <c r="O1742" s="4288"/>
    </row>
    <row r="1743" spans="15:15">
      <c r="O1743" s="4288"/>
    </row>
    <row r="1744" spans="15:15">
      <c r="O1744" s="4288"/>
    </row>
    <row r="1745" spans="15:15">
      <c r="O1745" s="4288"/>
    </row>
    <row r="1746" spans="15:15">
      <c r="O1746" s="4288"/>
    </row>
    <row r="1747" spans="15:15">
      <c r="O1747" s="4288"/>
    </row>
    <row r="1748" spans="15:15">
      <c r="O1748" s="4288"/>
    </row>
    <row r="1749" spans="15:15">
      <c r="O1749" s="4288"/>
    </row>
    <row r="1750" spans="15:15">
      <c r="O1750" s="4288"/>
    </row>
    <row r="1751" spans="15:15">
      <c r="O1751" s="4288"/>
    </row>
    <row r="1752" spans="15:15">
      <c r="O1752" s="4288"/>
    </row>
    <row r="1753" spans="15:15">
      <c r="O1753" s="4288"/>
    </row>
    <row r="1754" spans="15:15">
      <c r="O1754" s="4288"/>
    </row>
    <row r="1755" spans="15:15">
      <c r="O1755" s="4288"/>
    </row>
    <row r="1756" spans="15:15">
      <c r="O1756" s="4288"/>
    </row>
    <row r="1757" spans="15:15">
      <c r="O1757" s="4288"/>
    </row>
    <row r="1758" spans="15:15">
      <c r="O1758" s="4288"/>
    </row>
    <row r="1759" spans="15:15">
      <c r="O1759" s="4288"/>
    </row>
    <row r="1760" spans="15:15">
      <c r="O1760" s="4288"/>
    </row>
    <row r="1761" spans="15:15">
      <c r="O1761" s="4288"/>
    </row>
    <row r="1762" spans="15:15">
      <c r="O1762" s="4288"/>
    </row>
    <row r="1763" spans="15:15">
      <c r="O1763" s="4288"/>
    </row>
    <row r="1764" spans="15:15">
      <c r="O1764" s="4288"/>
    </row>
    <row r="1765" spans="15:15">
      <c r="O1765" s="4288"/>
    </row>
    <row r="1766" spans="15:15">
      <c r="O1766" s="4288"/>
    </row>
    <row r="1767" spans="15:15">
      <c r="O1767" s="4288"/>
    </row>
    <row r="1768" spans="15:15">
      <c r="O1768" s="4288"/>
    </row>
    <row r="1769" spans="15:15">
      <c r="O1769" s="4288"/>
    </row>
    <row r="1770" spans="15:15">
      <c r="O1770" s="4288"/>
    </row>
    <row r="1771" spans="15:15">
      <c r="O1771" s="4288"/>
    </row>
    <row r="1772" spans="15:15">
      <c r="O1772" s="4288"/>
    </row>
    <row r="1773" spans="15:15">
      <c r="O1773" s="4288"/>
    </row>
    <row r="1774" spans="15:15">
      <c r="O1774" s="4288"/>
    </row>
    <row r="1775" spans="15:15">
      <c r="O1775" s="4288"/>
    </row>
    <row r="1776" spans="15:15">
      <c r="O1776" s="4288"/>
    </row>
    <row r="1777" spans="15:15">
      <c r="O1777" s="4288"/>
    </row>
    <row r="1778" spans="15:15">
      <c r="O1778" s="4288"/>
    </row>
    <row r="1779" spans="15:15">
      <c r="O1779" s="4288"/>
    </row>
    <row r="1780" spans="15:15">
      <c r="O1780" s="4288"/>
    </row>
    <row r="1781" spans="15:15">
      <c r="O1781" s="4288"/>
    </row>
    <row r="1782" spans="15:15">
      <c r="O1782" s="4288"/>
    </row>
    <row r="1783" spans="15:15">
      <c r="O1783" s="4288"/>
    </row>
    <row r="1784" spans="15:15">
      <c r="O1784" s="4288"/>
    </row>
    <row r="1785" spans="15:15">
      <c r="O1785" s="4288"/>
    </row>
    <row r="1786" spans="15:15">
      <c r="O1786" s="4288"/>
    </row>
    <row r="1787" spans="15:15">
      <c r="O1787" s="4288"/>
    </row>
    <row r="1788" spans="15:15">
      <c r="O1788" s="4288"/>
    </row>
    <row r="1789" spans="15:15">
      <c r="O1789" s="4288"/>
    </row>
    <row r="1790" spans="15:15">
      <c r="O1790" s="4288"/>
    </row>
    <row r="1791" spans="15:15">
      <c r="O1791" s="4288"/>
    </row>
    <row r="1792" spans="15:15">
      <c r="O1792" s="4288"/>
    </row>
    <row r="1793" spans="15:15">
      <c r="O1793" s="4288"/>
    </row>
    <row r="1794" spans="15:15">
      <c r="O1794" s="4288"/>
    </row>
    <row r="1795" spans="15:15">
      <c r="O1795" s="4288"/>
    </row>
    <row r="1796" spans="15:15">
      <c r="O1796" s="4288"/>
    </row>
    <row r="1797" spans="15:15">
      <c r="O1797" s="4288"/>
    </row>
    <row r="1798" spans="15:15">
      <c r="O1798" s="4288"/>
    </row>
    <row r="1799" spans="15:15">
      <c r="O1799" s="4288"/>
    </row>
    <row r="1800" spans="15:15">
      <c r="O1800" s="4288"/>
    </row>
    <row r="1801" spans="15:15">
      <c r="O1801" s="4288"/>
    </row>
    <row r="1802" spans="15:15">
      <c r="O1802" s="4288"/>
    </row>
    <row r="1803" spans="15:15">
      <c r="O1803" s="4288"/>
    </row>
    <row r="1804" spans="15:15">
      <c r="O1804" s="4288"/>
    </row>
    <row r="1805" spans="15:15">
      <c r="O1805" s="4288"/>
    </row>
    <row r="1806" spans="15:15">
      <c r="O1806" s="4288"/>
    </row>
    <row r="1807" spans="15:15">
      <c r="O1807" s="4288"/>
    </row>
    <row r="1808" spans="15:15">
      <c r="O1808" s="4288"/>
    </row>
    <row r="1809" spans="15:15">
      <c r="O1809" s="4288"/>
    </row>
    <row r="1810" spans="15:15">
      <c r="O1810" s="4288"/>
    </row>
    <row r="1811" spans="15:15">
      <c r="O1811" s="4288"/>
    </row>
    <row r="1812" spans="15:15">
      <c r="O1812" s="4288"/>
    </row>
    <row r="1813" spans="15:15">
      <c r="O1813" s="4288"/>
    </row>
    <row r="1814" spans="15:15">
      <c r="O1814" s="4288"/>
    </row>
    <row r="1815" spans="15:15">
      <c r="O1815" s="4288"/>
    </row>
    <row r="1816" spans="15:15">
      <c r="O1816" s="4288"/>
    </row>
    <row r="1817" spans="15:15">
      <c r="O1817" s="4288"/>
    </row>
    <row r="1818" spans="15:15">
      <c r="O1818" s="4288"/>
    </row>
    <row r="1819" spans="15:15">
      <c r="O1819" s="4288"/>
    </row>
    <row r="1820" spans="15:15">
      <c r="O1820" s="4288"/>
    </row>
    <row r="1821" spans="15:15">
      <c r="O1821" s="4288"/>
    </row>
    <row r="1822" spans="15:15">
      <c r="O1822" s="4288"/>
    </row>
    <row r="1823" spans="15:15">
      <c r="O1823" s="4288"/>
    </row>
    <row r="1824" spans="15:15">
      <c r="O1824" s="4288"/>
    </row>
    <row r="1825" spans="15:15">
      <c r="O1825" s="4288"/>
    </row>
    <row r="1826" spans="15:15">
      <c r="O1826" s="4288"/>
    </row>
    <row r="1827" spans="15:15">
      <c r="O1827" s="4288"/>
    </row>
    <row r="1828" spans="15:15">
      <c r="O1828" s="4288"/>
    </row>
    <row r="1829" spans="15:15">
      <c r="O1829" s="4288"/>
    </row>
    <row r="1830" spans="15:15">
      <c r="O1830" s="4288"/>
    </row>
    <row r="1831" spans="15:15">
      <c r="O1831" s="4288"/>
    </row>
    <row r="1832" spans="15:15">
      <c r="O1832" s="4288"/>
    </row>
    <row r="1833" spans="15:15">
      <c r="O1833" s="4288"/>
    </row>
    <row r="1834" spans="15:15">
      <c r="O1834" s="4288"/>
    </row>
    <row r="1835" spans="15:15">
      <c r="O1835" s="4288"/>
    </row>
    <row r="1836" spans="15:15">
      <c r="O1836" s="4288"/>
    </row>
    <row r="1837" spans="15:15">
      <c r="O1837" s="4288"/>
    </row>
    <row r="1838" spans="15:15">
      <c r="O1838" s="4288"/>
    </row>
    <row r="1839" spans="15:15">
      <c r="O1839" s="4288"/>
    </row>
    <row r="1840" spans="15:15">
      <c r="O1840" s="4288"/>
    </row>
    <row r="1841" spans="15:15">
      <c r="O1841" s="4288"/>
    </row>
    <row r="1842" spans="15:15">
      <c r="O1842" s="4288"/>
    </row>
    <row r="1843" spans="15:15">
      <c r="O1843" s="4288"/>
    </row>
    <row r="1844" spans="15:15">
      <c r="O1844" s="4288"/>
    </row>
    <row r="1845" spans="15:15">
      <c r="O1845" s="4288"/>
    </row>
    <row r="1846" spans="15:15">
      <c r="O1846" s="4288"/>
    </row>
    <row r="1847" spans="15:15">
      <c r="O1847" s="4288"/>
    </row>
    <row r="1848" spans="15:15">
      <c r="O1848" s="4288"/>
    </row>
    <row r="1849" spans="15:15">
      <c r="O1849" s="4288"/>
    </row>
    <row r="1850" spans="15:15">
      <c r="O1850" s="4288"/>
    </row>
    <row r="1851" spans="15:15">
      <c r="O1851" s="4288"/>
    </row>
    <row r="1852" spans="15:15">
      <c r="O1852" s="4288"/>
    </row>
    <row r="1853" spans="15:15">
      <c r="O1853" s="4288"/>
    </row>
    <row r="1854" spans="15:15">
      <c r="O1854" s="4288"/>
    </row>
    <row r="1855" spans="15:15">
      <c r="O1855" s="4288"/>
    </row>
    <row r="1856" spans="15:15">
      <c r="O1856" s="4288"/>
    </row>
    <row r="1857" spans="15:15">
      <c r="O1857" s="4288"/>
    </row>
    <row r="1858" spans="15:15">
      <c r="O1858" s="4288"/>
    </row>
    <row r="1859" spans="15:15">
      <c r="O1859" s="4288"/>
    </row>
    <row r="1860" spans="15:15">
      <c r="O1860" s="4288"/>
    </row>
    <row r="1861" spans="15:15">
      <c r="O1861" s="4288"/>
    </row>
    <row r="1862" spans="15:15">
      <c r="O1862" s="4288"/>
    </row>
    <row r="1863" spans="15:15">
      <c r="O1863" s="4288"/>
    </row>
    <row r="1864" spans="15:15">
      <c r="O1864" s="4288"/>
    </row>
    <row r="1865" spans="15:15">
      <c r="O1865" s="4288"/>
    </row>
    <row r="1866" spans="15:15">
      <c r="O1866" s="4288"/>
    </row>
    <row r="1867" spans="15:15">
      <c r="O1867" s="4288"/>
    </row>
    <row r="1868" spans="15:15">
      <c r="O1868" s="4288"/>
    </row>
    <row r="1869" spans="15:15">
      <c r="O1869" s="4288"/>
    </row>
    <row r="1870" spans="15:15">
      <c r="O1870" s="4288"/>
    </row>
    <row r="1871" spans="15:15">
      <c r="O1871" s="4288"/>
    </row>
    <row r="1872" spans="15:15">
      <c r="O1872" s="4288"/>
    </row>
    <row r="1873" spans="15:15">
      <c r="O1873" s="4288"/>
    </row>
    <row r="1874" spans="15:15">
      <c r="O1874" s="4288"/>
    </row>
    <row r="1875" spans="15:15">
      <c r="O1875" s="4288"/>
    </row>
    <row r="1876" spans="15:15">
      <c r="O1876" s="4288"/>
    </row>
    <row r="1877" spans="15:15">
      <c r="O1877" s="4288"/>
    </row>
    <row r="1878" spans="15:15">
      <c r="O1878" s="4288"/>
    </row>
    <row r="1879" spans="15:15">
      <c r="O1879" s="4288"/>
    </row>
    <row r="1880" spans="15:15">
      <c r="O1880" s="4288"/>
    </row>
    <row r="1881" spans="15:15">
      <c r="O1881" s="4288"/>
    </row>
    <row r="1882" spans="15:15">
      <c r="O1882" s="4288"/>
    </row>
    <row r="1883" spans="15:15">
      <c r="O1883" s="4288"/>
    </row>
    <row r="1884" spans="15:15">
      <c r="O1884" s="4288"/>
    </row>
    <row r="1885" spans="15:15">
      <c r="O1885" s="4288"/>
    </row>
    <row r="1886" spans="15:15">
      <c r="O1886" s="4288"/>
    </row>
    <row r="1887" spans="15:15">
      <c r="O1887" s="4288"/>
    </row>
    <row r="1888" spans="15:15">
      <c r="O1888" s="4288"/>
    </row>
    <row r="1889" spans="15:15">
      <c r="O1889" s="4288"/>
    </row>
    <row r="1890" spans="15:15">
      <c r="O1890" s="4288"/>
    </row>
    <row r="1891" spans="15:15">
      <c r="O1891" s="4288"/>
    </row>
    <row r="1892" spans="15:15">
      <c r="O1892" s="4288"/>
    </row>
    <row r="1893" spans="15:15">
      <c r="O1893" s="4288"/>
    </row>
    <row r="1894" spans="15:15">
      <c r="O1894" s="4288"/>
    </row>
    <row r="1895" spans="15:15">
      <c r="O1895" s="4288"/>
    </row>
    <row r="1896" spans="15:15">
      <c r="O1896" s="4288"/>
    </row>
    <row r="1897" spans="15:15">
      <c r="O1897" s="4288"/>
    </row>
    <row r="1898" spans="15:15">
      <c r="O1898" s="4288"/>
    </row>
    <row r="1899" spans="15:15">
      <c r="O1899" s="4288"/>
    </row>
    <row r="1900" spans="15:15">
      <c r="O1900" s="4288"/>
    </row>
    <row r="1901" spans="15:15">
      <c r="O1901" s="4288"/>
    </row>
    <row r="1902" spans="15:15">
      <c r="O1902" s="4288"/>
    </row>
    <row r="1903" spans="15:15">
      <c r="O1903" s="4288"/>
    </row>
    <row r="1904" spans="15:15">
      <c r="O1904" s="4288"/>
    </row>
    <row r="1905" spans="15:15">
      <c r="O1905" s="4288"/>
    </row>
    <row r="1906" spans="15:15">
      <c r="O1906" s="4288"/>
    </row>
    <row r="1907" spans="15:15">
      <c r="O1907" s="4288"/>
    </row>
    <row r="1908" spans="15:15">
      <c r="O1908" s="4288"/>
    </row>
    <row r="1909" spans="15:15">
      <c r="O1909" s="4288"/>
    </row>
    <row r="1910" spans="15:15">
      <c r="O1910" s="4288"/>
    </row>
    <row r="1911" spans="15:15">
      <c r="O1911" s="4288"/>
    </row>
    <row r="1912" spans="15:15">
      <c r="O1912" s="4288"/>
    </row>
    <row r="1913" spans="15:15">
      <c r="O1913" s="4288"/>
    </row>
    <row r="1914" spans="15:15">
      <c r="O1914" s="4288"/>
    </row>
    <row r="1915" spans="15:15">
      <c r="O1915" s="4288"/>
    </row>
    <row r="1916" spans="15:15">
      <c r="O1916" s="4288"/>
    </row>
    <row r="1917" spans="15:15">
      <c r="O1917" s="4288"/>
    </row>
    <row r="1918" spans="15:15">
      <c r="O1918" s="4288"/>
    </row>
    <row r="1919" spans="15:15">
      <c r="O1919" s="4288"/>
    </row>
    <row r="1920" spans="15:15">
      <c r="O1920" s="4288"/>
    </row>
    <row r="1921" spans="15:15">
      <c r="O1921" s="4288"/>
    </row>
    <row r="1922" spans="15:15">
      <c r="O1922" s="4288"/>
    </row>
    <row r="1923" spans="15:15">
      <c r="O1923" s="4288"/>
    </row>
    <row r="1924" spans="15:15">
      <c r="O1924" s="4288"/>
    </row>
    <row r="1925" spans="15:15">
      <c r="O1925" s="4288"/>
    </row>
    <row r="1926" spans="15:15">
      <c r="O1926" s="4288"/>
    </row>
    <row r="1927" spans="15:15">
      <c r="O1927" s="4288"/>
    </row>
    <row r="1928" spans="15:15">
      <c r="O1928" s="4288"/>
    </row>
    <row r="1929" spans="15:15">
      <c r="O1929" s="4288"/>
    </row>
    <row r="1930" spans="15:15">
      <c r="O1930" s="4288"/>
    </row>
    <row r="1931" spans="15:15">
      <c r="O1931" s="4288"/>
    </row>
    <row r="1932" spans="15:15">
      <c r="O1932" s="4288"/>
    </row>
    <row r="1933" spans="15:15">
      <c r="O1933" s="4288"/>
    </row>
    <row r="1934" spans="15:15">
      <c r="O1934" s="4288"/>
    </row>
    <row r="1935" spans="15:15">
      <c r="O1935" s="4288"/>
    </row>
    <row r="1936" spans="15:15">
      <c r="O1936" s="4288"/>
    </row>
    <row r="1937" spans="15:15">
      <c r="O1937" s="4288"/>
    </row>
    <row r="1938" spans="15:15">
      <c r="O1938" s="4288"/>
    </row>
    <row r="1939" spans="15:15">
      <c r="O1939" s="4288"/>
    </row>
    <row r="1940" spans="15:15">
      <c r="O1940" s="4288"/>
    </row>
    <row r="1941" spans="15:15">
      <c r="O1941" s="4288"/>
    </row>
    <row r="1942" spans="15:15">
      <c r="O1942" s="4288"/>
    </row>
    <row r="1943" spans="15:15">
      <c r="O1943" s="4288"/>
    </row>
    <row r="1944" spans="15:15">
      <c r="O1944" s="4288"/>
    </row>
    <row r="1945" spans="15:15">
      <c r="O1945" s="4288"/>
    </row>
    <row r="1946" spans="15:15">
      <c r="O1946" s="4288"/>
    </row>
    <row r="1947" spans="15:15">
      <c r="O1947" s="4288"/>
    </row>
    <row r="1948" spans="15:15">
      <c r="O1948" s="4288"/>
    </row>
    <row r="1949" spans="15:15">
      <c r="O1949" s="4288"/>
    </row>
    <row r="1950" spans="15:15">
      <c r="O1950" s="4288"/>
    </row>
    <row r="1951" spans="15:15">
      <c r="O1951" s="4288"/>
    </row>
    <row r="1952" spans="15:15">
      <c r="O1952" s="4288"/>
    </row>
    <row r="1953" spans="15:15">
      <c r="O1953" s="4288"/>
    </row>
    <row r="1954" spans="15:15">
      <c r="O1954" s="4288"/>
    </row>
    <row r="1955" spans="15:15">
      <c r="O1955" s="4288"/>
    </row>
    <row r="1956" spans="15:15">
      <c r="O1956" s="4288"/>
    </row>
    <row r="1957" spans="15:15">
      <c r="O1957" s="4288"/>
    </row>
    <row r="1958" spans="15:15">
      <c r="O1958" s="4288"/>
    </row>
    <row r="1959" spans="15:15">
      <c r="O1959" s="4288"/>
    </row>
    <row r="1960" spans="15:15">
      <c r="O1960" s="4288"/>
    </row>
    <row r="1961" spans="15:15">
      <c r="O1961" s="4288"/>
    </row>
    <row r="1962" spans="15:15">
      <c r="O1962" s="4288"/>
    </row>
    <row r="1963" spans="15:15">
      <c r="O1963" s="4288"/>
    </row>
    <row r="1964" spans="15:15">
      <c r="O1964" s="4288"/>
    </row>
    <row r="1965" spans="15:15">
      <c r="O1965" s="4288"/>
    </row>
    <row r="1966" spans="15:15">
      <c r="O1966" s="4288"/>
    </row>
    <row r="1967" spans="15:15">
      <c r="O1967" s="4288"/>
    </row>
    <row r="1968" spans="15:15">
      <c r="O1968" s="4288"/>
    </row>
    <row r="1969" spans="15:15">
      <c r="O1969" s="4288"/>
    </row>
    <row r="1970" spans="15:15">
      <c r="O1970" s="4288"/>
    </row>
    <row r="1971" spans="15:15">
      <c r="O1971" s="4288"/>
    </row>
    <row r="1972" spans="15:15">
      <c r="O1972" s="4288"/>
    </row>
    <row r="1973" spans="15:15">
      <c r="O1973" s="4288"/>
    </row>
    <row r="1974" spans="15:15">
      <c r="O1974" s="4288"/>
    </row>
    <row r="1975" spans="15:15">
      <c r="O1975" s="4288"/>
    </row>
    <row r="1976" spans="15:15">
      <c r="O1976" s="4288"/>
    </row>
    <row r="1977" spans="15:15">
      <c r="O1977" s="4288"/>
    </row>
    <row r="1978" spans="15:15">
      <c r="O1978" s="4288"/>
    </row>
    <row r="1979" spans="15:15">
      <c r="O1979" s="4288"/>
    </row>
    <row r="1980" spans="15:15">
      <c r="O1980" s="4288"/>
    </row>
    <row r="1981" spans="15:15">
      <c r="O1981" s="4288"/>
    </row>
    <row r="1982" spans="15:15">
      <c r="O1982" s="4288"/>
    </row>
    <row r="1983" spans="15:15">
      <c r="O1983" s="4288"/>
    </row>
    <row r="1984" spans="15:15">
      <c r="O1984" s="4288"/>
    </row>
    <row r="1985" spans="15:15">
      <c r="O1985" s="4288"/>
    </row>
    <row r="1986" spans="15:15">
      <c r="O1986" s="4288"/>
    </row>
    <row r="1987" spans="15:15">
      <c r="O1987" s="4288"/>
    </row>
    <row r="1988" spans="15:15">
      <c r="O1988" s="4288"/>
    </row>
    <row r="1989" spans="15:15">
      <c r="O1989" s="4288"/>
    </row>
    <row r="1990" spans="15:15">
      <c r="O1990" s="4288"/>
    </row>
    <row r="1991" spans="15:15">
      <c r="O1991" s="4288"/>
    </row>
    <row r="1992" spans="15:15">
      <c r="O1992" s="4288"/>
    </row>
    <row r="1993" spans="15:15">
      <c r="O1993" s="4288"/>
    </row>
    <row r="1994" spans="15:15">
      <c r="O1994" s="4288"/>
    </row>
    <row r="1995" spans="15:15">
      <c r="O1995" s="4288"/>
    </row>
    <row r="1996" spans="15:15">
      <c r="O1996" s="4288"/>
    </row>
    <row r="1997" spans="15:15">
      <c r="O1997" s="4288"/>
    </row>
    <row r="1998" spans="15:15">
      <c r="O1998" s="4288"/>
    </row>
    <row r="1999" spans="15:15">
      <c r="O1999" s="4288"/>
    </row>
    <row r="2000" spans="15:15">
      <c r="O2000" s="4288"/>
    </row>
    <row r="2001" spans="15:15">
      <c r="O2001" s="4288"/>
    </row>
    <row r="2002" spans="15:15">
      <c r="O2002" s="4288"/>
    </row>
    <row r="2003" spans="15:15">
      <c r="O2003" s="4288"/>
    </row>
    <row r="2004" spans="15:15">
      <c r="O2004" s="4288"/>
    </row>
    <row r="2005" spans="15:15">
      <c r="O2005" s="4288"/>
    </row>
    <row r="2006" spans="15:15">
      <c r="O2006" s="4288"/>
    </row>
    <row r="2007" spans="15:15">
      <c r="O2007" s="4288"/>
    </row>
    <row r="2008" spans="15:15">
      <c r="O2008" s="4288"/>
    </row>
    <row r="2009" spans="15:15">
      <c r="O2009" s="4288"/>
    </row>
    <row r="2010" spans="15:15">
      <c r="O2010" s="4288"/>
    </row>
    <row r="2011" spans="15:15">
      <c r="O2011" s="4288"/>
    </row>
    <row r="2012" spans="15:15">
      <c r="O2012" s="4288"/>
    </row>
    <row r="2013" spans="15:15">
      <c r="O2013" s="4288"/>
    </row>
    <row r="2014" spans="15:15">
      <c r="O2014" s="4288"/>
    </row>
    <row r="2015" spans="15:15">
      <c r="O2015" s="4288"/>
    </row>
    <row r="2016" spans="15:15">
      <c r="O2016" s="4288"/>
    </row>
    <row r="2017" spans="15:15">
      <c r="O2017" s="4288"/>
    </row>
    <row r="2018" spans="15:15">
      <c r="O2018" s="4288"/>
    </row>
    <row r="2019" spans="15:15">
      <c r="O2019" s="4288"/>
    </row>
    <row r="2020" spans="15:15">
      <c r="O2020" s="4288"/>
    </row>
    <row r="2021" spans="15:15">
      <c r="O2021" s="4288"/>
    </row>
    <row r="2022" spans="15:15">
      <c r="O2022" s="4288"/>
    </row>
    <row r="2023" spans="15:15">
      <c r="O2023" s="4288"/>
    </row>
    <row r="2024" spans="15:15">
      <c r="O2024" s="4288"/>
    </row>
    <row r="2025" spans="15:15">
      <c r="O2025" s="4288"/>
    </row>
    <row r="2026" spans="15:15">
      <c r="O2026" s="4288"/>
    </row>
    <row r="2027" spans="15:15">
      <c r="O2027" s="4288"/>
    </row>
    <row r="2028" spans="15:15">
      <c r="O2028" s="4288"/>
    </row>
    <row r="2029" spans="15:15">
      <c r="O2029" s="4288"/>
    </row>
    <row r="2030" spans="15:15">
      <c r="O2030" s="4288"/>
    </row>
    <row r="2031" spans="15:15">
      <c r="O2031" s="4288"/>
    </row>
    <row r="2032" spans="15:15">
      <c r="O2032" s="4288"/>
    </row>
    <row r="2033" spans="15:15">
      <c r="O2033" s="4288"/>
    </row>
    <row r="2034" spans="15:15">
      <c r="O2034" s="4288"/>
    </row>
    <row r="2035" spans="15:15">
      <c r="O2035" s="4288"/>
    </row>
    <row r="2036" spans="15:15">
      <c r="O2036" s="4288"/>
    </row>
    <row r="2037" spans="15:15">
      <c r="O2037" s="4288"/>
    </row>
    <row r="2038" spans="15:15">
      <c r="O2038" s="4288"/>
    </row>
    <row r="2039" spans="15:15">
      <c r="O2039" s="4288"/>
    </row>
    <row r="2040" spans="15:15">
      <c r="O2040" s="4288"/>
    </row>
    <row r="2041" spans="15:15">
      <c r="O2041" s="4288"/>
    </row>
    <row r="2042" spans="15:15">
      <c r="O2042" s="4288"/>
    </row>
    <row r="2043" spans="15:15">
      <c r="O2043" s="4288"/>
    </row>
    <row r="2044" spans="15:15">
      <c r="O2044" s="4288"/>
    </row>
    <row r="2045" spans="15:15">
      <c r="O2045" s="4288"/>
    </row>
    <row r="2046" spans="15:15">
      <c r="O2046" s="4288"/>
    </row>
    <row r="2047" spans="15:15">
      <c r="O2047" s="4288"/>
    </row>
    <row r="2048" spans="15:15">
      <c r="O2048" s="4288"/>
    </row>
    <row r="2049" spans="15:15">
      <c r="O2049" s="4288"/>
    </row>
    <row r="2050" spans="15:15">
      <c r="O2050" s="4288"/>
    </row>
    <row r="2051" spans="15:15">
      <c r="O2051" s="4288"/>
    </row>
    <row r="2052" spans="15:15">
      <c r="O2052" s="4288"/>
    </row>
    <row r="2053" spans="15:15">
      <c r="O2053" s="4288"/>
    </row>
    <row r="2054" spans="15:15">
      <c r="O2054" s="4288"/>
    </row>
    <row r="2055" spans="15:15">
      <c r="O2055" s="4288"/>
    </row>
    <row r="2056" spans="15:15">
      <c r="O2056" s="4288"/>
    </row>
    <row r="2057" spans="15:15">
      <c r="O2057" s="4288"/>
    </row>
    <row r="2058" spans="15:15">
      <c r="O2058" s="4288"/>
    </row>
    <row r="2059" spans="15:15">
      <c r="O2059" s="4288"/>
    </row>
    <row r="2060" spans="15:15">
      <c r="O2060" s="4288"/>
    </row>
    <row r="2061" spans="15:15">
      <c r="O2061" s="4288"/>
    </row>
    <row r="2062" spans="15:15">
      <c r="O2062" s="4288"/>
    </row>
    <row r="2063" spans="15:15">
      <c r="O2063" s="4288"/>
    </row>
    <row r="2064" spans="15:15">
      <c r="O2064" s="4288"/>
    </row>
    <row r="2065" spans="15:15">
      <c r="O2065" s="4288"/>
    </row>
    <row r="2066" spans="15:15">
      <c r="O2066" s="4288"/>
    </row>
    <row r="2067" spans="15:15">
      <c r="O2067" s="4288"/>
    </row>
    <row r="2068" spans="15:15">
      <c r="O2068" s="4288"/>
    </row>
    <row r="2069" spans="15:15">
      <c r="O2069" s="4288"/>
    </row>
    <row r="2070" spans="15:15">
      <c r="O2070" s="4288"/>
    </row>
    <row r="2071" spans="15:15">
      <c r="O2071" s="4288"/>
    </row>
    <row r="2072" spans="15:15">
      <c r="O2072" s="4288"/>
    </row>
    <row r="2073" spans="15:15">
      <c r="O2073" s="4288"/>
    </row>
    <row r="2074" spans="15:15">
      <c r="O2074" s="4288"/>
    </row>
    <row r="2075" spans="15:15">
      <c r="O2075" s="4288"/>
    </row>
    <row r="2076" spans="15:15">
      <c r="O2076" s="4288"/>
    </row>
    <row r="2077" spans="15:15">
      <c r="O2077" s="4288"/>
    </row>
    <row r="2078" spans="15:15">
      <c r="O2078" s="4288"/>
    </row>
    <row r="2079" spans="15:15">
      <c r="O2079" s="4288"/>
    </row>
    <row r="2080" spans="15:15">
      <c r="O2080" s="4288"/>
    </row>
    <row r="2081" spans="15:15">
      <c r="O2081" s="4288"/>
    </row>
    <row r="2082" spans="15:15">
      <c r="O2082" s="4288"/>
    </row>
    <row r="2083" spans="15:15">
      <c r="O2083" s="4288"/>
    </row>
    <row r="2084" spans="15:15">
      <c r="O2084" s="4288"/>
    </row>
    <row r="2085" spans="15:15">
      <c r="O2085" s="4288"/>
    </row>
    <row r="2086" spans="15:15">
      <c r="O2086" s="4288"/>
    </row>
    <row r="2087" spans="15:15">
      <c r="O2087" s="4288"/>
    </row>
    <row r="2088" spans="15:15">
      <c r="O2088" s="4288"/>
    </row>
    <row r="2089" spans="15:15">
      <c r="O2089" s="4288"/>
    </row>
    <row r="2090" spans="15:15">
      <c r="O2090" s="4288"/>
    </row>
    <row r="2091" spans="15:15">
      <c r="O2091" s="4288"/>
    </row>
    <row r="2092" spans="15:15">
      <c r="O2092" s="4288"/>
    </row>
    <row r="2093" spans="15:15">
      <c r="O2093" s="4288"/>
    </row>
    <row r="2094" spans="15:15">
      <c r="O2094" s="4288"/>
    </row>
    <row r="2095" spans="15:15">
      <c r="O2095" s="4288"/>
    </row>
    <row r="2096" spans="15:15">
      <c r="O2096" s="4288"/>
    </row>
    <row r="2097" spans="15:15">
      <c r="O2097" s="4288"/>
    </row>
    <row r="2098" spans="15:15">
      <c r="O2098" s="4288"/>
    </row>
    <row r="2099" spans="15:15">
      <c r="O2099" s="4288"/>
    </row>
    <row r="2100" spans="15:15">
      <c r="O2100" s="4288"/>
    </row>
    <row r="2101" spans="15:15">
      <c r="O2101" s="4288"/>
    </row>
    <row r="2102" spans="15:15">
      <c r="O2102" s="4288"/>
    </row>
    <row r="2103" spans="15:15">
      <c r="O2103" s="4288"/>
    </row>
    <row r="2104" spans="15:15">
      <c r="O2104" s="4288"/>
    </row>
    <row r="2105" spans="15:15">
      <c r="O2105" s="4288"/>
    </row>
    <row r="2106" spans="15:15">
      <c r="O2106" s="4288"/>
    </row>
    <row r="2107" spans="15:15">
      <c r="O2107" s="4288"/>
    </row>
    <row r="2108" spans="15:15">
      <c r="O2108" s="4288"/>
    </row>
    <row r="2109" spans="15:15">
      <c r="O2109" s="4288"/>
    </row>
    <row r="2110" spans="15:15">
      <c r="O2110" s="4288"/>
    </row>
    <row r="2111" spans="15:15">
      <c r="O2111" s="4288"/>
    </row>
    <row r="2112" spans="15:15">
      <c r="O2112" s="4288"/>
    </row>
    <row r="2113" spans="15:15">
      <c r="O2113" s="4288"/>
    </row>
    <row r="2114" spans="15:15">
      <c r="O2114" s="4288"/>
    </row>
    <row r="2115" spans="15:15">
      <c r="O2115" s="4288"/>
    </row>
    <row r="2116" spans="15:15">
      <c r="O2116" s="4288"/>
    </row>
    <row r="2117" spans="15:15">
      <c r="O2117" s="4288"/>
    </row>
    <row r="2118" spans="15:15">
      <c r="O2118" s="4288"/>
    </row>
    <row r="2119" spans="15:15">
      <c r="O2119" s="4288"/>
    </row>
    <row r="2120" spans="15:15">
      <c r="O2120" s="4288"/>
    </row>
    <row r="2121" spans="15:15">
      <c r="O2121" s="4288"/>
    </row>
    <row r="2122" spans="15:15">
      <c r="O2122" s="4288"/>
    </row>
    <row r="2123" spans="15:15">
      <c r="O2123" s="4288"/>
    </row>
    <row r="2124" spans="15:15">
      <c r="O2124" s="4288"/>
    </row>
    <row r="2125" spans="15:15">
      <c r="O2125" s="4288"/>
    </row>
    <row r="2126" spans="15:15">
      <c r="O2126" s="4288"/>
    </row>
    <row r="2127" spans="15:15">
      <c r="O2127" s="4288"/>
    </row>
    <row r="2128" spans="15:15">
      <c r="O2128" s="4288"/>
    </row>
    <row r="2129" spans="15:15">
      <c r="O2129" s="4288"/>
    </row>
    <row r="2130" spans="15:15">
      <c r="O2130" s="4288"/>
    </row>
    <row r="2131" spans="15:15">
      <c r="O2131" s="4288"/>
    </row>
    <row r="2132" spans="15:15">
      <c r="O2132" s="4288"/>
    </row>
    <row r="2133" spans="15:15">
      <c r="O2133" s="4288"/>
    </row>
    <row r="2134" spans="15:15">
      <c r="O2134" s="4288"/>
    </row>
    <row r="2135" spans="15:15">
      <c r="O2135" s="4288"/>
    </row>
    <row r="2136" spans="15:15">
      <c r="O2136" s="4288"/>
    </row>
    <row r="2137" spans="15:15">
      <c r="O2137" s="4288"/>
    </row>
    <row r="2138" spans="15:15">
      <c r="O2138" s="4288"/>
    </row>
    <row r="2139" spans="15:15">
      <c r="O2139" s="4288"/>
    </row>
    <row r="2140" spans="15:15">
      <c r="O2140" s="4288"/>
    </row>
    <row r="2141" spans="15:15">
      <c r="O2141" s="4288"/>
    </row>
    <row r="2142" spans="15:15">
      <c r="O2142" s="4288"/>
    </row>
    <row r="2143" spans="15:15">
      <c r="O2143" s="4288"/>
    </row>
    <row r="2144" spans="15:15">
      <c r="O2144" s="4288"/>
    </row>
    <row r="2145" spans="15:15">
      <c r="O2145" s="4288"/>
    </row>
    <row r="2146" spans="15:15">
      <c r="O2146" s="4288"/>
    </row>
    <row r="2147" spans="15:15">
      <c r="O2147" s="4288"/>
    </row>
    <row r="2148" spans="15:15">
      <c r="O2148" s="4288"/>
    </row>
    <row r="2149" spans="15:15">
      <c r="O2149" s="4288"/>
    </row>
    <row r="2150" spans="15:15">
      <c r="O2150" s="4288"/>
    </row>
    <row r="2151" spans="15:15">
      <c r="O2151" s="4288"/>
    </row>
    <row r="2152" spans="15:15">
      <c r="O2152" s="4288"/>
    </row>
    <row r="2153" spans="15:15">
      <c r="O2153" s="4288"/>
    </row>
    <row r="2154" spans="15:15">
      <c r="O2154" s="4288"/>
    </row>
    <row r="2155" spans="15:15">
      <c r="O2155" s="4288"/>
    </row>
    <row r="2156" spans="15:15">
      <c r="O2156" s="4288"/>
    </row>
    <row r="2157" spans="15:15">
      <c r="O2157" s="4288"/>
    </row>
    <row r="2158" spans="15:15">
      <c r="O2158" s="4288"/>
    </row>
    <row r="2159" spans="15:15">
      <c r="O2159" s="4288"/>
    </row>
    <row r="2160" spans="15:15">
      <c r="O2160" s="4288"/>
    </row>
    <row r="2161" spans="15:15">
      <c r="O2161" s="4288"/>
    </row>
    <row r="2162" spans="15:15">
      <c r="O2162" s="4288"/>
    </row>
    <row r="2163" spans="15:15">
      <c r="O2163" s="4288"/>
    </row>
    <row r="2164" spans="15:15">
      <c r="O2164" s="4288"/>
    </row>
    <row r="2165" spans="15:15">
      <c r="O2165" s="4288"/>
    </row>
    <row r="2166" spans="15:15">
      <c r="O2166" s="4288"/>
    </row>
    <row r="2167" spans="15:15">
      <c r="O2167" s="4288"/>
    </row>
    <row r="2168" spans="15:15">
      <c r="O2168" s="4288"/>
    </row>
    <row r="2169" spans="15:15">
      <c r="O2169" s="4288"/>
    </row>
    <row r="2170" spans="15:15">
      <c r="O2170" s="4288"/>
    </row>
    <row r="2171" spans="15:15">
      <c r="O2171" s="4288"/>
    </row>
    <row r="2172" spans="15:15">
      <c r="O2172" s="4288"/>
    </row>
    <row r="2173" spans="15:15">
      <c r="O2173" s="4288"/>
    </row>
    <row r="2174" spans="15:15">
      <c r="O2174" s="4288"/>
    </row>
    <row r="2175" spans="15:15">
      <c r="O2175" s="4288"/>
    </row>
    <row r="2176" spans="15:15">
      <c r="O2176" s="4288"/>
    </row>
    <row r="2177" spans="15:15">
      <c r="O2177" s="4288"/>
    </row>
    <row r="2178" spans="15:15">
      <c r="O2178" s="4288"/>
    </row>
    <row r="2179" spans="15:15">
      <c r="O2179" s="4288"/>
    </row>
    <row r="2180" spans="15:15">
      <c r="O2180" s="4288"/>
    </row>
    <row r="2181" spans="15:15">
      <c r="O2181" s="4288"/>
    </row>
    <row r="2182" spans="15:15">
      <c r="O2182" s="4288"/>
    </row>
    <row r="2183" spans="15:15">
      <c r="O2183" s="4288"/>
    </row>
    <row r="2184" spans="15:15">
      <c r="O2184" s="4288"/>
    </row>
    <row r="2185" spans="15:15">
      <c r="O2185" s="4288"/>
    </row>
    <row r="2186" spans="15:15">
      <c r="O2186" s="4288"/>
    </row>
    <row r="2187" spans="15:15">
      <c r="O2187" s="4288"/>
    </row>
    <row r="2188" spans="15:15">
      <c r="O2188" s="4288"/>
    </row>
    <row r="2189" spans="15:15">
      <c r="O2189" s="4288"/>
    </row>
    <row r="2190" spans="15:15">
      <c r="O2190" s="4288"/>
    </row>
    <row r="2191" spans="15:15">
      <c r="O2191" s="4288"/>
    </row>
    <row r="2192" spans="15:15">
      <c r="O2192" s="4288"/>
    </row>
    <row r="2193" spans="15:15">
      <c r="O2193" s="4288"/>
    </row>
    <row r="2194" spans="15:15">
      <c r="O2194" s="4288"/>
    </row>
    <row r="2195" spans="15:15">
      <c r="O2195" s="4288"/>
    </row>
    <row r="2196" spans="15:15">
      <c r="O2196" s="4288"/>
    </row>
    <row r="2197" spans="15:15">
      <c r="O2197" s="4288"/>
    </row>
    <row r="2198" spans="15:15">
      <c r="O2198" s="4288"/>
    </row>
    <row r="2199" spans="15:15">
      <c r="O2199" s="4288"/>
    </row>
    <row r="2200" spans="15:15">
      <c r="O2200" s="4288"/>
    </row>
    <row r="2201" spans="15:15">
      <c r="O2201" s="4288"/>
    </row>
    <row r="2202" spans="15:15">
      <c r="O2202" s="4288"/>
    </row>
    <row r="2203" spans="15:15">
      <c r="O2203" s="4288"/>
    </row>
    <row r="2204" spans="15:15">
      <c r="O2204" s="4288"/>
    </row>
    <row r="2205" spans="15:15">
      <c r="O2205" s="4288"/>
    </row>
    <row r="2206" spans="15:15">
      <c r="O2206" s="4288"/>
    </row>
    <row r="2207" spans="15:15">
      <c r="O2207" s="4288"/>
    </row>
    <row r="2208" spans="15:15">
      <c r="O2208" s="4288"/>
    </row>
    <row r="2209" spans="15:15">
      <c r="O2209" s="4288"/>
    </row>
    <row r="2210" spans="15:15">
      <c r="O2210" s="4288"/>
    </row>
    <row r="2211" spans="15:15">
      <c r="O2211" s="4288"/>
    </row>
    <row r="2212" spans="15:15">
      <c r="O2212" s="4288"/>
    </row>
    <row r="2213" spans="15:15">
      <c r="O2213" s="4288"/>
    </row>
    <row r="2214" spans="15:15">
      <c r="O2214" s="4288"/>
    </row>
    <row r="2215" spans="15:15">
      <c r="O2215" s="4288"/>
    </row>
    <row r="2216" spans="15:15">
      <c r="O2216" s="4288"/>
    </row>
    <row r="2217" spans="15:15">
      <c r="O2217" s="4288"/>
    </row>
    <row r="2218" spans="15:15">
      <c r="O2218" s="4288"/>
    </row>
    <row r="2219" spans="15:15">
      <c r="O2219" s="4288"/>
    </row>
    <row r="2220" spans="15:15">
      <c r="O2220" s="4288"/>
    </row>
    <row r="2221" spans="15:15">
      <c r="O2221" s="4288"/>
    </row>
    <row r="2222" spans="15:15">
      <c r="O2222" s="4288"/>
    </row>
    <row r="2223" spans="15:15">
      <c r="O2223" s="4288"/>
    </row>
    <row r="2224" spans="15:15">
      <c r="O2224" s="4288"/>
    </row>
    <row r="2225" spans="15:15">
      <c r="O2225" s="4288"/>
    </row>
    <row r="2226" spans="15:15">
      <c r="O2226" s="4288"/>
    </row>
    <row r="2227" spans="15:15">
      <c r="O2227" s="4288"/>
    </row>
    <row r="2228" spans="15:15">
      <c r="O2228" s="4288"/>
    </row>
    <row r="2229" spans="15:15">
      <c r="O2229" s="4288"/>
    </row>
    <row r="2230" spans="15:15">
      <c r="O2230" s="4288"/>
    </row>
    <row r="2231" spans="15:15">
      <c r="O2231" s="4288"/>
    </row>
    <row r="2232" spans="15:15">
      <c r="O2232" s="4288"/>
    </row>
    <row r="2233" spans="15:15">
      <c r="O2233" s="4288"/>
    </row>
    <row r="2234" spans="15:15">
      <c r="O2234" s="4288"/>
    </row>
    <row r="2235" spans="15:15">
      <c r="O2235" s="4288"/>
    </row>
    <row r="2236" spans="15:15">
      <c r="O2236" s="4288"/>
    </row>
    <row r="2237" spans="15:15">
      <c r="O2237" s="4288"/>
    </row>
    <row r="2238" spans="15:15">
      <c r="O2238" s="4288"/>
    </row>
    <row r="2239" spans="15:15">
      <c r="O2239" s="4288"/>
    </row>
    <row r="2240" spans="15:15">
      <c r="O2240" s="4288"/>
    </row>
    <row r="2241" spans="15:15">
      <c r="O2241" s="4288"/>
    </row>
    <row r="2242" spans="15:15">
      <c r="O2242" s="4288"/>
    </row>
    <row r="2243" spans="15:15">
      <c r="O2243" s="4288"/>
    </row>
    <row r="2244" spans="15:15">
      <c r="O2244" s="4288"/>
    </row>
    <row r="2245" spans="15:15">
      <c r="O2245" s="4288"/>
    </row>
    <row r="2246" spans="15:15">
      <c r="O2246" s="4288"/>
    </row>
    <row r="2247" spans="15:15">
      <c r="O2247" s="4288"/>
    </row>
    <row r="2248" spans="15:15">
      <c r="O2248" s="4288"/>
    </row>
    <row r="2249" spans="15:15">
      <c r="O2249" s="4288"/>
    </row>
    <row r="2250" spans="15:15">
      <c r="O2250" s="4288"/>
    </row>
    <row r="2251" spans="15:15">
      <c r="O2251" s="4288"/>
    </row>
    <row r="2252" spans="15:15">
      <c r="O2252" s="4288"/>
    </row>
    <row r="2253" spans="15:15">
      <c r="O2253" s="4288"/>
    </row>
    <row r="2254" spans="15:15">
      <c r="O2254" s="4288"/>
    </row>
    <row r="2255" spans="15:15">
      <c r="O2255" s="4288"/>
    </row>
    <row r="2256" spans="15:15">
      <c r="O2256" s="4288"/>
    </row>
    <row r="2257" spans="15:15">
      <c r="O2257" s="4288"/>
    </row>
    <row r="2258" spans="15:15">
      <c r="O2258" s="4288"/>
    </row>
    <row r="2259" spans="15:15">
      <c r="O2259" s="4288"/>
    </row>
    <row r="2260" spans="15:15">
      <c r="O2260" s="4288"/>
    </row>
    <row r="2261" spans="15:15">
      <c r="O2261" s="4288"/>
    </row>
    <row r="2262" spans="15:15">
      <c r="O2262" s="4288"/>
    </row>
    <row r="2263" spans="15:15">
      <c r="O2263" s="4288"/>
    </row>
    <row r="2264" spans="15:15">
      <c r="O2264" s="4288"/>
    </row>
    <row r="2265" spans="15:15">
      <c r="O2265" s="4288"/>
    </row>
    <row r="2266" spans="15:15">
      <c r="O2266" s="4288"/>
    </row>
    <row r="2267" spans="15:15">
      <c r="O2267" s="4288"/>
    </row>
    <row r="2268" spans="15:15">
      <c r="O2268" s="4288"/>
    </row>
    <row r="2269" spans="15:15">
      <c r="O2269" s="4288"/>
    </row>
    <row r="2270" spans="15:15">
      <c r="O2270" s="4288"/>
    </row>
    <row r="2271" spans="15:15">
      <c r="O2271" s="4288"/>
    </row>
    <row r="2272" spans="15:15">
      <c r="O2272" s="4288"/>
    </row>
    <row r="2273" spans="15:15">
      <c r="O2273" s="4288"/>
    </row>
    <row r="2274" spans="15:15">
      <c r="O2274" s="4288"/>
    </row>
    <row r="2275" spans="15:15">
      <c r="O2275" s="4288"/>
    </row>
    <row r="2276" spans="15:15">
      <c r="O2276" s="4288"/>
    </row>
    <row r="2277" spans="15:15">
      <c r="O2277" s="4288"/>
    </row>
    <row r="2278" spans="15:15">
      <c r="O2278" s="4288"/>
    </row>
    <row r="2279" spans="15:15">
      <c r="O2279" s="4288"/>
    </row>
    <row r="2280" spans="15:15">
      <c r="O2280" s="4288"/>
    </row>
    <row r="2281" spans="15:15">
      <c r="O2281" s="4288"/>
    </row>
    <row r="2282" spans="15:15">
      <c r="O2282" s="4288"/>
    </row>
    <row r="2283" spans="15:15">
      <c r="O2283" s="4288"/>
    </row>
    <row r="2284" spans="15:15">
      <c r="O2284" s="4288"/>
    </row>
    <row r="2285" spans="15:15">
      <c r="O2285" s="4288"/>
    </row>
    <row r="2286" spans="15:15">
      <c r="O2286" s="4288"/>
    </row>
    <row r="2287" spans="15:15">
      <c r="O2287" s="4288"/>
    </row>
    <row r="2288" spans="15:15">
      <c r="O2288" s="4288"/>
    </row>
    <row r="2289" spans="15:15">
      <c r="O2289" s="4288"/>
    </row>
    <row r="2290" spans="15:15">
      <c r="O2290" s="4288"/>
    </row>
    <row r="2291" spans="15:15">
      <c r="O2291" s="4288"/>
    </row>
    <row r="2292" spans="15:15">
      <c r="O2292" s="4288"/>
    </row>
    <row r="2293" spans="15:15">
      <c r="O2293" s="4288"/>
    </row>
    <row r="2294" spans="15:15">
      <c r="O2294" s="4288"/>
    </row>
    <row r="2295" spans="15:15">
      <c r="O2295" s="4288"/>
    </row>
    <row r="2296" spans="15:15">
      <c r="O2296" s="4288"/>
    </row>
    <row r="2297" spans="15:15">
      <c r="O2297" s="4288"/>
    </row>
    <row r="2298" spans="15:15">
      <c r="O2298" s="4288"/>
    </row>
    <row r="2299" spans="15:15">
      <c r="O2299" s="4288"/>
    </row>
    <row r="2300" spans="15:15">
      <c r="O2300" s="4288"/>
    </row>
    <row r="2301" spans="15:15">
      <c r="O2301" s="4288"/>
    </row>
    <row r="2302" spans="15:15">
      <c r="O2302" s="4288"/>
    </row>
    <row r="2303" spans="15:15">
      <c r="O2303" s="4288"/>
    </row>
    <row r="2304" spans="15:15">
      <c r="O2304" s="4288"/>
    </row>
    <row r="2305" spans="15:15">
      <c r="O2305" s="4288"/>
    </row>
    <row r="2306" spans="15:15">
      <c r="O2306" s="4288"/>
    </row>
    <row r="2307" spans="15:15">
      <c r="O2307" s="4288"/>
    </row>
    <row r="2308" spans="15:15">
      <c r="O2308" s="4288"/>
    </row>
    <row r="2309" spans="15:15">
      <c r="O2309" s="4288"/>
    </row>
    <row r="2310" spans="15:15">
      <c r="O2310" s="4288"/>
    </row>
    <row r="2311" spans="15:15">
      <c r="O2311" s="4288"/>
    </row>
    <row r="2312" spans="15:15">
      <c r="O2312" s="4288"/>
    </row>
    <row r="2313" spans="15:15">
      <c r="O2313" s="4288"/>
    </row>
    <row r="2314" spans="15:15">
      <c r="O2314" s="4288"/>
    </row>
    <row r="2315" spans="15:15">
      <c r="O2315" s="4288"/>
    </row>
    <row r="2316" spans="15:15">
      <c r="O2316" s="4288"/>
    </row>
    <row r="2317" spans="15:15">
      <c r="O2317" s="4288"/>
    </row>
    <row r="2318" spans="15:15">
      <c r="O2318" s="4288"/>
    </row>
    <row r="2319" spans="15:15">
      <c r="O2319" s="4288"/>
    </row>
    <row r="2320" spans="15:15">
      <c r="O2320" s="4288"/>
    </row>
    <row r="2321" spans="15:15">
      <c r="O2321" s="4288"/>
    </row>
    <row r="2322" spans="15:15">
      <c r="O2322" s="4288"/>
    </row>
    <row r="2323" spans="15:15">
      <c r="O2323" s="4288"/>
    </row>
    <row r="2324" spans="15:15">
      <c r="O2324" s="4288"/>
    </row>
    <row r="2325" spans="15:15">
      <c r="O2325" s="4288"/>
    </row>
    <row r="2326" spans="15:15">
      <c r="O2326" s="4288"/>
    </row>
    <row r="2327" spans="15:15">
      <c r="O2327" s="4288"/>
    </row>
    <row r="2328" spans="15:15">
      <c r="O2328" s="4288"/>
    </row>
    <row r="2329" spans="15:15">
      <c r="O2329" s="4288"/>
    </row>
    <row r="2330" spans="15:15">
      <c r="O2330" s="4288"/>
    </row>
    <row r="2331" spans="15:15">
      <c r="O2331" s="4288"/>
    </row>
    <row r="2332" spans="15:15">
      <c r="O2332" s="4288"/>
    </row>
    <row r="2333" spans="15:15">
      <c r="O2333" s="4288"/>
    </row>
    <row r="2334" spans="15:15">
      <c r="O2334" s="4288"/>
    </row>
    <row r="2335" spans="15:15">
      <c r="O2335" s="4288"/>
    </row>
    <row r="2336" spans="15:15">
      <c r="O2336" s="4288"/>
    </row>
    <row r="2337" spans="15:15">
      <c r="O2337" s="4288"/>
    </row>
    <row r="2338" spans="15:15">
      <c r="O2338" s="4288"/>
    </row>
    <row r="2339" spans="15:15">
      <c r="O2339" s="4288"/>
    </row>
    <row r="2340" spans="15:15">
      <c r="O2340" s="4288"/>
    </row>
    <row r="2341" spans="15:15">
      <c r="O2341" s="4288"/>
    </row>
    <row r="2342" spans="15:15">
      <c r="O2342" s="4288"/>
    </row>
    <row r="2343" spans="15:15">
      <c r="O2343" s="4288"/>
    </row>
    <row r="2344" spans="15:15">
      <c r="O2344" s="4288"/>
    </row>
    <row r="2345" spans="15:15">
      <c r="O2345" s="4288"/>
    </row>
    <row r="2346" spans="15:15">
      <c r="O2346" s="4288"/>
    </row>
    <row r="2347" spans="15:15">
      <c r="O2347" s="4288"/>
    </row>
    <row r="2348" spans="15:15">
      <c r="O2348" s="4288"/>
    </row>
    <row r="2349" spans="15:15">
      <c r="O2349" s="4288"/>
    </row>
    <row r="2350" spans="15:15">
      <c r="O2350" s="4288"/>
    </row>
    <row r="2351" spans="15:15">
      <c r="O2351" s="4288"/>
    </row>
    <row r="2352" spans="15:15">
      <c r="O2352" s="4288"/>
    </row>
    <row r="2353" spans="15:15">
      <c r="O2353" s="4288"/>
    </row>
    <row r="2354" spans="15:15">
      <c r="O2354" s="4288"/>
    </row>
    <row r="2355" spans="15:15">
      <c r="O2355" s="4288"/>
    </row>
    <row r="2356" spans="15:15">
      <c r="O2356" s="4288"/>
    </row>
    <row r="2357" spans="15:15">
      <c r="O2357" s="4288"/>
    </row>
    <row r="2358" spans="15:15">
      <c r="O2358" s="4288"/>
    </row>
    <row r="2359" spans="15:15">
      <c r="O2359" s="4288"/>
    </row>
    <row r="2360" spans="15:15">
      <c r="O2360" s="4288"/>
    </row>
    <row r="2361" spans="15:15">
      <c r="O2361" s="4288"/>
    </row>
    <row r="2362" spans="15:15">
      <c r="O2362" s="4288"/>
    </row>
    <row r="2363" spans="15:15">
      <c r="O2363" s="4288"/>
    </row>
    <row r="2364" spans="15:15">
      <c r="O2364" s="4288"/>
    </row>
    <row r="2365" spans="15:15">
      <c r="O2365" s="4288"/>
    </row>
    <row r="2366" spans="15:15">
      <c r="O2366" s="4288"/>
    </row>
    <row r="2367" spans="15:15">
      <c r="O2367" s="4288"/>
    </row>
    <row r="2368" spans="15:15">
      <c r="O2368" s="4288"/>
    </row>
    <row r="2369" spans="15:15">
      <c r="O2369" s="4288"/>
    </row>
    <row r="2370" spans="15:15">
      <c r="O2370" s="4288"/>
    </row>
    <row r="2371" spans="15:15">
      <c r="O2371" s="4288"/>
    </row>
    <row r="2372" spans="15:15">
      <c r="O2372" s="4288"/>
    </row>
    <row r="2373" spans="15:15">
      <c r="O2373" s="4288"/>
    </row>
    <row r="2374" spans="15:15">
      <c r="O2374" s="4288"/>
    </row>
    <row r="2375" spans="15:15">
      <c r="O2375" s="4288"/>
    </row>
    <row r="2376" spans="15:15">
      <c r="O2376" s="4288"/>
    </row>
    <row r="2377" spans="15:15">
      <c r="O2377" s="4288"/>
    </row>
    <row r="2378" spans="15:15">
      <c r="O2378" s="4288"/>
    </row>
    <row r="2379" spans="15:15">
      <c r="O2379" s="4288"/>
    </row>
    <row r="2380" spans="15:15">
      <c r="O2380" s="4288"/>
    </row>
    <row r="2381" spans="15:15">
      <c r="O2381" s="4288"/>
    </row>
    <row r="2382" spans="15:15">
      <c r="O2382" s="4288"/>
    </row>
    <row r="2383" spans="15:15">
      <c r="O2383" s="4288"/>
    </row>
    <row r="2384" spans="15:15">
      <c r="O2384" s="4288"/>
    </row>
    <row r="2385" spans="15:15">
      <c r="O2385" s="4288"/>
    </row>
    <row r="2386" spans="15:15">
      <c r="O2386" s="4288"/>
    </row>
    <row r="2387" spans="15:15">
      <c r="O2387" s="4288"/>
    </row>
    <row r="2388" spans="15:15">
      <c r="O2388" s="4288"/>
    </row>
    <row r="2389" spans="15:15">
      <c r="O2389" s="4288"/>
    </row>
    <row r="2390" spans="15:15">
      <c r="O2390" s="4288"/>
    </row>
    <row r="2391" spans="15:15">
      <c r="O2391" s="4288"/>
    </row>
    <row r="2392" spans="15:15">
      <c r="O2392" s="4288"/>
    </row>
    <row r="2393" spans="15:15">
      <c r="O2393" s="4288"/>
    </row>
    <row r="2394" spans="15:15">
      <c r="O2394" s="4288"/>
    </row>
    <row r="2395" spans="15:15">
      <c r="O2395" s="4288"/>
    </row>
    <row r="2396" spans="15:15">
      <c r="O2396" s="4288"/>
    </row>
    <row r="2397" spans="15:15">
      <c r="O2397" s="4288"/>
    </row>
    <row r="2398" spans="15:15">
      <c r="O2398" s="4288"/>
    </row>
    <row r="2399" spans="15:15">
      <c r="O2399" s="4288"/>
    </row>
    <row r="2400" spans="15:15">
      <c r="O2400" s="4288"/>
    </row>
    <row r="2401" spans="15:15">
      <c r="O2401" s="4288"/>
    </row>
    <row r="2402" spans="15:15">
      <c r="O2402" s="4288"/>
    </row>
    <row r="2403" spans="15:15">
      <c r="O2403" s="4288"/>
    </row>
    <row r="2404" spans="15:15">
      <c r="O2404" s="4288"/>
    </row>
    <row r="2405" spans="15:15">
      <c r="O2405" s="4288"/>
    </row>
    <row r="2406" spans="15:15">
      <c r="O2406" s="4288"/>
    </row>
    <row r="2407" spans="15:15">
      <c r="O2407" s="4288"/>
    </row>
    <row r="2408" spans="15:15">
      <c r="O2408" s="4288"/>
    </row>
    <row r="2409" spans="15:15">
      <c r="O2409" s="4288"/>
    </row>
    <row r="2410" spans="15:15">
      <c r="O2410" s="4288"/>
    </row>
    <row r="2411" spans="15:15">
      <c r="O2411" s="4288"/>
    </row>
    <row r="2412" spans="15:15">
      <c r="O2412" s="4288"/>
    </row>
    <row r="2413" spans="15:15">
      <c r="O2413" s="4288"/>
    </row>
    <row r="2414" spans="15:15">
      <c r="O2414" s="4288"/>
    </row>
    <row r="2415" spans="15:15">
      <c r="O2415" s="4288"/>
    </row>
    <row r="2416" spans="15:15">
      <c r="O2416" s="4288"/>
    </row>
    <row r="2417" spans="15:15">
      <c r="O2417" s="4288"/>
    </row>
    <row r="2418" spans="15:15">
      <c r="O2418" s="4288"/>
    </row>
    <row r="2419" spans="15:15">
      <c r="O2419" s="4288"/>
    </row>
    <row r="2420" spans="15:15">
      <c r="O2420" s="4288"/>
    </row>
    <row r="2421" spans="15:15">
      <c r="O2421" s="4288"/>
    </row>
    <row r="2422" spans="15:15">
      <c r="O2422" s="4288"/>
    </row>
    <row r="2423" spans="15:15">
      <c r="O2423" s="4288"/>
    </row>
    <row r="2424" spans="15:15">
      <c r="O2424" s="4288"/>
    </row>
    <row r="2425" spans="15:15">
      <c r="O2425" s="4288"/>
    </row>
    <row r="2426" spans="15:15">
      <c r="O2426" s="4288"/>
    </row>
    <row r="2427" spans="15:15">
      <c r="O2427" s="4288"/>
    </row>
    <row r="2428" spans="15:15">
      <c r="O2428" s="4288"/>
    </row>
    <row r="2429" spans="15:15">
      <c r="O2429" s="4288"/>
    </row>
    <row r="2430" spans="15:15">
      <c r="O2430" s="4288"/>
    </row>
    <row r="2431" spans="15:15">
      <c r="O2431" s="4288"/>
    </row>
    <row r="2432" spans="15:15">
      <c r="O2432" s="4288"/>
    </row>
    <row r="2433" spans="15:15">
      <c r="O2433" s="4288"/>
    </row>
    <row r="2434" spans="15:15">
      <c r="O2434" s="4288"/>
    </row>
    <row r="2435" spans="15:15">
      <c r="O2435" s="4288"/>
    </row>
    <row r="2436" spans="15:15">
      <c r="O2436" s="4288"/>
    </row>
    <row r="2437" spans="15:15">
      <c r="O2437" s="4288"/>
    </row>
    <row r="2438" spans="15:15">
      <c r="O2438" s="4288"/>
    </row>
    <row r="2439" spans="15:15">
      <c r="O2439" s="4288"/>
    </row>
    <row r="2440" spans="15:15">
      <c r="O2440" s="4288"/>
    </row>
    <row r="2441" spans="15:15">
      <c r="O2441" s="4288"/>
    </row>
    <row r="2442" spans="15:15">
      <c r="O2442" s="4288"/>
    </row>
    <row r="2443" spans="15:15">
      <c r="O2443" s="4288"/>
    </row>
    <row r="2444" spans="15:15">
      <c r="O2444" s="4288"/>
    </row>
    <row r="2445" spans="15:15">
      <c r="O2445" s="4288"/>
    </row>
    <row r="2446" spans="15:15">
      <c r="O2446" s="4288"/>
    </row>
    <row r="2447" spans="15:15">
      <c r="O2447" s="4288"/>
    </row>
    <row r="2448" spans="15:15">
      <c r="O2448" s="4288"/>
    </row>
    <row r="2449" spans="15:15">
      <c r="O2449" s="4288"/>
    </row>
    <row r="2450" spans="15:15">
      <c r="O2450" s="4288"/>
    </row>
    <row r="2451" spans="15:15">
      <c r="O2451" s="4288"/>
    </row>
    <row r="2452" spans="15:15">
      <c r="O2452" s="4288"/>
    </row>
    <row r="2453" spans="15:15">
      <c r="O2453" s="4288"/>
    </row>
    <row r="2454" spans="15:15">
      <c r="O2454" s="4288"/>
    </row>
    <row r="2455" spans="15:15">
      <c r="O2455" s="4288"/>
    </row>
    <row r="2456" spans="15:15">
      <c r="O2456" s="4288"/>
    </row>
    <row r="2457" spans="15:15">
      <c r="O2457" s="4288"/>
    </row>
    <row r="2458" spans="15:15">
      <c r="O2458" s="4288"/>
    </row>
    <row r="2459" spans="15:15">
      <c r="O2459" s="4288"/>
    </row>
    <row r="2460" spans="15:15">
      <c r="O2460" s="4288"/>
    </row>
    <row r="2461" spans="15:15">
      <c r="O2461" s="4288"/>
    </row>
    <row r="2462" spans="15:15">
      <c r="O2462" s="4288"/>
    </row>
    <row r="2463" spans="15:15">
      <c r="O2463" s="4288"/>
    </row>
    <row r="2464" spans="15:15">
      <c r="O2464" s="4288"/>
    </row>
    <row r="2465" spans="15:15">
      <c r="O2465" s="4288"/>
    </row>
    <row r="2466" spans="15:15">
      <c r="O2466" s="4288"/>
    </row>
    <row r="2467" spans="15:15">
      <c r="O2467" s="4288"/>
    </row>
    <row r="2468" spans="15:15">
      <c r="O2468" s="4288"/>
    </row>
    <row r="2469" spans="15:15">
      <c r="O2469" s="4288"/>
    </row>
    <row r="2470" spans="15:15">
      <c r="O2470" s="4288"/>
    </row>
    <row r="2471" spans="15:15">
      <c r="O2471" s="4288"/>
    </row>
    <row r="2472" spans="15:15">
      <c r="O2472" s="4288"/>
    </row>
    <row r="2473" spans="15:15">
      <c r="O2473" s="4288"/>
    </row>
    <row r="2474" spans="15:15">
      <c r="O2474" s="4288"/>
    </row>
    <row r="2475" spans="15:15">
      <c r="O2475" s="4288"/>
    </row>
    <row r="2476" spans="15:15">
      <c r="O2476" s="4288"/>
    </row>
    <row r="2477" spans="15:15">
      <c r="O2477" s="4288"/>
    </row>
    <row r="2478" spans="15:15">
      <c r="O2478" s="4288"/>
    </row>
    <row r="2479" spans="15:15">
      <c r="O2479" s="4288"/>
    </row>
    <row r="2480" spans="15:15">
      <c r="O2480" s="4288"/>
    </row>
    <row r="2481" spans="15:15">
      <c r="O2481" s="4288"/>
    </row>
    <row r="2482" spans="15:15">
      <c r="O2482" s="4288"/>
    </row>
    <row r="2483" spans="15:15">
      <c r="O2483" s="4288"/>
    </row>
    <row r="2484" spans="15:15">
      <c r="O2484" s="4288"/>
    </row>
    <row r="2485" spans="15:15">
      <c r="O2485" s="4288"/>
    </row>
    <row r="2486" spans="15:15">
      <c r="O2486" s="4288"/>
    </row>
    <row r="2487" spans="15:15">
      <c r="O2487" s="4288"/>
    </row>
    <row r="2488" spans="15:15">
      <c r="O2488" s="4288"/>
    </row>
    <row r="2489" spans="15:15">
      <c r="O2489" s="4288"/>
    </row>
    <row r="2490" spans="15:15">
      <c r="O2490" s="4288"/>
    </row>
    <row r="2491" spans="15:15">
      <c r="O2491" s="4288"/>
    </row>
    <row r="2492" spans="15:15">
      <c r="O2492" s="4288"/>
    </row>
    <row r="2493" spans="15:15">
      <c r="O2493" s="4288"/>
    </row>
    <row r="2494" spans="15:15">
      <c r="O2494" s="4288"/>
    </row>
    <row r="2495" spans="15:15">
      <c r="O2495" s="4288"/>
    </row>
    <row r="2496" spans="15:15">
      <c r="O2496" s="4288"/>
    </row>
    <row r="2497" spans="15:15">
      <c r="O2497" s="4288"/>
    </row>
    <row r="2498" spans="15:15">
      <c r="O2498" s="4288"/>
    </row>
    <row r="2499" spans="15:15">
      <c r="O2499" s="4288"/>
    </row>
    <row r="2500" spans="15:15">
      <c r="O2500" s="4288"/>
    </row>
    <row r="2501" spans="15:15">
      <c r="O2501" s="4288"/>
    </row>
    <row r="2502" spans="15:15">
      <c r="O2502" s="4288"/>
    </row>
    <row r="2503" spans="15:15">
      <c r="O2503" s="4288"/>
    </row>
    <row r="2504" spans="15:15">
      <c r="O2504" s="4288"/>
    </row>
    <row r="2505" spans="15:15">
      <c r="O2505" s="4288"/>
    </row>
    <row r="2506" spans="15:15">
      <c r="O2506" s="4288"/>
    </row>
    <row r="2507" spans="15:15">
      <c r="O2507" s="4288"/>
    </row>
    <row r="2508" spans="15:15">
      <c r="O2508" s="4288"/>
    </row>
    <row r="2509" spans="15:15">
      <c r="O2509" s="4288"/>
    </row>
    <row r="2510" spans="15:15">
      <c r="O2510" s="4288"/>
    </row>
    <row r="2511" spans="15:15">
      <c r="O2511" s="4288"/>
    </row>
    <row r="2512" spans="15:15">
      <c r="O2512" s="4288"/>
    </row>
    <row r="2513" spans="15:15">
      <c r="O2513" s="4288"/>
    </row>
    <row r="2514" spans="15:15">
      <c r="O2514" s="4288"/>
    </row>
    <row r="2515" spans="15:15">
      <c r="O2515" s="4288"/>
    </row>
    <row r="2516" spans="15:15">
      <c r="O2516" s="4288"/>
    </row>
    <row r="2517" spans="15:15">
      <c r="O2517" s="4288"/>
    </row>
    <row r="2518" spans="15:15">
      <c r="O2518" s="4288"/>
    </row>
    <row r="2519" spans="15:15">
      <c r="O2519" s="4288"/>
    </row>
    <row r="2520" spans="15:15">
      <c r="O2520" s="4288"/>
    </row>
    <row r="2521" spans="15:15">
      <c r="O2521" s="4288"/>
    </row>
    <row r="2522" spans="15:15">
      <c r="O2522" s="4288"/>
    </row>
    <row r="2523" spans="15:15">
      <c r="O2523" s="4288"/>
    </row>
    <row r="2524" spans="15:15">
      <c r="O2524" s="4288"/>
    </row>
    <row r="2525" spans="15:15">
      <c r="O2525" s="4288"/>
    </row>
    <row r="2526" spans="15:15">
      <c r="O2526" s="4288"/>
    </row>
    <row r="2527" spans="15:15">
      <c r="O2527" s="4288"/>
    </row>
    <row r="2528" spans="15:15">
      <c r="O2528" s="4288"/>
    </row>
    <row r="2529" spans="15:15">
      <c r="O2529" s="4288"/>
    </row>
    <row r="2530" spans="15:15">
      <c r="O2530" s="4288"/>
    </row>
    <row r="2531" spans="15:15">
      <c r="O2531" s="4288"/>
    </row>
    <row r="2532" spans="15:15">
      <c r="O2532" s="4288"/>
    </row>
    <row r="2533" spans="15:15">
      <c r="O2533" s="4288"/>
    </row>
    <row r="2534" spans="15:15">
      <c r="O2534" s="4288"/>
    </row>
    <row r="2535" spans="15:15">
      <c r="O2535" s="4288"/>
    </row>
    <row r="2536" spans="15:15">
      <c r="O2536" s="4288"/>
    </row>
    <row r="2537" spans="15:15">
      <c r="O2537" s="4288"/>
    </row>
    <row r="2538" spans="15:15">
      <c r="O2538" s="4288"/>
    </row>
    <row r="2539" spans="15:15">
      <c r="O2539" s="4288"/>
    </row>
    <row r="2540" spans="15:15">
      <c r="O2540" s="4288"/>
    </row>
    <row r="2541" spans="15:15">
      <c r="O2541" s="4288"/>
    </row>
    <row r="2542" spans="15:15">
      <c r="O2542" s="4288"/>
    </row>
    <row r="2543" spans="15:15">
      <c r="O2543" s="4288"/>
    </row>
    <row r="2544" spans="15:15">
      <c r="O2544" s="4288"/>
    </row>
    <row r="2545" spans="15:15">
      <c r="O2545" s="4288"/>
    </row>
    <row r="2546" spans="15:15">
      <c r="O2546" s="4288"/>
    </row>
    <row r="2547" spans="15:15">
      <c r="O2547" s="4288"/>
    </row>
    <row r="2548" spans="15:15">
      <c r="O2548" s="4288"/>
    </row>
    <row r="2549" spans="15:15">
      <c r="O2549" s="4288"/>
    </row>
    <row r="2550" spans="15:15">
      <c r="O2550" s="4288"/>
    </row>
    <row r="2551" spans="15:15">
      <c r="O2551" s="4288"/>
    </row>
    <row r="2552" spans="15:15">
      <c r="O2552" s="4288"/>
    </row>
    <row r="2553" spans="15:15">
      <c r="O2553" s="4288"/>
    </row>
    <row r="2554" spans="15:15">
      <c r="O2554" s="4288"/>
    </row>
    <row r="2555" spans="15:15">
      <c r="O2555" s="4288"/>
    </row>
    <row r="2556" spans="15:15">
      <c r="O2556" s="4288"/>
    </row>
    <row r="2557" spans="15:15">
      <c r="O2557" s="4288"/>
    </row>
    <row r="2558" spans="15:15">
      <c r="O2558" s="4288"/>
    </row>
    <row r="2559" spans="15:15">
      <c r="O2559" s="4288"/>
    </row>
    <row r="2560" spans="15:15">
      <c r="O2560" s="4288"/>
    </row>
    <row r="2561" spans="15:15">
      <c r="O2561" s="4288"/>
    </row>
    <row r="2562" spans="15:15">
      <c r="O2562" s="4288"/>
    </row>
    <row r="2563" spans="15:15">
      <c r="O2563" s="4288"/>
    </row>
    <row r="2564" spans="15:15">
      <c r="O2564" s="4288"/>
    </row>
    <row r="2565" spans="15:15">
      <c r="O2565" s="4288"/>
    </row>
    <row r="2566" spans="15:15">
      <c r="O2566" s="4288"/>
    </row>
    <row r="2567" spans="15:15">
      <c r="O2567" s="4288"/>
    </row>
    <row r="2568" spans="15:15">
      <c r="O2568" s="4288"/>
    </row>
    <row r="2569" spans="15:15">
      <c r="O2569" s="4288"/>
    </row>
    <row r="2570" spans="15:15">
      <c r="O2570" s="4288"/>
    </row>
    <row r="2571" spans="15:15">
      <c r="O2571" s="4288"/>
    </row>
    <row r="2572" spans="15:15">
      <c r="O2572" s="4288"/>
    </row>
    <row r="2573" spans="15:15">
      <c r="O2573" s="4288"/>
    </row>
    <row r="2574" spans="15:15">
      <c r="O2574" s="4288"/>
    </row>
    <row r="2575" spans="15:15">
      <c r="O2575" s="4288"/>
    </row>
    <row r="2576" spans="15:15">
      <c r="O2576" s="4288"/>
    </row>
    <row r="2577" spans="15:15">
      <c r="O2577" s="4288"/>
    </row>
    <row r="2578" spans="15:15">
      <c r="O2578" s="4288"/>
    </row>
    <row r="2579" spans="15:15">
      <c r="O2579" s="4288"/>
    </row>
    <row r="2580" spans="15:15">
      <c r="O2580" s="4288"/>
    </row>
    <row r="2581" spans="15:15">
      <c r="O2581" s="4288"/>
    </row>
    <row r="2582" spans="15:15">
      <c r="O2582" s="4288"/>
    </row>
    <row r="2583" spans="15:15">
      <c r="O2583" s="4288"/>
    </row>
    <row r="2584" spans="15:15">
      <c r="O2584" s="4288"/>
    </row>
    <row r="2585" spans="15:15">
      <c r="O2585" s="4288"/>
    </row>
    <row r="2586" spans="15:15">
      <c r="O2586" s="4288"/>
    </row>
    <row r="2587" spans="15:15">
      <c r="O2587" s="4288"/>
    </row>
    <row r="2588" spans="15:15">
      <c r="O2588" s="4288"/>
    </row>
    <row r="2589" spans="15:15">
      <c r="O2589" s="4288"/>
    </row>
    <row r="2590" spans="15:15">
      <c r="O2590" s="4288"/>
    </row>
    <row r="2591" spans="15:15">
      <c r="O2591" s="4288"/>
    </row>
    <row r="2592" spans="15:15">
      <c r="O2592" s="4288"/>
    </row>
    <row r="2593" spans="15:15">
      <c r="O2593" s="4288"/>
    </row>
    <row r="2594" spans="15:15">
      <c r="O2594" s="4288"/>
    </row>
    <row r="2595" spans="15:15">
      <c r="O2595" s="4288"/>
    </row>
    <row r="2596" spans="15:15">
      <c r="O2596" s="4288"/>
    </row>
    <row r="2597" spans="15:15">
      <c r="O2597" s="4288"/>
    </row>
    <row r="2598" spans="15:15">
      <c r="O2598" s="4288"/>
    </row>
    <row r="2599" spans="15:15">
      <c r="O2599" s="4288"/>
    </row>
    <row r="2600" spans="15:15">
      <c r="O2600" s="4288"/>
    </row>
    <row r="2601" spans="15:15">
      <c r="O2601" s="4288"/>
    </row>
    <row r="2602" spans="15:15">
      <c r="O2602" s="4288"/>
    </row>
    <row r="2603" spans="15:15">
      <c r="O2603" s="4288"/>
    </row>
    <row r="2604" spans="15:15">
      <c r="O2604" s="4288"/>
    </row>
    <row r="2605" spans="15:15">
      <c r="O2605" s="4288"/>
    </row>
    <row r="2606" spans="15:15">
      <c r="O2606" s="4288"/>
    </row>
    <row r="2607" spans="15:15">
      <c r="O2607" s="4288"/>
    </row>
    <row r="2608" spans="15:15">
      <c r="O2608" s="4288"/>
    </row>
    <row r="2609" spans="15:15">
      <c r="O2609" s="4288"/>
    </row>
    <row r="2610" spans="15:15">
      <c r="O2610" s="4288"/>
    </row>
    <row r="2611" spans="15:15">
      <c r="O2611" s="4288"/>
    </row>
    <row r="2612" spans="15:15">
      <c r="O2612" s="4288"/>
    </row>
    <row r="2613" spans="15:15">
      <c r="O2613" s="4288"/>
    </row>
    <row r="2614" spans="15:15">
      <c r="O2614" s="4288"/>
    </row>
    <row r="2615" spans="15:15">
      <c r="O2615" s="4288"/>
    </row>
    <row r="2616" spans="15:15">
      <c r="O2616" s="4288"/>
    </row>
    <row r="2617" spans="15:15">
      <c r="O2617" s="4288"/>
    </row>
    <row r="2618" spans="15:15">
      <c r="O2618" s="4288"/>
    </row>
    <row r="2619" spans="15:15">
      <c r="O2619" s="4288"/>
    </row>
    <row r="2620" spans="15:15">
      <c r="O2620" s="4288"/>
    </row>
    <row r="2621" spans="15:15">
      <c r="O2621" s="4288"/>
    </row>
    <row r="2622" spans="15:15">
      <c r="O2622" s="4288"/>
    </row>
    <row r="2623" spans="15:15">
      <c r="O2623" s="4288"/>
    </row>
    <row r="2624" spans="15:15">
      <c r="O2624" s="4288"/>
    </row>
    <row r="2625" spans="15:15">
      <c r="O2625" s="4288"/>
    </row>
    <row r="2626" spans="15:15">
      <c r="O2626" s="4288"/>
    </row>
    <row r="2627" spans="15:15">
      <c r="O2627" s="4288"/>
    </row>
    <row r="2628" spans="15:15">
      <c r="O2628" s="4288"/>
    </row>
    <row r="2629" spans="15:15">
      <c r="O2629" s="4288"/>
    </row>
    <row r="2630" spans="15:15">
      <c r="O2630" s="4288"/>
    </row>
    <row r="2631" spans="15:15">
      <c r="O2631" s="4288"/>
    </row>
    <row r="2632" spans="15:15">
      <c r="O2632" s="4288"/>
    </row>
    <row r="2633" spans="15:15">
      <c r="O2633" s="4288"/>
    </row>
    <row r="2634" spans="15:15">
      <c r="O2634" s="4288"/>
    </row>
    <row r="2635" spans="15:15">
      <c r="O2635" s="4288"/>
    </row>
    <row r="2636" spans="15:15">
      <c r="O2636" s="4288"/>
    </row>
    <row r="2637" spans="15:15">
      <c r="O2637" s="4288"/>
    </row>
    <row r="2638" spans="15:15">
      <c r="O2638" s="4288"/>
    </row>
    <row r="2639" spans="15:15">
      <c r="O2639" s="4288"/>
    </row>
    <row r="2640" spans="15:15">
      <c r="O2640" s="4288"/>
    </row>
    <row r="2641" spans="15:15">
      <c r="O2641" s="4288"/>
    </row>
    <row r="2642" spans="15:15">
      <c r="O2642" s="4288"/>
    </row>
    <row r="2643" spans="15:15">
      <c r="O2643" s="4288"/>
    </row>
    <row r="2644" spans="15:15">
      <c r="O2644" s="4288"/>
    </row>
    <row r="2645" spans="15:15">
      <c r="O2645" s="4288"/>
    </row>
    <row r="2646" spans="15:15">
      <c r="O2646" s="4288"/>
    </row>
    <row r="2647" spans="15:15">
      <c r="O2647" s="4288"/>
    </row>
    <row r="2648" spans="15:15">
      <c r="O2648" s="4288"/>
    </row>
    <row r="2649" spans="15:15">
      <c r="O2649" s="4288"/>
    </row>
    <row r="2650" spans="15:15">
      <c r="O2650" s="4288"/>
    </row>
    <row r="2651" spans="15:15">
      <c r="O2651" s="4288"/>
    </row>
    <row r="2652" spans="15:15">
      <c r="O2652" s="4288"/>
    </row>
    <row r="2653" spans="15:15">
      <c r="O2653" s="4288"/>
    </row>
    <row r="2654" spans="15:15">
      <c r="O2654" s="4288"/>
    </row>
    <row r="2655" spans="15:15">
      <c r="O2655" s="4288"/>
    </row>
    <row r="2656" spans="15:15">
      <c r="O2656" s="4288"/>
    </row>
    <row r="2657" spans="15:15">
      <c r="O2657" s="4288"/>
    </row>
    <row r="2658" spans="15:15">
      <c r="O2658" s="4288"/>
    </row>
    <row r="2659" spans="15:15">
      <c r="O2659" s="4288"/>
    </row>
    <row r="2660" spans="15:15">
      <c r="O2660" s="4288"/>
    </row>
    <row r="2661" spans="15:15">
      <c r="O2661" s="4288"/>
    </row>
    <row r="2662" spans="15:15">
      <c r="O2662" s="4288"/>
    </row>
    <row r="2663" spans="15:15">
      <c r="O2663" s="4288"/>
    </row>
    <row r="2664" spans="15:15">
      <c r="O2664" s="4288"/>
    </row>
    <row r="2665" spans="15:15">
      <c r="O2665" s="4288"/>
    </row>
    <row r="2666" spans="15:15">
      <c r="O2666" s="4288"/>
    </row>
    <row r="2667" spans="15:15">
      <c r="O2667" s="4288"/>
    </row>
    <row r="2668" spans="15:15">
      <c r="O2668" s="4288"/>
    </row>
    <row r="2669" spans="15:15">
      <c r="O2669" s="4288"/>
    </row>
    <row r="2670" spans="15:15">
      <c r="O2670" s="4288"/>
    </row>
    <row r="2671" spans="15:15">
      <c r="O2671" s="4288"/>
    </row>
    <row r="2672" spans="15:15">
      <c r="O2672" s="4288"/>
    </row>
    <row r="2673" spans="15:15">
      <c r="O2673" s="4288"/>
    </row>
    <row r="2674" spans="15:15">
      <c r="O2674" s="4288"/>
    </row>
    <row r="2675" spans="15:15">
      <c r="O2675" s="4288"/>
    </row>
    <row r="2676" spans="15:15">
      <c r="O2676" s="4288"/>
    </row>
    <row r="2677" spans="15:15">
      <c r="O2677" s="4288"/>
    </row>
    <row r="2678" spans="15:15">
      <c r="O2678" s="4288"/>
    </row>
    <row r="2679" spans="15:15">
      <c r="O2679" s="4288"/>
    </row>
    <row r="2680" spans="15:15">
      <c r="O2680" s="4288"/>
    </row>
    <row r="2681" spans="15:15">
      <c r="O2681" s="4288"/>
    </row>
    <row r="2682" spans="15:15">
      <c r="O2682" s="4288"/>
    </row>
    <row r="2683" spans="15:15">
      <c r="O2683" s="4288"/>
    </row>
    <row r="2684" spans="15:15">
      <c r="O2684" s="4288"/>
    </row>
    <row r="2685" spans="15:15">
      <c r="O2685" s="4288"/>
    </row>
    <row r="2686" spans="15:15">
      <c r="O2686" s="4288"/>
    </row>
    <row r="2687" spans="15:15">
      <c r="O2687" s="4288"/>
    </row>
    <row r="2688" spans="15:15">
      <c r="O2688" s="4288"/>
    </row>
    <row r="2689" spans="15:15">
      <c r="O2689" s="4288"/>
    </row>
    <row r="2690" spans="15:15">
      <c r="O2690" s="4288"/>
    </row>
    <row r="2691" spans="15:15">
      <c r="O2691" s="4288"/>
    </row>
    <row r="2692" spans="15:15">
      <c r="O2692" s="4288"/>
    </row>
    <row r="2693" spans="15:15">
      <c r="O2693" s="4288"/>
    </row>
    <row r="2694" spans="15:15">
      <c r="O2694" s="4288"/>
    </row>
    <row r="2695" spans="15:15">
      <c r="O2695" s="4288"/>
    </row>
    <row r="2696" spans="15:15">
      <c r="O2696" s="4288"/>
    </row>
    <row r="2697" spans="15:15">
      <c r="O2697" s="4288"/>
    </row>
    <row r="2698" spans="15:15">
      <c r="O2698" s="4288"/>
    </row>
    <row r="2699" spans="15:15">
      <c r="O2699" s="4288"/>
    </row>
    <row r="2700" spans="15:15">
      <c r="O2700" s="4288"/>
    </row>
    <row r="2701" spans="15:15">
      <c r="O2701" s="4288"/>
    </row>
    <row r="2702" spans="15:15">
      <c r="O2702" s="4288"/>
    </row>
    <row r="2703" spans="15:15">
      <c r="O2703" s="4288"/>
    </row>
    <row r="2704" spans="15:15">
      <c r="O2704" s="4288"/>
    </row>
    <row r="2705" spans="15:15">
      <c r="O2705" s="4288"/>
    </row>
    <row r="2706" spans="15:15">
      <c r="O2706" s="4288"/>
    </row>
    <row r="2707" spans="15:15">
      <c r="O2707" s="4288"/>
    </row>
    <row r="2708" spans="15:15">
      <c r="O2708" s="4288"/>
    </row>
    <row r="2709" spans="15:15">
      <c r="O2709" s="4288"/>
    </row>
    <row r="2710" spans="15:15">
      <c r="O2710" s="4288"/>
    </row>
    <row r="2711" spans="15:15">
      <c r="O2711" s="4288"/>
    </row>
    <row r="2712" spans="15:15">
      <c r="O2712" s="4288"/>
    </row>
    <row r="2713" spans="15:15">
      <c r="O2713" s="4288"/>
    </row>
    <row r="2714" spans="15:15">
      <c r="O2714" s="4288"/>
    </row>
    <row r="2715" spans="15:15">
      <c r="O2715" s="4288"/>
    </row>
    <row r="2716" spans="15:15">
      <c r="O2716" s="4288"/>
    </row>
    <row r="2717" spans="15:15">
      <c r="O2717" s="4288"/>
    </row>
    <row r="2718" spans="15:15">
      <c r="O2718" s="4288"/>
    </row>
    <row r="2719" spans="15:15">
      <c r="O2719" s="4288"/>
    </row>
    <row r="2720" spans="15:15">
      <c r="O2720" s="4288"/>
    </row>
    <row r="2721" spans="15:15">
      <c r="O2721" s="4288"/>
    </row>
    <row r="2722" spans="15:15">
      <c r="O2722" s="4288"/>
    </row>
    <row r="2723" spans="15:15">
      <c r="O2723" s="4288"/>
    </row>
    <row r="2724" spans="15:15">
      <c r="O2724" s="4288"/>
    </row>
    <row r="2725" spans="15:15">
      <c r="O2725" s="4288"/>
    </row>
    <row r="2726" spans="15:15">
      <c r="O2726" s="4288"/>
    </row>
    <row r="2727" spans="15:15">
      <c r="O2727" s="4288"/>
    </row>
    <row r="2728" spans="15:15">
      <c r="O2728" s="4288"/>
    </row>
    <row r="2729" spans="15:15">
      <c r="O2729" s="4288"/>
    </row>
    <row r="2730" spans="15:15">
      <c r="O2730" s="4288"/>
    </row>
    <row r="2731" spans="15:15">
      <c r="O2731" s="4288"/>
    </row>
    <row r="2732" spans="15:15">
      <c r="O2732" s="4288"/>
    </row>
    <row r="2733" spans="15:15">
      <c r="O2733" s="4288"/>
    </row>
    <row r="2734" spans="15:15">
      <c r="O2734" s="4288"/>
    </row>
    <row r="2735" spans="15:15">
      <c r="O2735" s="4288"/>
    </row>
    <row r="2736" spans="15:15">
      <c r="O2736" s="4288"/>
    </row>
    <row r="2737" spans="15:15">
      <c r="O2737" s="4288"/>
    </row>
    <row r="2738" spans="15:15">
      <c r="O2738" s="4288"/>
    </row>
    <row r="2739" spans="15:15">
      <c r="O2739" s="4288"/>
    </row>
    <row r="2740" spans="15:15">
      <c r="O2740" s="4288"/>
    </row>
    <row r="2741" spans="15:15">
      <c r="O2741" s="4288"/>
    </row>
    <row r="2742" spans="15:15">
      <c r="O2742" s="4288"/>
    </row>
    <row r="2743" spans="15:15">
      <c r="O2743" s="4288"/>
    </row>
    <row r="2744" spans="15:15">
      <c r="O2744" s="4288"/>
    </row>
    <row r="2745" spans="15:15">
      <c r="O2745" s="4288"/>
    </row>
    <row r="2746" spans="15:15">
      <c r="O2746" s="4288"/>
    </row>
    <row r="2747" spans="15:15">
      <c r="O2747" s="4288"/>
    </row>
    <row r="2748" spans="15:15">
      <c r="O2748" s="4288"/>
    </row>
    <row r="2749" spans="15:15">
      <c r="O2749" s="4288"/>
    </row>
    <row r="2750" spans="15:15">
      <c r="O2750" s="4288"/>
    </row>
    <row r="2751" spans="15:15">
      <c r="O2751" s="4288"/>
    </row>
    <row r="2752" spans="15:15">
      <c r="O2752" s="4288"/>
    </row>
    <row r="2753" spans="15:15">
      <c r="O2753" s="4288"/>
    </row>
    <row r="2754" spans="15:15">
      <c r="O2754" s="4288"/>
    </row>
    <row r="2755" spans="15:15">
      <c r="O2755" s="4288"/>
    </row>
    <row r="2756" spans="15:15">
      <c r="O2756" s="4288"/>
    </row>
    <row r="2757" spans="15:15">
      <c r="O2757" s="4288"/>
    </row>
    <row r="2758" spans="15:15">
      <c r="O2758" s="4288"/>
    </row>
    <row r="2759" spans="15:15">
      <c r="O2759" s="4288"/>
    </row>
    <row r="2760" spans="15:15">
      <c r="O2760" s="4288"/>
    </row>
    <row r="2761" spans="15:15">
      <c r="O2761" s="4288"/>
    </row>
    <row r="2762" spans="15:15">
      <c r="O2762" s="4288"/>
    </row>
    <row r="2763" spans="15:15">
      <c r="O2763" s="4288"/>
    </row>
    <row r="2764" spans="15:15">
      <c r="O2764" s="4288"/>
    </row>
    <row r="2765" spans="15:15">
      <c r="O2765" s="4288"/>
    </row>
    <row r="2766" spans="15:15">
      <c r="O2766" s="4288"/>
    </row>
    <row r="2767" spans="15:15">
      <c r="O2767" s="4288"/>
    </row>
    <row r="2768" spans="15:15">
      <c r="O2768" s="4288"/>
    </row>
    <row r="2769" spans="15:15">
      <c r="O2769" s="4288"/>
    </row>
    <row r="2770" spans="15:15">
      <c r="O2770" s="4288"/>
    </row>
    <row r="2771" spans="15:15">
      <c r="O2771" s="4288"/>
    </row>
    <row r="2772" spans="15:15">
      <c r="O2772" s="4288"/>
    </row>
    <row r="2773" spans="15:15">
      <c r="O2773" s="4288"/>
    </row>
    <row r="2774" spans="15:15">
      <c r="O2774" s="4288"/>
    </row>
    <row r="2775" spans="15:15">
      <c r="O2775" s="4288"/>
    </row>
    <row r="2776" spans="15:15">
      <c r="O2776" s="4288"/>
    </row>
    <row r="2777" spans="15:15">
      <c r="O2777" s="4288"/>
    </row>
    <row r="2778" spans="15:15">
      <c r="O2778" s="4288"/>
    </row>
    <row r="2779" spans="15:15">
      <c r="O2779" s="4288"/>
    </row>
    <row r="2780" spans="15:15">
      <c r="O2780" s="4288"/>
    </row>
    <row r="2781" spans="15:15">
      <c r="O2781" s="4288"/>
    </row>
    <row r="2782" spans="15:15">
      <c r="O2782" s="4288"/>
    </row>
    <row r="2783" spans="15:15">
      <c r="O2783" s="4288"/>
    </row>
    <row r="2784" spans="15:15">
      <c r="O2784" s="4288"/>
    </row>
    <row r="2785" spans="15:15">
      <c r="O2785" s="4288"/>
    </row>
    <row r="2786" spans="15:15">
      <c r="O2786" s="4288"/>
    </row>
    <row r="2787" spans="15:15">
      <c r="O2787" s="4288"/>
    </row>
    <row r="2788" spans="15:15">
      <c r="O2788" s="4288"/>
    </row>
    <row r="2789" spans="15:15">
      <c r="O2789" s="4288"/>
    </row>
    <row r="2790" spans="15:15">
      <c r="O2790" s="4288"/>
    </row>
    <row r="2791" spans="15:15">
      <c r="O2791" s="4288"/>
    </row>
    <row r="2792" spans="15:15">
      <c r="O2792" s="4288"/>
    </row>
    <row r="2793" spans="15:15">
      <c r="O2793" s="4288"/>
    </row>
    <row r="2794" spans="15:15">
      <c r="O2794" s="4288"/>
    </row>
    <row r="2795" spans="15:15">
      <c r="O2795" s="4288"/>
    </row>
    <row r="2796" spans="15:15">
      <c r="O2796" s="4288"/>
    </row>
    <row r="2797" spans="15:15">
      <c r="O2797" s="4288"/>
    </row>
    <row r="2798" spans="15:15">
      <c r="O2798" s="4288"/>
    </row>
    <row r="2799" spans="15:15">
      <c r="O2799" s="4288"/>
    </row>
    <row r="2800" spans="15:15">
      <c r="O2800" s="4288"/>
    </row>
    <row r="2801" spans="15:15">
      <c r="O2801" s="4288"/>
    </row>
    <row r="2802" spans="15:15">
      <c r="O2802" s="4288"/>
    </row>
    <row r="2803" spans="15:15">
      <c r="O2803" s="4288"/>
    </row>
    <row r="2804" spans="15:15">
      <c r="O2804" s="4288"/>
    </row>
    <row r="2805" spans="15:15">
      <c r="O2805" s="4288"/>
    </row>
    <row r="2806" spans="15:15">
      <c r="O2806" s="4288"/>
    </row>
    <row r="2807" spans="15:15">
      <c r="O2807" s="4288"/>
    </row>
    <row r="2808" spans="15:15">
      <c r="O2808" s="4288"/>
    </row>
    <row r="2809" spans="15:15">
      <c r="O2809" s="4288"/>
    </row>
    <row r="2810" spans="15:15">
      <c r="O2810" s="4288"/>
    </row>
    <row r="2811" spans="15:15">
      <c r="O2811" s="4288"/>
    </row>
    <row r="2812" spans="15:15">
      <c r="O2812" s="4288"/>
    </row>
    <row r="2813" spans="15:15">
      <c r="O2813" s="4288"/>
    </row>
    <row r="2814" spans="15:15">
      <c r="O2814" s="4288"/>
    </row>
    <row r="2815" spans="15:15">
      <c r="O2815" s="4288"/>
    </row>
    <row r="2816" spans="15:15">
      <c r="O2816" s="4288"/>
    </row>
    <row r="2817" spans="15:15">
      <c r="O2817" s="4288"/>
    </row>
    <row r="2818" spans="15:15">
      <c r="O2818" s="4288"/>
    </row>
    <row r="2819" spans="15:15">
      <c r="O2819" s="4288"/>
    </row>
    <row r="2820" spans="15:15">
      <c r="O2820" s="4288"/>
    </row>
    <row r="2821" spans="15:15">
      <c r="O2821" s="4288"/>
    </row>
    <row r="2822" spans="15:15">
      <c r="O2822" s="4288"/>
    </row>
    <row r="2823" spans="15:15">
      <c r="O2823" s="4288"/>
    </row>
    <row r="2824" spans="15:15">
      <c r="O2824" s="4288"/>
    </row>
    <row r="2825" spans="15:15">
      <c r="O2825" s="4288"/>
    </row>
    <row r="2826" spans="15:15">
      <c r="O2826" s="4288"/>
    </row>
    <row r="2827" spans="15:15">
      <c r="O2827" s="4288"/>
    </row>
    <row r="2828" spans="15:15">
      <c r="O2828" s="4288"/>
    </row>
    <row r="2829" spans="15:15">
      <c r="O2829" s="4288"/>
    </row>
    <row r="2830" spans="15:15">
      <c r="O2830" s="4288"/>
    </row>
    <row r="2831" spans="15:15">
      <c r="O2831" s="4288"/>
    </row>
    <row r="2832" spans="15:15">
      <c r="O2832" s="4288"/>
    </row>
    <row r="2833" spans="15:15">
      <c r="O2833" s="4288"/>
    </row>
    <row r="2834" spans="15:15">
      <c r="O2834" s="4288"/>
    </row>
    <row r="2835" spans="15:15">
      <c r="O2835" s="4288"/>
    </row>
    <row r="2836" spans="15:15">
      <c r="O2836" s="4288"/>
    </row>
    <row r="2837" spans="15:15">
      <c r="O2837" s="4288"/>
    </row>
    <row r="2838" spans="15:15">
      <c r="O2838" s="4288"/>
    </row>
    <row r="2839" spans="15:15">
      <c r="O2839" s="4288"/>
    </row>
    <row r="2840" spans="15:15">
      <c r="O2840" s="4288"/>
    </row>
    <row r="2841" spans="15:15">
      <c r="O2841" s="4288"/>
    </row>
    <row r="2842" spans="15:15">
      <c r="O2842" s="4288"/>
    </row>
    <row r="2843" spans="15:15">
      <c r="O2843" s="4288"/>
    </row>
    <row r="2844" spans="15:15">
      <c r="O2844" s="4288"/>
    </row>
    <row r="2845" spans="15:15">
      <c r="O2845" s="4288"/>
    </row>
    <row r="2846" spans="15:15">
      <c r="O2846" s="4288"/>
    </row>
    <row r="2847" spans="15:15">
      <c r="O2847" s="4288"/>
    </row>
    <row r="2848" spans="15:15">
      <c r="O2848" s="4288"/>
    </row>
    <row r="2849" spans="15:15">
      <c r="O2849" s="4288"/>
    </row>
    <row r="2850" spans="15:15">
      <c r="O2850" s="4288"/>
    </row>
    <row r="2851" spans="15:15">
      <c r="O2851" s="4288"/>
    </row>
    <row r="2852" spans="15:15">
      <c r="O2852" s="4288"/>
    </row>
    <row r="2853" spans="15:15">
      <c r="O2853" s="4288"/>
    </row>
    <row r="2854" spans="15:15">
      <c r="O2854" s="4288"/>
    </row>
    <row r="2855" spans="15:15">
      <c r="O2855" s="4288"/>
    </row>
    <row r="2856" spans="15:15">
      <c r="O2856" s="4288"/>
    </row>
    <row r="2857" spans="15:15">
      <c r="O2857" s="4288"/>
    </row>
    <row r="2858" spans="15:15">
      <c r="O2858" s="4288"/>
    </row>
    <row r="2859" spans="15:15">
      <c r="O2859" s="4288"/>
    </row>
    <row r="2860" spans="15:15">
      <c r="O2860" s="4288"/>
    </row>
    <row r="2861" spans="15:15">
      <c r="O2861" s="4288"/>
    </row>
    <row r="2862" spans="15:15">
      <c r="O2862" s="4288"/>
    </row>
    <row r="2863" spans="15:15">
      <c r="O2863" s="4288"/>
    </row>
    <row r="2864" spans="15:15">
      <c r="O2864" s="4288"/>
    </row>
    <row r="2865" spans="15:15">
      <c r="O2865" s="4288"/>
    </row>
    <row r="2866" spans="15:15">
      <c r="O2866" s="4288"/>
    </row>
    <row r="2867" spans="15:15">
      <c r="O2867" s="4288"/>
    </row>
    <row r="2868" spans="15:15">
      <c r="O2868" s="4288"/>
    </row>
    <row r="2869" spans="15:15">
      <c r="O2869" s="4288"/>
    </row>
    <row r="2870" spans="15:15">
      <c r="O2870" s="4288"/>
    </row>
    <row r="2871" spans="15:15">
      <c r="O2871" s="4288"/>
    </row>
    <row r="2872" spans="15:15">
      <c r="O2872" s="4288"/>
    </row>
    <row r="2873" spans="15:15">
      <c r="O2873" s="4288"/>
    </row>
    <row r="2874" spans="15:15">
      <c r="O2874" s="4288"/>
    </row>
    <row r="2875" spans="15:15">
      <c r="O2875" s="4288"/>
    </row>
    <row r="2876" spans="15:15">
      <c r="O2876" s="4288"/>
    </row>
    <row r="2877" spans="15:15">
      <c r="O2877" s="4288"/>
    </row>
    <row r="2878" spans="15:15">
      <c r="O2878" s="4288"/>
    </row>
    <row r="2879" spans="15:15">
      <c r="O2879" s="4288"/>
    </row>
    <row r="2880" spans="15:15">
      <c r="O2880" s="4288"/>
    </row>
    <row r="2881" spans="15:15">
      <c r="O2881" s="4288"/>
    </row>
    <row r="2882" spans="15:15">
      <c r="O2882" s="4288"/>
    </row>
    <row r="2883" spans="15:15">
      <c r="O2883" s="4288"/>
    </row>
    <row r="2884" spans="15:15">
      <c r="O2884" s="4288"/>
    </row>
    <row r="2885" spans="15:15">
      <c r="O2885" s="4288"/>
    </row>
    <row r="2886" spans="15:15">
      <c r="O2886" s="4288"/>
    </row>
    <row r="2887" spans="15:15">
      <c r="O2887" s="4288"/>
    </row>
    <row r="2888" spans="15:15">
      <c r="O2888" s="4288"/>
    </row>
    <row r="2889" spans="15:15">
      <c r="O2889" s="4288"/>
    </row>
    <row r="2890" spans="15:15">
      <c r="O2890" s="4288"/>
    </row>
    <row r="2891" spans="15:15">
      <c r="O2891" s="4288"/>
    </row>
    <row r="2892" spans="15:15">
      <c r="O2892" s="4288"/>
    </row>
    <row r="2893" spans="15:15">
      <c r="O2893" s="4288"/>
    </row>
    <row r="2894" spans="15:15">
      <c r="O2894" s="4288"/>
    </row>
    <row r="2895" spans="15:15">
      <c r="O2895" s="4288"/>
    </row>
    <row r="2896" spans="15:15">
      <c r="O2896" s="4288"/>
    </row>
    <row r="2897" spans="15:15">
      <c r="O2897" s="4288"/>
    </row>
    <row r="2898" spans="15:15">
      <c r="O2898" s="4288"/>
    </row>
    <row r="2899" spans="15:15">
      <c r="O2899" s="4288"/>
    </row>
    <row r="2900" spans="15:15">
      <c r="O2900" s="4288"/>
    </row>
    <row r="2901" spans="15:15">
      <c r="O2901" s="4288"/>
    </row>
    <row r="2902" spans="15:15">
      <c r="O2902" s="4288"/>
    </row>
    <row r="2903" spans="15:15">
      <c r="O2903" s="4288"/>
    </row>
    <row r="2904" spans="15:15">
      <c r="O2904" s="4288"/>
    </row>
    <row r="2905" spans="15:15">
      <c r="O2905" s="4288"/>
    </row>
    <row r="2906" spans="15:15">
      <c r="O2906" s="4288"/>
    </row>
    <row r="2907" spans="15:15">
      <c r="O2907" s="4288"/>
    </row>
    <row r="2908" spans="15:15">
      <c r="O2908" s="4288"/>
    </row>
    <row r="2909" spans="15:15">
      <c r="O2909" s="4288"/>
    </row>
    <row r="2910" spans="15:15">
      <c r="O2910" s="4288"/>
    </row>
    <row r="2911" spans="15:15">
      <c r="O2911" s="4288"/>
    </row>
    <row r="2912" spans="15:15">
      <c r="O2912" s="4288"/>
    </row>
    <row r="2913" spans="15:15">
      <c r="O2913" s="4288"/>
    </row>
    <row r="2914" spans="15:15">
      <c r="O2914" s="4288"/>
    </row>
    <row r="2915" spans="15:15">
      <c r="O2915" s="4288"/>
    </row>
    <row r="2916" spans="15:15">
      <c r="O2916" s="4288"/>
    </row>
    <row r="2917" spans="15:15">
      <c r="O2917" s="4288"/>
    </row>
    <row r="2918" spans="15:15">
      <c r="O2918" s="4288"/>
    </row>
    <row r="2919" spans="15:15">
      <c r="O2919" s="4288"/>
    </row>
    <row r="2920" spans="15:15">
      <c r="O2920" s="4288"/>
    </row>
    <row r="2921" spans="15:15">
      <c r="O2921" s="4288"/>
    </row>
    <row r="2922" spans="15:15">
      <c r="O2922" s="4288"/>
    </row>
    <row r="2923" spans="15:15">
      <c r="O2923" s="4288"/>
    </row>
    <row r="2924" spans="15:15">
      <c r="O2924" s="4288"/>
    </row>
    <row r="2925" spans="15:15">
      <c r="O2925" s="4288"/>
    </row>
    <row r="2926" spans="15:15">
      <c r="O2926" s="4288"/>
    </row>
    <row r="2927" spans="15:15">
      <c r="O2927" s="4288"/>
    </row>
    <row r="2928" spans="15:15">
      <c r="O2928" s="4288"/>
    </row>
    <row r="2929" spans="15:15">
      <c r="O2929" s="4288"/>
    </row>
    <row r="2930" spans="15:15">
      <c r="O2930" s="4288"/>
    </row>
    <row r="2931" spans="15:15">
      <c r="O2931" s="4288"/>
    </row>
    <row r="2932" spans="15:15">
      <c r="O2932" s="4288"/>
    </row>
    <row r="2933" spans="15:15">
      <c r="O2933" s="4288"/>
    </row>
    <row r="2934" spans="15:15">
      <c r="O2934" s="4288"/>
    </row>
    <row r="2935" spans="15:15">
      <c r="O2935" s="4288"/>
    </row>
    <row r="2936" spans="15:15">
      <c r="O2936" s="4288"/>
    </row>
    <row r="2937" spans="15:15">
      <c r="O2937" s="4288"/>
    </row>
    <row r="2938" spans="15:15">
      <c r="O2938" s="4288"/>
    </row>
    <row r="2939" spans="15:15">
      <c r="O2939" s="4288"/>
    </row>
    <row r="2940" spans="15:15">
      <c r="O2940" s="4288"/>
    </row>
    <row r="2941" spans="15:15">
      <c r="O2941" s="4288"/>
    </row>
    <row r="2942" spans="15:15">
      <c r="O2942" s="4288"/>
    </row>
    <row r="2943" spans="15:15">
      <c r="O2943" s="4288"/>
    </row>
    <row r="2944" spans="15:15">
      <c r="O2944" s="4288"/>
    </row>
    <row r="2945" spans="15:15">
      <c r="O2945" s="4288"/>
    </row>
    <row r="2946" spans="15:15">
      <c r="O2946" s="4288"/>
    </row>
    <row r="2947" spans="15:15">
      <c r="O2947" s="4288"/>
    </row>
    <row r="2948" spans="15:15">
      <c r="O2948" s="4288"/>
    </row>
    <row r="2949" spans="15:15">
      <c r="O2949" s="4288"/>
    </row>
    <row r="2950" spans="15:15">
      <c r="O2950" s="4288"/>
    </row>
    <row r="2951" spans="15:15">
      <c r="O2951" s="4288"/>
    </row>
    <row r="2952" spans="15:15">
      <c r="O2952" s="4288"/>
    </row>
    <row r="2953" spans="15:15">
      <c r="O2953" s="4288"/>
    </row>
    <row r="2954" spans="15:15">
      <c r="O2954" s="4288"/>
    </row>
    <row r="2955" spans="15:15">
      <c r="O2955" s="4288"/>
    </row>
    <row r="2956" spans="15:15">
      <c r="O2956" s="4288"/>
    </row>
    <row r="2957" spans="15:15">
      <c r="O2957" s="4288"/>
    </row>
    <row r="2958" spans="15:15">
      <c r="O2958" s="4288"/>
    </row>
    <row r="2959" spans="15:15">
      <c r="O2959" s="4288"/>
    </row>
    <row r="2960" spans="15:15">
      <c r="O2960" s="4288"/>
    </row>
    <row r="2961" spans="15:15">
      <c r="O2961" s="4288"/>
    </row>
    <row r="2962" spans="15:15">
      <c r="O2962" s="4288"/>
    </row>
    <row r="2963" spans="15:15">
      <c r="O2963" s="4288"/>
    </row>
    <row r="2964" spans="15:15">
      <c r="O2964" s="4288"/>
    </row>
    <row r="2965" spans="15:15">
      <c r="O2965" s="4288"/>
    </row>
    <row r="2966" spans="15:15">
      <c r="O2966" s="4288"/>
    </row>
    <row r="2967" spans="15:15">
      <c r="O2967" s="4288"/>
    </row>
    <row r="2968" spans="15:15">
      <c r="O2968" s="4288"/>
    </row>
    <row r="2969" spans="15:15">
      <c r="O2969" s="4288"/>
    </row>
    <row r="2970" spans="15:15">
      <c r="O2970" s="4288"/>
    </row>
    <row r="2971" spans="15:15">
      <c r="O2971" s="4288"/>
    </row>
    <row r="2972" spans="15:15">
      <c r="O2972" s="4288"/>
    </row>
    <row r="2973" spans="15:15">
      <c r="O2973" s="4288"/>
    </row>
    <row r="2974" spans="15:15">
      <c r="O2974" s="4288"/>
    </row>
    <row r="2975" spans="15:15">
      <c r="O2975" s="4288"/>
    </row>
    <row r="2976" spans="15:15">
      <c r="O2976" s="4288"/>
    </row>
    <row r="2977" spans="15:15">
      <c r="O2977" s="4288"/>
    </row>
    <row r="2978" spans="15:15">
      <c r="O2978" s="4288"/>
    </row>
    <row r="2979" spans="15:15">
      <c r="O2979" s="4288"/>
    </row>
    <row r="2980" spans="15:15">
      <c r="O2980" s="4288"/>
    </row>
    <row r="2981" spans="15:15">
      <c r="O2981" s="4288"/>
    </row>
    <row r="2982" spans="15:15">
      <c r="O2982" s="4288"/>
    </row>
    <row r="2983" spans="15:15">
      <c r="O2983" s="4288"/>
    </row>
    <row r="2984" spans="15:15">
      <c r="O2984" s="4288"/>
    </row>
    <row r="2985" spans="15:15">
      <c r="O2985" s="4288"/>
    </row>
    <row r="2986" spans="15:15">
      <c r="O2986" s="4288"/>
    </row>
    <row r="2987" spans="15:15">
      <c r="O2987" s="4288"/>
    </row>
    <row r="2988" spans="15:15">
      <c r="O2988" s="4288"/>
    </row>
    <row r="2989" spans="15:15">
      <c r="O2989" s="4288"/>
    </row>
    <row r="2990" spans="15:15">
      <c r="O2990" s="4288"/>
    </row>
    <row r="2991" spans="15:15">
      <c r="O2991" s="4288"/>
    </row>
    <row r="2992" spans="15:15">
      <c r="O2992" s="4288"/>
    </row>
    <row r="2993" spans="15:15">
      <c r="O2993" s="4288"/>
    </row>
    <row r="2994" spans="15:15">
      <c r="O2994" s="4288"/>
    </row>
    <row r="2995" spans="15:15">
      <c r="O2995" s="4288"/>
    </row>
    <row r="2996" spans="15:15">
      <c r="O2996" s="4288"/>
    </row>
    <row r="2997" spans="15:15">
      <c r="O2997" s="4288"/>
    </row>
    <row r="2998" spans="15:15">
      <c r="O2998" s="4288"/>
    </row>
    <row r="2999" spans="15:15">
      <c r="O2999" s="4288"/>
    </row>
    <row r="3000" spans="15:15">
      <c r="O3000" s="4288"/>
    </row>
    <row r="3001" spans="15:15">
      <c r="O3001" s="4288"/>
    </row>
    <row r="3002" spans="15:15">
      <c r="O3002" s="4288"/>
    </row>
    <row r="3003" spans="15:15">
      <c r="O3003" s="4288"/>
    </row>
    <row r="3004" spans="15:15">
      <c r="O3004" s="4288"/>
    </row>
    <row r="3005" spans="15:15">
      <c r="O3005" s="4288"/>
    </row>
    <row r="3006" spans="15:15">
      <c r="O3006" s="4288"/>
    </row>
    <row r="3007" spans="15:15">
      <c r="O3007" s="4288"/>
    </row>
    <row r="3008" spans="15:15">
      <c r="O3008" s="4288"/>
    </row>
    <row r="3009" spans="15:15">
      <c r="O3009" s="4288"/>
    </row>
    <row r="3010" spans="15:15">
      <c r="O3010" s="4288"/>
    </row>
    <row r="3011" spans="15:15">
      <c r="O3011" s="4288"/>
    </row>
    <row r="3012" spans="15:15">
      <c r="O3012" s="4288"/>
    </row>
    <row r="3013" spans="15:15">
      <c r="O3013" s="4288"/>
    </row>
    <row r="3014" spans="15:15">
      <c r="O3014" s="4288"/>
    </row>
    <row r="3015" spans="15:15">
      <c r="O3015" s="4288"/>
    </row>
    <row r="3016" spans="15:15">
      <c r="O3016" s="4288"/>
    </row>
    <row r="3017" spans="15:15">
      <c r="O3017" s="4288"/>
    </row>
    <row r="3018" spans="15:15">
      <c r="O3018" s="4288"/>
    </row>
    <row r="3019" spans="15:15">
      <c r="O3019" s="4288"/>
    </row>
    <row r="3020" spans="15:15">
      <c r="O3020" s="4288"/>
    </row>
    <row r="3021" spans="15:15">
      <c r="O3021" s="4288"/>
    </row>
    <row r="3022" spans="15:15">
      <c r="O3022" s="4288"/>
    </row>
    <row r="3023" spans="15:15">
      <c r="O3023" s="4288"/>
    </row>
    <row r="3024" spans="15:15">
      <c r="O3024" s="4288"/>
    </row>
    <row r="3025" spans="15:15">
      <c r="O3025" s="4288"/>
    </row>
    <row r="3026" spans="15:15">
      <c r="O3026" s="4288"/>
    </row>
    <row r="3027" spans="15:15">
      <c r="O3027" s="4288"/>
    </row>
    <row r="3028" spans="15:15">
      <c r="O3028" s="4288"/>
    </row>
    <row r="3029" spans="15:15">
      <c r="O3029" s="4288"/>
    </row>
    <row r="3030" spans="15:15">
      <c r="O3030" s="4288"/>
    </row>
    <row r="3031" spans="15:15">
      <c r="O3031" s="4288"/>
    </row>
    <row r="3032" spans="15:15">
      <c r="O3032" s="4288"/>
    </row>
    <row r="3033" spans="15:15">
      <c r="O3033" s="4288"/>
    </row>
    <row r="3034" spans="15:15">
      <c r="O3034" s="4288"/>
    </row>
    <row r="3035" spans="15:15">
      <c r="O3035" s="4288"/>
    </row>
    <row r="3036" spans="15:15">
      <c r="O3036" s="4288"/>
    </row>
    <row r="3037" spans="15:15">
      <c r="O3037" s="4288"/>
    </row>
    <row r="3038" spans="15:15">
      <c r="O3038" s="4288"/>
    </row>
    <row r="3039" spans="15:15">
      <c r="O3039" s="4288"/>
    </row>
    <row r="3040" spans="15:15">
      <c r="O3040" s="4288"/>
    </row>
    <row r="3041" spans="15:15">
      <c r="O3041" s="4288"/>
    </row>
    <row r="3042" spans="15:15">
      <c r="O3042" s="4288"/>
    </row>
    <row r="3043" spans="15:15">
      <c r="O3043" s="4288"/>
    </row>
    <row r="3044" spans="15:15">
      <c r="O3044" s="4288"/>
    </row>
    <row r="3045" spans="15:15">
      <c r="O3045" s="4288"/>
    </row>
    <row r="3046" spans="15:15">
      <c r="O3046" s="4288"/>
    </row>
    <row r="3047" spans="15:15">
      <c r="O3047" s="4288"/>
    </row>
    <row r="3048" spans="15:15">
      <c r="O3048" s="4288"/>
    </row>
    <row r="3049" spans="15:15">
      <c r="O3049" s="4288"/>
    </row>
    <row r="3050" spans="15:15">
      <c r="O3050" s="4288"/>
    </row>
    <row r="3051" spans="15:15">
      <c r="O3051" s="4288"/>
    </row>
    <row r="3052" spans="15:15">
      <c r="O3052" s="4288"/>
    </row>
    <row r="3053" spans="15:15">
      <c r="O3053" s="4288"/>
    </row>
    <row r="3054" spans="15:15">
      <c r="O3054" s="4288"/>
    </row>
    <row r="3055" spans="15:15">
      <c r="O3055" s="4288"/>
    </row>
    <row r="3056" spans="15:15">
      <c r="O3056" s="4288"/>
    </row>
    <row r="3057" spans="15:15">
      <c r="O3057" s="4288"/>
    </row>
    <row r="3058" spans="15:15">
      <c r="O3058" s="4288"/>
    </row>
    <row r="3059" spans="15:15">
      <c r="O3059" s="4288"/>
    </row>
    <row r="3060" spans="15:15">
      <c r="O3060" s="4288"/>
    </row>
    <row r="3061" spans="15:15">
      <c r="O3061" s="4288"/>
    </row>
    <row r="3062" spans="15:15">
      <c r="O3062" s="4288"/>
    </row>
    <row r="3063" spans="15:15">
      <c r="O3063" s="4288"/>
    </row>
    <row r="3064" spans="15:15">
      <c r="O3064" s="4288"/>
    </row>
    <row r="3065" spans="15:15">
      <c r="O3065" s="4288"/>
    </row>
    <row r="3066" spans="15:15">
      <c r="O3066" s="4288"/>
    </row>
    <row r="3067" spans="15:15">
      <c r="O3067" s="4288"/>
    </row>
    <row r="3068" spans="15:15">
      <c r="O3068" s="4288"/>
    </row>
    <row r="3069" spans="15:15">
      <c r="O3069" s="4288"/>
    </row>
    <row r="3070" spans="15:15">
      <c r="O3070" s="4288"/>
    </row>
    <row r="3071" spans="15:15">
      <c r="O3071" s="4288"/>
    </row>
    <row r="3072" spans="15:15">
      <c r="O3072" s="4288"/>
    </row>
    <row r="3073" spans="15:15">
      <c r="O3073" s="4288"/>
    </row>
    <row r="3074" spans="15:15">
      <c r="O3074" s="4288"/>
    </row>
    <row r="3075" spans="15:15">
      <c r="O3075" s="4288"/>
    </row>
    <row r="3076" spans="15:15">
      <c r="O3076" s="4288"/>
    </row>
    <row r="3077" spans="15:15">
      <c r="O3077" s="4288"/>
    </row>
    <row r="3078" spans="15:15">
      <c r="O3078" s="4288"/>
    </row>
    <row r="3079" spans="15:15">
      <c r="O3079" s="4288"/>
    </row>
    <row r="3080" spans="15:15">
      <c r="O3080" s="4288"/>
    </row>
    <row r="3081" spans="15:15">
      <c r="O3081" s="4288"/>
    </row>
    <row r="3082" spans="15:15">
      <c r="O3082" s="4288"/>
    </row>
    <row r="3083" spans="15:15">
      <c r="O3083" s="4288"/>
    </row>
    <row r="3084" spans="15:15">
      <c r="O3084" s="4288"/>
    </row>
    <row r="3085" spans="15:15">
      <c r="O3085" s="4288"/>
    </row>
    <row r="3086" spans="15:15">
      <c r="O3086" s="4288"/>
    </row>
    <row r="3087" spans="15:15">
      <c r="O3087" s="4288"/>
    </row>
    <row r="3088" spans="15:15">
      <c r="O3088" s="4288"/>
    </row>
    <row r="3089" spans="15:15">
      <c r="O3089" s="4288"/>
    </row>
    <row r="3090" spans="15:15">
      <c r="O3090" s="4288"/>
    </row>
    <row r="3091" spans="15:15">
      <c r="O3091" s="4288"/>
    </row>
    <row r="3092" spans="15:15">
      <c r="O3092" s="4288"/>
    </row>
    <row r="3093" spans="15:15">
      <c r="O3093" s="4288"/>
    </row>
    <row r="3094" spans="15:15">
      <c r="O3094" s="4288"/>
    </row>
    <row r="3095" spans="15:15">
      <c r="O3095" s="4288"/>
    </row>
    <row r="3096" spans="15:15">
      <c r="O3096" s="4288"/>
    </row>
    <row r="3097" spans="15:15">
      <c r="O3097" s="4288"/>
    </row>
    <row r="3098" spans="15:15">
      <c r="O3098" s="4288"/>
    </row>
    <row r="3099" spans="15:15">
      <c r="O3099" s="4288"/>
    </row>
    <row r="3100" spans="15:15">
      <c r="O3100" s="4288"/>
    </row>
    <row r="3101" spans="15:15">
      <c r="O3101" s="4288"/>
    </row>
    <row r="3102" spans="15:15">
      <c r="O3102" s="4288"/>
    </row>
    <row r="3103" spans="15:15">
      <c r="O3103" s="4288"/>
    </row>
    <row r="3104" spans="15:15">
      <c r="O3104" s="4288"/>
    </row>
    <row r="3105" spans="15:15">
      <c r="O3105" s="4288"/>
    </row>
    <row r="3106" spans="15:15">
      <c r="O3106" s="4288"/>
    </row>
    <row r="3107" spans="15:15">
      <c r="O3107" s="4288"/>
    </row>
    <row r="3108" spans="15:15">
      <c r="O3108" s="4288"/>
    </row>
    <row r="3109" spans="15:15">
      <c r="O3109" s="4288"/>
    </row>
    <row r="3110" spans="15:15">
      <c r="O3110" s="4288"/>
    </row>
    <row r="3111" spans="15:15">
      <c r="O3111" s="4288"/>
    </row>
    <row r="3112" spans="15:15">
      <c r="O3112" s="4288"/>
    </row>
    <row r="3113" spans="15:15">
      <c r="O3113" s="4288"/>
    </row>
    <row r="3114" spans="15:15">
      <c r="O3114" s="4288"/>
    </row>
    <row r="3115" spans="15:15">
      <c r="O3115" s="4288"/>
    </row>
    <row r="3116" spans="15:15">
      <c r="O3116" s="4288"/>
    </row>
    <row r="3117" spans="15:15">
      <c r="O3117" s="4288"/>
    </row>
    <row r="3118" spans="15:15">
      <c r="O3118" s="4288"/>
    </row>
    <row r="3119" spans="15:15">
      <c r="O3119" s="4288"/>
    </row>
    <row r="3120" spans="15:15">
      <c r="O3120" s="4288"/>
    </row>
    <row r="3121" spans="15:15">
      <c r="O3121" s="4288"/>
    </row>
    <row r="3122" spans="15:15">
      <c r="O3122" s="4288"/>
    </row>
    <row r="3123" spans="15:15">
      <c r="O3123" s="4288"/>
    </row>
    <row r="3124" spans="15:15">
      <c r="O3124" s="4288"/>
    </row>
    <row r="3125" spans="15:15">
      <c r="O3125" s="4288"/>
    </row>
    <row r="3126" spans="15:15">
      <c r="O3126" s="4288"/>
    </row>
    <row r="3127" spans="15:15">
      <c r="O3127" s="4288"/>
    </row>
    <row r="3128" spans="15:15">
      <c r="O3128" s="4288"/>
    </row>
    <row r="3129" spans="15:15">
      <c r="O3129" s="4288"/>
    </row>
    <row r="3130" spans="15:15">
      <c r="O3130" s="4288"/>
    </row>
    <row r="3131" spans="15:15">
      <c r="O3131" s="4288"/>
    </row>
    <row r="3132" spans="15:15">
      <c r="O3132" s="4288"/>
    </row>
    <row r="3133" spans="15:15">
      <c r="O3133" s="4288"/>
    </row>
    <row r="3134" spans="15:15">
      <c r="O3134" s="4288"/>
    </row>
    <row r="3135" spans="15:15">
      <c r="O3135" s="4288"/>
    </row>
    <row r="3136" spans="15:15">
      <c r="O3136" s="4288"/>
    </row>
    <row r="3137" spans="15:15">
      <c r="O3137" s="4288"/>
    </row>
    <row r="3138" spans="15:15">
      <c r="O3138" s="4288"/>
    </row>
    <row r="3139" spans="15:15">
      <c r="O3139" s="4288"/>
    </row>
    <row r="3140" spans="15:15">
      <c r="O3140" s="4288"/>
    </row>
    <row r="3141" spans="15:15">
      <c r="O3141" s="4288"/>
    </row>
    <row r="3142" spans="15:15">
      <c r="O3142" s="4288"/>
    </row>
    <row r="3143" spans="15:15">
      <c r="O3143" s="4288"/>
    </row>
    <row r="3144" spans="15:15">
      <c r="O3144" s="4288"/>
    </row>
    <row r="3145" spans="15:15">
      <c r="O3145" s="4288"/>
    </row>
    <row r="3146" spans="15:15">
      <c r="O3146" s="4288"/>
    </row>
    <row r="3147" spans="15:15">
      <c r="O3147" s="4288"/>
    </row>
    <row r="3148" spans="15:15">
      <c r="O3148" s="4288"/>
    </row>
    <row r="3149" spans="15:15">
      <c r="O3149" s="4288"/>
    </row>
    <row r="3150" spans="15:15">
      <c r="O3150" s="4288"/>
    </row>
    <row r="3151" spans="15:15">
      <c r="O3151" s="4288"/>
    </row>
    <row r="3152" spans="15:15">
      <c r="O3152" s="4288"/>
    </row>
    <row r="3153" spans="15:15">
      <c r="O3153" s="4288"/>
    </row>
    <row r="3154" spans="15:15">
      <c r="O3154" s="4288"/>
    </row>
    <row r="3155" spans="15:15">
      <c r="O3155" s="4288"/>
    </row>
    <row r="3156" spans="15:15">
      <c r="O3156" s="4288"/>
    </row>
    <row r="3157" spans="15:15">
      <c r="O3157" s="4288"/>
    </row>
    <row r="3158" spans="15:15">
      <c r="O3158" s="4288"/>
    </row>
    <row r="3159" spans="15:15">
      <c r="O3159" s="4288"/>
    </row>
    <row r="3160" spans="15:15">
      <c r="O3160" s="4288"/>
    </row>
    <row r="3161" spans="15:15">
      <c r="O3161" s="4288"/>
    </row>
    <row r="3162" spans="15:15">
      <c r="O3162" s="4288"/>
    </row>
    <row r="3163" spans="15:15">
      <c r="O3163" s="4288"/>
    </row>
    <row r="3164" spans="15:15">
      <c r="O3164" s="4288"/>
    </row>
    <row r="3165" spans="15:15">
      <c r="O3165" s="4288"/>
    </row>
    <row r="3166" spans="15:15">
      <c r="O3166" s="4288"/>
    </row>
    <row r="3167" spans="15:15">
      <c r="O3167" s="4288"/>
    </row>
    <row r="3168" spans="15:15">
      <c r="O3168" s="4288"/>
    </row>
    <row r="3169" spans="15:15">
      <c r="O3169" s="4288"/>
    </row>
    <row r="3170" spans="15:15">
      <c r="O3170" s="4288"/>
    </row>
    <row r="3171" spans="15:15">
      <c r="O3171" s="4288"/>
    </row>
    <row r="3172" spans="15:15">
      <c r="O3172" s="4288"/>
    </row>
    <row r="3173" spans="15:15">
      <c r="O3173" s="4288"/>
    </row>
    <row r="3174" spans="15:15">
      <c r="O3174" s="4288"/>
    </row>
    <row r="3175" spans="15:15">
      <c r="O3175" s="4288"/>
    </row>
    <row r="3176" spans="15:15">
      <c r="O3176" s="4288"/>
    </row>
    <row r="3177" spans="15:15">
      <c r="O3177" s="4288"/>
    </row>
    <row r="3178" spans="15:15">
      <c r="O3178" s="4288"/>
    </row>
    <row r="3179" spans="15:15">
      <c r="O3179" s="4288"/>
    </row>
    <row r="3180" spans="15:15">
      <c r="O3180" s="4288"/>
    </row>
    <row r="3181" spans="15:15">
      <c r="O3181" s="4288"/>
    </row>
    <row r="3182" spans="15:15">
      <c r="O3182" s="4288"/>
    </row>
    <row r="3183" spans="15:15">
      <c r="O3183" s="4288"/>
    </row>
    <row r="3184" spans="15:15">
      <c r="O3184" s="4288"/>
    </row>
    <row r="3185" spans="15:15">
      <c r="O3185" s="4288"/>
    </row>
    <row r="3186" spans="15:15">
      <c r="O3186" s="4288"/>
    </row>
    <row r="3187" spans="15:15">
      <c r="O3187" s="4288"/>
    </row>
    <row r="3188" spans="15:15">
      <c r="O3188" s="4288"/>
    </row>
    <row r="3189" spans="15:15">
      <c r="O3189" s="4288"/>
    </row>
    <row r="3190" spans="15:15">
      <c r="O3190" s="4288"/>
    </row>
    <row r="3191" spans="15:15">
      <c r="O3191" s="4288"/>
    </row>
    <row r="3192" spans="15:15">
      <c r="O3192" s="4288"/>
    </row>
    <row r="3193" spans="15:15">
      <c r="O3193" s="4288"/>
    </row>
    <row r="3194" spans="15:15">
      <c r="O3194" s="4288"/>
    </row>
    <row r="3195" spans="15:15">
      <c r="O3195" s="4288"/>
    </row>
    <row r="3196" spans="15:15">
      <c r="O3196" s="4288"/>
    </row>
    <row r="3197" spans="15:15">
      <c r="O3197" s="4288"/>
    </row>
    <row r="3198" spans="15:15">
      <c r="O3198" s="4288"/>
    </row>
    <row r="3199" spans="15:15">
      <c r="O3199" s="4288"/>
    </row>
    <row r="3200" spans="15:15">
      <c r="O3200" s="4288"/>
    </row>
    <row r="3201" spans="15:15">
      <c r="O3201" s="4288"/>
    </row>
    <row r="3202" spans="15:15">
      <c r="O3202" s="4288"/>
    </row>
    <row r="3203" spans="15:15">
      <c r="O3203" s="4288"/>
    </row>
    <row r="3204" spans="15:15">
      <c r="O3204" s="4288"/>
    </row>
    <row r="3205" spans="15:15">
      <c r="O3205" s="4288"/>
    </row>
    <row r="3206" spans="15:15">
      <c r="O3206" s="4288"/>
    </row>
    <row r="3207" spans="15:15">
      <c r="O3207" s="4288"/>
    </row>
    <row r="3208" spans="15:15">
      <c r="O3208" s="4288"/>
    </row>
    <row r="3209" spans="15:15">
      <c r="O3209" s="4288"/>
    </row>
    <row r="3210" spans="15:15">
      <c r="O3210" s="4288"/>
    </row>
    <row r="3211" spans="15:15">
      <c r="O3211" s="4288"/>
    </row>
    <row r="3212" spans="15:15">
      <c r="O3212" s="4288"/>
    </row>
    <row r="3213" spans="15:15">
      <c r="O3213" s="4288"/>
    </row>
    <row r="3214" spans="15:15">
      <c r="O3214" s="4288"/>
    </row>
    <row r="3215" spans="15:15">
      <c r="O3215" s="4288"/>
    </row>
    <row r="3216" spans="15:15">
      <c r="O3216" s="4288"/>
    </row>
    <row r="3217" spans="15:15">
      <c r="O3217" s="4288"/>
    </row>
    <row r="3218" spans="15:15">
      <c r="O3218" s="4288"/>
    </row>
    <row r="3219" spans="15:15">
      <c r="O3219" s="4288"/>
    </row>
    <row r="3220" spans="15:15">
      <c r="O3220" s="4288"/>
    </row>
    <row r="3221" spans="15:15">
      <c r="O3221" s="4288"/>
    </row>
    <row r="3222" spans="15:15">
      <c r="O3222" s="4288"/>
    </row>
    <row r="3223" spans="15:15">
      <c r="O3223" s="4288"/>
    </row>
    <row r="3224" spans="15:15">
      <c r="O3224" s="4288"/>
    </row>
    <row r="3225" spans="15:15">
      <c r="O3225" s="4288"/>
    </row>
    <row r="3226" spans="15:15">
      <c r="O3226" s="4288"/>
    </row>
    <row r="3227" spans="15:15">
      <c r="O3227" s="4288"/>
    </row>
    <row r="3228" spans="15:15">
      <c r="O3228" s="4288"/>
    </row>
    <row r="3229" spans="15:15">
      <c r="O3229" s="4288"/>
    </row>
    <row r="3230" spans="15:15">
      <c r="O3230" s="4288"/>
    </row>
    <row r="3231" spans="15:15">
      <c r="O3231" s="4288"/>
    </row>
    <row r="3232" spans="15:15">
      <c r="O3232" s="4288"/>
    </row>
    <row r="3233" spans="15:15">
      <c r="O3233" s="4288"/>
    </row>
    <row r="3234" spans="15:15">
      <c r="O3234" s="4288"/>
    </row>
    <row r="3235" spans="15:15">
      <c r="O3235" s="4288"/>
    </row>
    <row r="3236" spans="15:15">
      <c r="O3236" s="4288"/>
    </row>
    <row r="3237" spans="15:15">
      <c r="O3237" s="4288"/>
    </row>
    <row r="3238" spans="15:15">
      <c r="O3238" s="4288"/>
    </row>
    <row r="3239" spans="15:15">
      <c r="O3239" s="4288"/>
    </row>
    <row r="3240" spans="15:15">
      <c r="O3240" s="4288"/>
    </row>
    <row r="3241" spans="15:15">
      <c r="O3241" s="4288"/>
    </row>
    <row r="3242" spans="15:15">
      <c r="O3242" s="4288"/>
    </row>
    <row r="3243" spans="15:15">
      <c r="O3243" s="4288"/>
    </row>
    <row r="3244" spans="15:15">
      <c r="O3244" s="4288"/>
    </row>
    <row r="3245" spans="15:15">
      <c r="O3245" s="4288"/>
    </row>
    <row r="3246" spans="15:15">
      <c r="O3246" s="4288"/>
    </row>
    <row r="3247" spans="15:15">
      <c r="O3247" s="4288"/>
    </row>
    <row r="3248" spans="15:15">
      <c r="O3248" s="4288"/>
    </row>
    <row r="3249" spans="15:15">
      <c r="O3249" s="4288"/>
    </row>
    <row r="3250" spans="15:15">
      <c r="O3250" s="4288"/>
    </row>
    <row r="3251" spans="15:15">
      <c r="O3251" s="4288"/>
    </row>
    <row r="3252" spans="15:15">
      <c r="O3252" s="4288"/>
    </row>
    <row r="3253" spans="15:15">
      <c r="O3253" s="4288"/>
    </row>
    <row r="3254" spans="15:15">
      <c r="O3254" s="4288"/>
    </row>
    <row r="3255" spans="15:15">
      <c r="O3255" s="4288"/>
    </row>
    <row r="3256" spans="15:15">
      <c r="O3256" s="4288"/>
    </row>
    <row r="3257" spans="15:15">
      <c r="O3257" s="4288"/>
    </row>
    <row r="3258" spans="15:15">
      <c r="O3258" s="4288"/>
    </row>
    <row r="3259" spans="15:15">
      <c r="O3259" s="4288"/>
    </row>
    <row r="3260" spans="15:15">
      <c r="O3260" s="4288"/>
    </row>
    <row r="3261" spans="15:15">
      <c r="O3261" s="4288"/>
    </row>
    <row r="3262" spans="15:15">
      <c r="O3262" s="4288"/>
    </row>
    <row r="3263" spans="15:15">
      <c r="O3263" s="4288"/>
    </row>
    <row r="3264" spans="15:15">
      <c r="O3264" s="4288"/>
    </row>
    <row r="3265" spans="15:15">
      <c r="O3265" s="4288"/>
    </row>
    <row r="3266" spans="15:15">
      <c r="O3266" s="4288"/>
    </row>
    <row r="3267" spans="15:15">
      <c r="O3267" s="4288"/>
    </row>
    <row r="3268" spans="15:15">
      <c r="O3268" s="4288"/>
    </row>
    <row r="3269" spans="15:15">
      <c r="O3269" s="4288"/>
    </row>
    <row r="3270" spans="15:15">
      <c r="O3270" s="4288"/>
    </row>
    <row r="3271" spans="15:15">
      <c r="O3271" s="4288"/>
    </row>
    <row r="3272" spans="15:15">
      <c r="O3272" s="4288"/>
    </row>
    <row r="3273" spans="15:15">
      <c r="O3273" s="4288"/>
    </row>
    <row r="3274" spans="15:15">
      <c r="O3274" s="4288"/>
    </row>
    <row r="3275" spans="15:15">
      <c r="O3275" s="4288"/>
    </row>
    <row r="3276" spans="15:15">
      <c r="O3276" s="4288"/>
    </row>
    <row r="3277" spans="15:15">
      <c r="O3277" s="4288"/>
    </row>
    <row r="3278" spans="15:15">
      <c r="O3278" s="4288"/>
    </row>
    <row r="3279" spans="15:15">
      <c r="O3279" s="4288"/>
    </row>
    <row r="3280" spans="15:15">
      <c r="O3280" s="4288"/>
    </row>
    <row r="3281" spans="15:15">
      <c r="O3281" s="4288"/>
    </row>
    <row r="3282" spans="15:15">
      <c r="O3282" s="4288"/>
    </row>
    <row r="3283" spans="15:15">
      <c r="O3283" s="4288"/>
    </row>
    <row r="3284" spans="15:15">
      <c r="O3284" s="4288"/>
    </row>
    <row r="3285" spans="15:15">
      <c r="O3285" s="4288"/>
    </row>
    <row r="3286" spans="15:15">
      <c r="O3286" s="4288"/>
    </row>
    <row r="3287" spans="15:15">
      <c r="O3287" s="4288"/>
    </row>
    <row r="3288" spans="15:15">
      <c r="O3288" s="4288"/>
    </row>
    <row r="3289" spans="15:15">
      <c r="O3289" s="4288"/>
    </row>
    <row r="3290" spans="15:15">
      <c r="O3290" s="4288"/>
    </row>
    <row r="3291" spans="15:15">
      <c r="O3291" s="4288"/>
    </row>
    <row r="3292" spans="15:15">
      <c r="O3292" s="4288"/>
    </row>
    <row r="3293" spans="15:15">
      <c r="O3293" s="4288"/>
    </row>
    <row r="3294" spans="15:15">
      <c r="O3294" s="4288"/>
    </row>
    <row r="3295" spans="15:15">
      <c r="O3295" s="4288"/>
    </row>
    <row r="3296" spans="15:15">
      <c r="O3296" s="4288"/>
    </row>
    <row r="3297" spans="15:15">
      <c r="O3297" s="4288"/>
    </row>
    <row r="3298" spans="15:15">
      <c r="O3298" s="4288"/>
    </row>
    <row r="3299" spans="15:15">
      <c r="O3299" s="4288"/>
    </row>
    <row r="3300" spans="15:15">
      <c r="O3300" s="4288"/>
    </row>
    <row r="3301" spans="15:15">
      <c r="O3301" s="4288"/>
    </row>
    <row r="3302" spans="15:15">
      <c r="O3302" s="4288"/>
    </row>
    <row r="3303" spans="15:15">
      <c r="O3303" s="4288"/>
    </row>
    <row r="3304" spans="15:15">
      <c r="O3304" s="4288"/>
    </row>
    <row r="3305" spans="15:15">
      <c r="O3305" s="4288"/>
    </row>
    <row r="3306" spans="15:15">
      <c r="O3306" s="4288"/>
    </row>
    <row r="3307" spans="15:15">
      <c r="O3307" s="4288"/>
    </row>
    <row r="3308" spans="15:15">
      <c r="O3308" s="4288"/>
    </row>
    <row r="3309" spans="15:15">
      <c r="O3309" s="4288"/>
    </row>
    <row r="3310" spans="15:15">
      <c r="O3310" s="4288"/>
    </row>
    <row r="3311" spans="15:15">
      <c r="O3311" s="4288"/>
    </row>
    <row r="3312" spans="15:15">
      <c r="O3312" s="4288"/>
    </row>
    <row r="3313" spans="15:15">
      <c r="O3313" s="4288"/>
    </row>
    <row r="3314" spans="15:15">
      <c r="O3314" s="4288"/>
    </row>
    <row r="3315" spans="15:15">
      <c r="O3315" s="4288"/>
    </row>
    <row r="3316" spans="15:15">
      <c r="O3316" s="4288"/>
    </row>
    <row r="3317" spans="15:15">
      <c r="O3317" s="4288"/>
    </row>
    <row r="3318" spans="15:15">
      <c r="O3318" s="4288"/>
    </row>
    <row r="3319" spans="15:15">
      <c r="O3319" s="4288"/>
    </row>
    <row r="3320" spans="15:15">
      <c r="O3320" s="4288"/>
    </row>
    <row r="3321" spans="15:15">
      <c r="O3321" s="4288"/>
    </row>
    <row r="3322" spans="15:15">
      <c r="O3322" s="4288"/>
    </row>
    <row r="3323" spans="15:15">
      <c r="O3323" s="4288"/>
    </row>
    <row r="3324" spans="15:15">
      <c r="O3324" s="4288"/>
    </row>
    <row r="3325" spans="15:15">
      <c r="O3325" s="4288"/>
    </row>
    <row r="3326" spans="15:15">
      <c r="O3326" s="4288"/>
    </row>
    <row r="3327" spans="15:15">
      <c r="O3327" s="4288"/>
    </row>
    <row r="3328" spans="15:15">
      <c r="O3328" s="4288"/>
    </row>
    <row r="3329" spans="15:15">
      <c r="O3329" s="4288"/>
    </row>
    <row r="3330" spans="15:15">
      <c r="O3330" s="4288"/>
    </row>
    <row r="3331" spans="15:15">
      <c r="O3331" s="4288"/>
    </row>
    <row r="3332" spans="15:15">
      <c r="O3332" s="4288"/>
    </row>
    <row r="3333" spans="15:15">
      <c r="O3333" s="4288"/>
    </row>
    <row r="3334" spans="15:15">
      <c r="O3334" s="4288"/>
    </row>
    <row r="3335" spans="15:15">
      <c r="O3335" s="4288"/>
    </row>
    <row r="3336" spans="15:15">
      <c r="O3336" s="4288"/>
    </row>
    <row r="3337" spans="15:15">
      <c r="O3337" s="4288"/>
    </row>
    <row r="3338" spans="15:15">
      <c r="O3338" s="4288"/>
    </row>
    <row r="3339" spans="15:15">
      <c r="O3339" s="4288"/>
    </row>
    <row r="3340" spans="15:15">
      <c r="O3340" s="4288"/>
    </row>
    <row r="3341" spans="15:15">
      <c r="O3341" s="4288"/>
    </row>
    <row r="3342" spans="15:15">
      <c r="O3342" s="4288"/>
    </row>
    <row r="3343" spans="15:15">
      <c r="O3343" s="4288"/>
    </row>
    <row r="3344" spans="15:15">
      <c r="O3344" s="4288"/>
    </row>
    <row r="3345" spans="15:15">
      <c r="O3345" s="4288"/>
    </row>
    <row r="3346" spans="15:15">
      <c r="O3346" s="4288"/>
    </row>
    <row r="3347" spans="15:15">
      <c r="O3347" s="4288"/>
    </row>
    <row r="3348" spans="15:15">
      <c r="O3348" s="4288"/>
    </row>
    <row r="3349" spans="15:15">
      <c r="O3349" s="4288"/>
    </row>
    <row r="3350" spans="15:15">
      <c r="O3350" s="4288"/>
    </row>
    <row r="3351" spans="15:15">
      <c r="O3351" s="4288"/>
    </row>
    <row r="3352" spans="15:15">
      <c r="O3352" s="4288"/>
    </row>
    <row r="3353" spans="15:15">
      <c r="O3353" s="4288"/>
    </row>
    <row r="3354" spans="15:15">
      <c r="O3354" s="4288"/>
    </row>
    <row r="3355" spans="15:15">
      <c r="O3355" s="4288"/>
    </row>
    <row r="3356" spans="15:15">
      <c r="O3356" s="4288"/>
    </row>
    <row r="3357" spans="15:15">
      <c r="O3357" s="4288"/>
    </row>
    <row r="3358" spans="15:15">
      <c r="O3358" s="4288"/>
    </row>
    <row r="3359" spans="15:15">
      <c r="O3359" s="4288"/>
    </row>
    <row r="3360" spans="15:15">
      <c r="O3360" s="4288"/>
    </row>
    <row r="3361" spans="15:15">
      <c r="O3361" s="4288"/>
    </row>
    <row r="3362" spans="15:15">
      <c r="O3362" s="4288"/>
    </row>
    <row r="3363" spans="15:15">
      <c r="O3363" s="4288"/>
    </row>
    <row r="3364" spans="15:15">
      <c r="O3364" s="4288"/>
    </row>
    <row r="3365" spans="15:15">
      <c r="O3365" s="4288"/>
    </row>
    <row r="3366" spans="15:15">
      <c r="O3366" s="4288"/>
    </row>
    <row r="3367" spans="15:15">
      <c r="O3367" s="4288"/>
    </row>
    <row r="3368" spans="15:15">
      <c r="O3368" s="4288"/>
    </row>
    <row r="3369" spans="15:15">
      <c r="O3369" s="4288"/>
    </row>
    <row r="3370" spans="15:15">
      <c r="O3370" s="4288"/>
    </row>
    <row r="3371" spans="15:15">
      <c r="O3371" s="4288"/>
    </row>
    <row r="3372" spans="15:15">
      <c r="O3372" s="4288"/>
    </row>
    <row r="3373" spans="15:15">
      <c r="O3373" s="4288"/>
    </row>
    <row r="3374" spans="15:15">
      <c r="O3374" s="4288"/>
    </row>
    <row r="3375" spans="15:15">
      <c r="O3375" s="4288"/>
    </row>
    <row r="3376" spans="15:15">
      <c r="O3376" s="4288"/>
    </row>
    <row r="3377" spans="15:15">
      <c r="O3377" s="4288"/>
    </row>
    <row r="3378" spans="15:15">
      <c r="O3378" s="4288"/>
    </row>
    <row r="3379" spans="15:15">
      <c r="O3379" s="4288"/>
    </row>
    <row r="3380" spans="15:15">
      <c r="O3380" s="4288"/>
    </row>
    <row r="3381" spans="15:15">
      <c r="O3381" s="4288"/>
    </row>
    <row r="3382" spans="15:15">
      <c r="O3382" s="4288"/>
    </row>
    <row r="3383" spans="15:15">
      <c r="O3383" s="4288"/>
    </row>
    <row r="3384" spans="15:15">
      <c r="O3384" s="4288"/>
    </row>
    <row r="3385" spans="15:15">
      <c r="O3385" s="4288"/>
    </row>
    <row r="3386" spans="15:15">
      <c r="O3386" s="4288"/>
    </row>
    <row r="3387" spans="15:15">
      <c r="O3387" s="4288"/>
    </row>
    <row r="3388" spans="15:15">
      <c r="O3388" s="4288"/>
    </row>
    <row r="3389" spans="15:15">
      <c r="O3389" s="4288"/>
    </row>
    <row r="3390" spans="15:15">
      <c r="O3390" s="4288"/>
    </row>
    <row r="3391" spans="15:15">
      <c r="O3391" s="4288"/>
    </row>
    <row r="3392" spans="15:15">
      <c r="O3392" s="4288"/>
    </row>
    <row r="3393" spans="15:15">
      <c r="O3393" s="4288"/>
    </row>
    <row r="3394" spans="15:15">
      <c r="O3394" s="4288"/>
    </row>
    <row r="3395" spans="15:15">
      <c r="O3395" s="4288"/>
    </row>
    <row r="3396" spans="15:15">
      <c r="O3396" s="4288"/>
    </row>
    <row r="3397" spans="15:15">
      <c r="O3397" s="4288"/>
    </row>
    <row r="3398" spans="15:15">
      <c r="O3398" s="4288"/>
    </row>
    <row r="3399" spans="15:15">
      <c r="O3399" s="4288"/>
    </row>
    <row r="3400" spans="15:15">
      <c r="O3400" s="4288"/>
    </row>
    <row r="3401" spans="15:15">
      <c r="O3401" s="4288"/>
    </row>
    <row r="3402" spans="15:15">
      <c r="O3402" s="4288"/>
    </row>
    <row r="3403" spans="15:15">
      <c r="O3403" s="4288"/>
    </row>
    <row r="3404" spans="15:15">
      <c r="O3404" s="4288"/>
    </row>
    <row r="3405" spans="15:15">
      <c r="O3405" s="4288"/>
    </row>
    <row r="3406" spans="15:15">
      <c r="O3406" s="4288"/>
    </row>
    <row r="3407" spans="15:15">
      <c r="O3407" s="4288"/>
    </row>
    <row r="3408" spans="15:15">
      <c r="O3408" s="4288"/>
    </row>
    <row r="3409" spans="15:15">
      <c r="O3409" s="4288"/>
    </row>
    <row r="3410" spans="15:15">
      <c r="O3410" s="4288"/>
    </row>
    <row r="3411" spans="15:15">
      <c r="O3411" s="4288"/>
    </row>
    <row r="3412" spans="15:15">
      <c r="O3412" s="4288"/>
    </row>
    <row r="3413" spans="15:15">
      <c r="O3413" s="4288"/>
    </row>
    <row r="3414" spans="15:15">
      <c r="O3414" s="4288"/>
    </row>
    <row r="3415" spans="15:15">
      <c r="O3415" s="4288"/>
    </row>
    <row r="3416" spans="15:15">
      <c r="O3416" s="4288"/>
    </row>
    <row r="3417" spans="15:15">
      <c r="O3417" s="4288"/>
    </row>
    <row r="3418" spans="15:15">
      <c r="O3418" s="4288"/>
    </row>
    <row r="3419" spans="15:15">
      <c r="O3419" s="4288"/>
    </row>
    <row r="3420" spans="15:15">
      <c r="O3420" s="4288"/>
    </row>
    <row r="3421" spans="15:15">
      <c r="O3421" s="4288"/>
    </row>
    <row r="3422" spans="15:15">
      <c r="O3422" s="4288"/>
    </row>
    <row r="3423" spans="15:15">
      <c r="O3423" s="4288"/>
    </row>
    <row r="3424" spans="15:15">
      <c r="O3424" s="4288"/>
    </row>
    <row r="3425" spans="15:15">
      <c r="O3425" s="4288"/>
    </row>
    <row r="3426" spans="15:15">
      <c r="O3426" s="4288"/>
    </row>
    <row r="3427" spans="15:15">
      <c r="O3427" s="4288"/>
    </row>
    <row r="3428" spans="15:15">
      <c r="O3428" s="4288"/>
    </row>
    <row r="3429" spans="15:15">
      <c r="O3429" s="4288"/>
    </row>
    <row r="3430" spans="15:15">
      <c r="O3430" s="4288"/>
    </row>
    <row r="3431" spans="15:15">
      <c r="O3431" s="4288"/>
    </row>
    <row r="3432" spans="15:15">
      <c r="O3432" s="4288"/>
    </row>
    <row r="3433" spans="15:15">
      <c r="O3433" s="4288"/>
    </row>
    <row r="3434" spans="15:15">
      <c r="O3434" s="4288"/>
    </row>
    <row r="3435" spans="15:15">
      <c r="O3435" s="4288"/>
    </row>
    <row r="3436" spans="15:15">
      <c r="O3436" s="4288"/>
    </row>
    <row r="3437" spans="15:15">
      <c r="O3437" s="4288"/>
    </row>
    <row r="3438" spans="15:15">
      <c r="O3438" s="4288"/>
    </row>
    <row r="3439" spans="15:15">
      <c r="O3439" s="4288"/>
    </row>
    <row r="3440" spans="15:15">
      <c r="O3440" s="4288"/>
    </row>
    <row r="3441" spans="15:15">
      <c r="O3441" s="4288"/>
    </row>
    <row r="3442" spans="15:15">
      <c r="O3442" s="4288"/>
    </row>
    <row r="3443" spans="15:15">
      <c r="O3443" s="4288"/>
    </row>
    <row r="3444" spans="15:15">
      <c r="O3444" s="4288"/>
    </row>
    <row r="3445" spans="15:15">
      <c r="O3445" s="4288"/>
    </row>
    <row r="3446" spans="15:15">
      <c r="O3446" s="4288"/>
    </row>
    <row r="3447" spans="15:15">
      <c r="O3447" s="4288"/>
    </row>
    <row r="3448" spans="15:15">
      <c r="O3448" s="4288"/>
    </row>
    <row r="3449" spans="15:15">
      <c r="O3449" s="4288"/>
    </row>
    <row r="3450" spans="15:15">
      <c r="O3450" s="4288"/>
    </row>
    <row r="3451" spans="15:15">
      <c r="O3451" s="4288"/>
    </row>
    <row r="3452" spans="15:15">
      <c r="O3452" s="4288"/>
    </row>
    <row r="3453" spans="15:15">
      <c r="O3453" s="4288"/>
    </row>
    <row r="3454" spans="15:15">
      <c r="O3454" s="4288"/>
    </row>
    <row r="3455" spans="15:15">
      <c r="O3455" s="4288"/>
    </row>
    <row r="3456" spans="15:15">
      <c r="O3456" s="4288"/>
    </row>
    <row r="3457" spans="15:15">
      <c r="O3457" s="4288"/>
    </row>
    <row r="3458" spans="15:15">
      <c r="O3458" s="4288"/>
    </row>
    <row r="3459" spans="15:15">
      <c r="O3459" s="4288"/>
    </row>
    <row r="3460" spans="15:15">
      <c r="O3460" s="4288"/>
    </row>
    <row r="3461" spans="15:15">
      <c r="O3461" s="4288"/>
    </row>
    <row r="3462" spans="15:15">
      <c r="O3462" s="4288"/>
    </row>
    <row r="3463" spans="15:15">
      <c r="O3463" s="4288"/>
    </row>
    <row r="3464" spans="15:15">
      <c r="O3464" s="4288"/>
    </row>
    <row r="3465" spans="15:15">
      <c r="O3465" s="4288"/>
    </row>
    <row r="3466" spans="15:15">
      <c r="O3466" s="4288"/>
    </row>
    <row r="3467" spans="15:15">
      <c r="O3467" s="4288"/>
    </row>
    <row r="3468" spans="15:15">
      <c r="O3468" s="4288"/>
    </row>
    <row r="3469" spans="15:15">
      <c r="O3469" s="4288"/>
    </row>
    <row r="3470" spans="15:15">
      <c r="O3470" s="4288"/>
    </row>
    <row r="3471" spans="15:15">
      <c r="O3471" s="4288"/>
    </row>
    <row r="3472" spans="15:15">
      <c r="O3472" s="4288"/>
    </row>
    <row r="3473" spans="15:15">
      <c r="O3473" s="4288"/>
    </row>
    <row r="3474" spans="15:15">
      <c r="O3474" s="4288"/>
    </row>
    <row r="3475" spans="15:15">
      <c r="O3475" s="4288"/>
    </row>
    <row r="3476" spans="15:15">
      <c r="O3476" s="4288"/>
    </row>
    <row r="3477" spans="15:15">
      <c r="O3477" s="4288"/>
    </row>
    <row r="3478" spans="15:15">
      <c r="O3478" s="4288"/>
    </row>
    <row r="3479" spans="15:15">
      <c r="O3479" s="4288"/>
    </row>
    <row r="3480" spans="15:15">
      <c r="O3480" s="4288"/>
    </row>
    <row r="3481" spans="15:15">
      <c r="O3481" s="4288"/>
    </row>
    <row r="3482" spans="15:15">
      <c r="O3482" s="4288"/>
    </row>
    <row r="3483" spans="15:15">
      <c r="O3483" s="4288"/>
    </row>
    <row r="3484" spans="15:15">
      <c r="O3484" s="4288"/>
    </row>
    <row r="3485" spans="15:15">
      <c r="O3485" s="4288"/>
    </row>
    <row r="3486" spans="15:15">
      <c r="O3486" s="4288"/>
    </row>
    <row r="3487" spans="15:15">
      <c r="O3487" s="4288"/>
    </row>
    <row r="3488" spans="15:15">
      <c r="O3488" s="4288"/>
    </row>
    <row r="3489" spans="15:15">
      <c r="O3489" s="4288"/>
    </row>
    <row r="3490" spans="15:15">
      <c r="O3490" s="4288"/>
    </row>
    <row r="3491" spans="15:15">
      <c r="O3491" s="4288"/>
    </row>
    <row r="3492" spans="15:15">
      <c r="O3492" s="4288"/>
    </row>
    <row r="3493" spans="15:15">
      <c r="O3493" s="4288"/>
    </row>
    <row r="3494" spans="15:15">
      <c r="O3494" s="4288"/>
    </row>
    <row r="3495" spans="15:15">
      <c r="O3495" s="4288"/>
    </row>
    <row r="3496" spans="15:15">
      <c r="O3496" s="4288"/>
    </row>
    <row r="3497" spans="15:15">
      <c r="O3497" s="4288"/>
    </row>
    <row r="3498" spans="15:15">
      <c r="O3498" s="4288"/>
    </row>
    <row r="3499" spans="15:15">
      <c r="O3499" s="4288"/>
    </row>
    <row r="3500" spans="15:15">
      <c r="O3500" s="4288"/>
    </row>
    <row r="3501" spans="15:15">
      <c r="O3501" s="4288"/>
    </row>
    <row r="3502" spans="15:15">
      <c r="O3502" s="4288"/>
    </row>
    <row r="3503" spans="15:15">
      <c r="O3503" s="4288"/>
    </row>
    <row r="3504" spans="15:15">
      <c r="O3504" s="4288"/>
    </row>
    <row r="3505" spans="15:15">
      <c r="O3505" s="4288"/>
    </row>
    <row r="3506" spans="15:15">
      <c r="O3506" s="4288"/>
    </row>
    <row r="3507" spans="15:15">
      <c r="O3507" s="4288"/>
    </row>
    <row r="3508" spans="15:15">
      <c r="O3508" s="4288"/>
    </row>
    <row r="3509" spans="15:15">
      <c r="O3509" s="4288"/>
    </row>
    <row r="3510" spans="15:15">
      <c r="O3510" s="4288"/>
    </row>
    <row r="3511" spans="15:15">
      <c r="O3511" s="4288"/>
    </row>
    <row r="3512" spans="15:15">
      <c r="O3512" s="4288"/>
    </row>
    <row r="3513" spans="15:15">
      <c r="O3513" s="4288"/>
    </row>
    <row r="3514" spans="15:15">
      <c r="O3514" s="4288"/>
    </row>
    <row r="3515" spans="15:15">
      <c r="O3515" s="4288"/>
    </row>
    <row r="3516" spans="15:15">
      <c r="O3516" s="4288"/>
    </row>
    <row r="3517" spans="15:15">
      <c r="O3517" s="4288"/>
    </row>
    <row r="3518" spans="15:15">
      <c r="O3518" s="4288"/>
    </row>
    <row r="3519" spans="15:15">
      <c r="O3519" s="4288"/>
    </row>
    <row r="3520" spans="15:15">
      <c r="O3520" s="4288"/>
    </row>
    <row r="3521" spans="15:15">
      <c r="O3521" s="4288"/>
    </row>
    <row r="3522" spans="15:15">
      <c r="O3522" s="4288"/>
    </row>
    <row r="3523" spans="15:15">
      <c r="O3523" s="4288"/>
    </row>
    <row r="3524" spans="15:15">
      <c r="O3524" s="4288"/>
    </row>
    <row r="3525" spans="15:15">
      <c r="O3525" s="4288"/>
    </row>
    <row r="3526" spans="15:15">
      <c r="O3526" s="4288"/>
    </row>
    <row r="3527" spans="15:15">
      <c r="O3527" s="4288"/>
    </row>
    <row r="3528" spans="15:15">
      <c r="O3528" s="4288"/>
    </row>
    <row r="3529" spans="15:15">
      <c r="O3529" s="4288"/>
    </row>
    <row r="3530" spans="15:15">
      <c r="O3530" s="4288"/>
    </row>
    <row r="3531" spans="15:15">
      <c r="O3531" s="4288"/>
    </row>
    <row r="3532" spans="15:15">
      <c r="O3532" s="4288"/>
    </row>
    <row r="3533" spans="15:15">
      <c r="O3533" s="4288"/>
    </row>
    <row r="3534" spans="15:15">
      <c r="O3534" s="4288"/>
    </row>
    <row r="3535" spans="15:15">
      <c r="O3535" s="4288"/>
    </row>
    <row r="3536" spans="15:15">
      <c r="O3536" s="4288"/>
    </row>
    <row r="3537" spans="15:15">
      <c r="O3537" s="4288"/>
    </row>
    <row r="3538" spans="15:15">
      <c r="O3538" s="4288"/>
    </row>
    <row r="3539" spans="15:15">
      <c r="O3539" s="4288"/>
    </row>
    <row r="3540" spans="15:15">
      <c r="O3540" s="4288"/>
    </row>
    <row r="3541" spans="15:15">
      <c r="O3541" s="4288"/>
    </row>
    <row r="3542" spans="15:15">
      <c r="O3542" s="4288"/>
    </row>
    <row r="3543" spans="15:15">
      <c r="O3543" s="4288"/>
    </row>
    <row r="3544" spans="15:15">
      <c r="O3544" s="4288"/>
    </row>
    <row r="3545" spans="15:15">
      <c r="O3545" s="4288"/>
    </row>
    <row r="3546" spans="15:15">
      <c r="O3546" s="4288"/>
    </row>
    <row r="3547" spans="15:15">
      <c r="O3547" s="4288"/>
    </row>
    <row r="3548" spans="15:15">
      <c r="O3548" s="4288"/>
    </row>
    <row r="3549" spans="15:15">
      <c r="O3549" s="4288"/>
    </row>
    <row r="3550" spans="15:15">
      <c r="O3550" s="4288"/>
    </row>
    <row r="3551" spans="15:15">
      <c r="O3551" s="4288"/>
    </row>
    <row r="3552" spans="15:15">
      <c r="O3552" s="4288"/>
    </row>
    <row r="3553" spans="15:15">
      <c r="O3553" s="4288"/>
    </row>
    <row r="3554" spans="15:15">
      <c r="O3554" s="4288"/>
    </row>
    <row r="3555" spans="15:15">
      <c r="O3555" s="4288"/>
    </row>
    <row r="3556" spans="15:15">
      <c r="O3556" s="4288"/>
    </row>
    <row r="3557" spans="15:15">
      <c r="O3557" s="4288"/>
    </row>
    <row r="3558" spans="15:15">
      <c r="O3558" s="4288"/>
    </row>
    <row r="3559" spans="15:15">
      <c r="O3559" s="4288"/>
    </row>
    <row r="3560" spans="15:15">
      <c r="O3560" s="4288"/>
    </row>
    <row r="3561" spans="15:15">
      <c r="O3561" s="4288"/>
    </row>
    <row r="3562" spans="15:15">
      <c r="O3562" s="4288"/>
    </row>
    <row r="3563" spans="15:15">
      <c r="O3563" s="4288"/>
    </row>
    <row r="3564" spans="15:15">
      <c r="O3564" s="4288"/>
    </row>
    <row r="3565" spans="15:15">
      <c r="O3565" s="4288"/>
    </row>
    <row r="3566" spans="15:15">
      <c r="O3566" s="4288"/>
    </row>
    <row r="3567" spans="15:15">
      <c r="O3567" s="4288"/>
    </row>
    <row r="3568" spans="15:15">
      <c r="O3568" s="4288"/>
    </row>
    <row r="3569" spans="15:15">
      <c r="O3569" s="4288"/>
    </row>
    <row r="3570" spans="15:15">
      <c r="O3570" s="4288"/>
    </row>
    <row r="3571" spans="15:15">
      <c r="O3571" s="4288"/>
    </row>
    <row r="3572" spans="15:15">
      <c r="O3572" s="4288"/>
    </row>
    <row r="3573" spans="15:15">
      <c r="O3573" s="4288"/>
    </row>
    <row r="3574" spans="15:15">
      <c r="O3574" s="4288"/>
    </row>
    <row r="3575" spans="15:15">
      <c r="O3575" s="4288"/>
    </row>
    <row r="3576" spans="15:15">
      <c r="O3576" s="4288"/>
    </row>
    <row r="3577" spans="15:15">
      <c r="O3577" s="4288"/>
    </row>
    <row r="3578" spans="15:15">
      <c r="O3578" s="4288"/>
    </row>
    <row r="3579" spans="15:15">
      <c r="O3579" s="4288"/>
    </row>
    <row r="3580" spans="15:15">
      <c r="O3580" s="4288"/>
    </row>
    <row r="3581" spans="15:15">
      <c r="O3581" s="4288"/>
    </row>
    <row r="3582" spans="15:15">
      <c r="O3582" s="4288"/>
    </row>
    <row r="3583" spans="15:15">
      <c r="O3583" s="4288"/>
    </row>
    <row r="3584" spans="15:15">
      <c r="O3584" s="4288"/>
    </row>
    <row r="3585" spans="15:15">
      <c r="O3585" s="4288"/>
    </row>
    <row r="3586" spans="15:15">
      <c r="O3586" s="4288"/>
    </row>
    <row r="3587" spans="15:15">
      <c r="O3587" s="4288"/>
    </row>
    <row r="3588" spans="15:15">
      <c r="O3588" s="4288"/>
    </row>
    <row r="3589" spans="15:15">
      <c r="O3589" s="4288"/>
    </row>
    <row r="3590" spans="15:15">
      <c r="O3590" s="4288"/>
    </row>
    <row r="3591" spans="15:15">
      <c r="O3591" s="4288"/>
    </row>
    <row r="3592" spans="15:15">
      <c r="O3592" s="4288"/>
    </row>
    <row r="3593" spans="15:15">
      <c r="O3593" s="4288"/>
    </row>
    <row r="3594" spans="15:15">
      <c r="O3594" s="4288"/>
    </row>
    <row r="3595" spans="15:15">
      <c r="O3595" s="4288"/>
    </row>
    <row r="3596" spans="15:15">
      <c r="O3596" s="4288"/>
    </row>
    <row r="3597" spans="15:15">
      <c r="O3597" s="4288"/>
    </row>
    <row r="3598" spans="15:15">
      <c r="O3598" s="4288"/>
    </row>
    <row r="3599" spans="15:15">
      <c r="O3599" s="4288"/>
    </row>
    <row r="3600" spans="15:15">
      <c r="O3600" s="4288"/>
    </row>
    <row r="3601" spans="15:15">
      <c r="O3601" s="4288"/>
    </row>
    <row r="3602" spans="15:15">
      <c r="O3602" s="4288"/>
    </row>
    <row r="3603" spans="15:15">
      <c r="O3603" s="4288"/>
    </row>
    <row r="3604" spans="15:15">
      <c r="O3604" s="4288"/>
    </row>
    <row r="3605" spans="15:15">
      <c r="O3605" s="4288"/>
    </row>
    <row r="3606" spans="15:15">
      <c r="O3606" s="4288"/>
    </row>
    <row r="3607" spans="15:15">
      <c r="O3607" s="4288"/>
    </row>
    <row r="3608" spans="15:15">
      <c r="O3608" s="4288"/>
    </row>
    <row r="3609" spans="15:15">
      <c r="O3609" s="4288"/>
    </row>
    <row r="3610" spans="15:15">
      <c r="O3610" s="4288"/>
    </row>
    <row r="3611" spans="15:15">
      <c r="O3611" s="4288"/>
    </row>
    <row r="3612" spans="15:15">
      <c r="O3612" s="4288"/>
    </row>
    <row r="3613" spans="15:15">
      <c r="O3613" s="4288"/>
    </row>
    <row r="3614" spans="15:15">
      <c r="O3614" s="4288"/>
    </row>
    <row r="3615" spans="15:15">
      <c r="O3615" s="4288"/>
    </row>
    <row r="3616" spans="15:15">
      <c r="O3616" s="4288"/>
    </row>
    <row r="3617" spans="15:15">
      <c r="O3617" s="4288"/>
    </row>
    <row r="3618" spans="15:15">
      <c r="O3618" s="4288"/>
    </row>
    <row r="3619" spans="15:15">
      <c r="O3619" s="4288"/>
    </row>
    <row r="3620" spans="15:15">
      <c r="O3620" s="4288"/>
    </row>
    <row r="3621" spans="15:15">
      <c r="O3621" s="4288"/>
    </row>
    <row r="3622" spans="15:15">
      <c r="O3622" s="4288"/>
    </row>
    <row r="3623" spans="15:15">
      <c r="O3623" s="4288"/>
    </row>
    <row r="3624" spans="15:15">
      <c r="O3624" s="4288"/>
    </row>
    <row r="3625" spans="15:15">
      <c r="O3625" s="4288"/>
    </row>
    <row r="3626" spans="15:15">
      <c r="O3626" s="4288"/>
    </row>
    <row r="3627" spans="15:15">
      <c r="O3627" s="4288"/>
    </row>
    <row r="3628" spans="15:15">
      <c r="O3628" s="4288"/>
    </row>
    <row r="3629" spans="15:15">
      <c r="O3629" s="4288"/>
    </row>
    <row r="3630" spans="15:15">
      <c r="O3630" s="4288"/>
    </row>
    <row r="3631" spans="15:15">
      <c r="O3631" s="4288"/>
    </row>
    <row r="3632" spans="15:15">
      <c r="O3632" s="4288"/>
    </row>
    <row r="3633" spans="15:15">
      <c r="O3633" s="4288"/>
    </row>
    <row r="3634" spans="15:15">
      <c r="O3634" s="4288"/>
    </row>
    <row r="3635" spans="15:15">
      <c r="O3635" s="4288"/>
    </row>
    <row r="3636" spans="15:15">
      <c r="O3636" s="4288"/>
    </row>
    <row r="3637" spans="15:15">
      <c r="O3637" s="4288"/>
    </row>
    <row r="3638" spans="15:15">
      <c r="O3638" s="4288"/>
    </row>
    <row r="3639" spans="15:15">
      <c r="O3639" s="4288"/>
    </row>
    <row r="3640" spans="15:15">
      <c r="O3640" s="4288"/>
    </row>
    <row r="3641" spans="15:15">
      <c r="O3641" s="4288"/>
    </row>
    <row r="3642" spans="15:15">
      <c r="O3642" s="4288"/>
    </row>
    <row r="3643" spans="15:15">
      <c r="O3643" s="4288"/>
    </row>
    <row r="3644" spans="15:15">
      <c r="O3644" s="4288"/>
    </row>
    <row r="3645" spans="15:15">
      <c r="O3645" s="4288"/>
    </row>
    <row r="3646" spans="15:15">
      <c r="O3646" s="4288"/>
    </row>
    <row r="3647" spans="15:15">
      <c r="O3647" s="4288"/>
    </row>
    <row r="3648" spans="15:15">
      <c r="O3648" s="4288"/>
    </row>
    <row r="3649" spans="15:15">
      <c r="O3649" s="4288"/>
    </row>
    <row r="3650" spans="15:15">
      <c r="O3650" s="4288"/>
    </row>
    <row r="3651" spans="15:15">
      <c r="O3651" s="4288"/>
    </row>
    <row r="3652" spans="15:15">
      <c r="O3652" s="4288"/>
    </row>
    <row r="3653" spans="15:15">
      <c r="O3653" s="4288"/>
    </row>
    <row r="3654" spans="15:15">
      <c r="O3654" s="4288"/>
    </row>
    <row r="3655" spans="15:15">
      <c r="O3655" s="4288"/>
    </row>
    <row r="3656" spans="15:15">
      <c r="O3656" s="4288"/>
    </row>
    <row r="3657" spans="15:15">
      <c r="O3657" s="4288"/>
    </row>
    <row r="3658" spans="15:15">
      <c r="O3658" s="4288"/>
    </row>
    <row r="3659" spans="15:15">
      <c r="O3659" s="4288"/>
    </row>
    <row r="3660" spans="15:15">
      <c r="O3660" s="4288"/>
    </row>
    <row r="3661" spans="15:15">
      <c r="O3661" s="4288"/>
    </row>
    <row r="3662" spans="15:15">
      <c r="O3662" s="4288"/>
    </row>
    <row r="3663" spans="15:15">
      <c r="O3663" s="4288"/>
    </row>
    <row r="3664" spans="15:15">
      <c r="O3664" s="4288"/>
    </row>
    <row r="3665" spans="15:15">
      <c r="O3665" s="4288"/>
    </row>
    <row r="3666" spans="15:15">
      <c r="O3666" s="4288"/>
    </row>
    <row r="3667" spans="15:15">
      <c r="O3667" s="4288"/>
    </row>
    <row r="3668" spans="15:15">
      <c r="O3668" s="4288"/>
    </row>
    <row r="3669" spans="15:15">
      <c r="O3669" s="4288"/>
    </row>
    <row r="3670" spans="15:15">
      <c r="O3670" s="4288"/>
    </row>
    <row r="3671" spans="15:15">
      <c r="O3671" s="4288"/>
    </row>
    <row r="3672" spans="15:15">
      <c r="O3672" s="4288"/>
    </row>
    <row r="3673" spans="15:15">
      <c r="O3673" s="4288"/>
    </row>
    <row r="3674" spans="15:15">
      <c r="O3674" s="4288"/>
    </row>
    <row r="3675" spans="15:15">
      <c r="O3675" s="4288"/>
    </row>
    <row r="3676" spans="15:15">
      <c r="O3676" s="4288"/>
    </row>
    <row r="3677" spans="15:15">
      <c r="O3677" s="4288"/>
    </row>
    <row r="3678" spans="15:15">
      <c r="O3678" s="4288"/>
    </row>
    <row r="3679" spans="15:15">
      <c r="O3679" s="4288"/>
    </row>
    <row r="3680" spans="15:15">
      <c r="O3680" s="4288"/>
    </row>
    <row r="3681" spans="15:15">
      <c r="O3681" s="4288"/>
    </row>
    <row r="3682" spans="15:15">
      <c r="O3682" s="4288"/>
    </row>
    <row r="3683" spans="15:15">
      <c r="O3683" s="4288"/>
    </row>
    <row r="3684" spans="15:15">
      <c r="O3684" s="4288"/>
    </row>
    <row r="3685" spans="15:15">
      <c r="O3685" s="4288"/>
    </row>
    <row r="3686" spans="15:15">
      <c r="O3686" s="4288"/>
    </row>
    <row r="3687" spans="15:15">
      <c r="O3687" s="4288"/>
    </row>
    <row r="3688" spans="15:15">
      <c r="O3688" s="4288"/>
    </row>
    <row r="3689" spans="15:15">
      <c r="O3689" s="4288"/>
    </row>
    <row r="3690" spans="15:15">
      <c r="O3690" s="4288"/>
    </row>
    <row r="3691" spans="15:15">
      <c r="O3691" s="4288"/>
    </row>
    <row r="3692" spans="15:15">
      <c r="O3692" s="4288"/>
    </row>
    <row r="3693" spans="15:15">
      <c r="O3693" s="4288"/>
    </row>
    <row r="3694" spans="15:15">
      <c r="O3694" s="4288"/>
    </row>
    <row r="3695" spans="15:15">
      <c r="O3695" s="4288"/>
    </row>
    <row r="3696" spans="15:15">
      <c r="O3696" s="4288"/>
    </row>
    <row r="3697" spans="15:15">
      <c r="O3697" s="4288"/>
    </row>
    <row r="3698" spans="15:15">
      <c r="O3698" s="4288"/>
    </row>
    <row r="3699" spans="15:15">
      <c r="O3699" s="4288"/>
    </row>
    <row r="3700" spans="15:15">
      <c r="O3700" s="4288"/>
    </row>
    <row r="3701" spans="15:15">
      <c r="O3701" s="4288"/>
    </row>
    <row r="3702" spans="15:15">
      <c r="O3702" s="4288"/>
    </row>
    <row r="3703" spans="15:15">
      <c r="O3703" s="4288"/>
    </row>
    <row r="3704" spans="15:15">
      <c r="O3704" s="4288"/>
    </row>
    <row r="3705" spans="15:15">
      <c r="O3705" s="4288"/>
    </row>
    <row r="3706" spans="15:15">
      <c r="O3706" s="4288"/>
    </row>
    <row r="3707" spans="15:15">
      <c r="O3707" s="4288"/>
    </row>
    <row r="3708" spans="15:15">
      <c r="O3708" s="4288"/>
    </row>
    <row r="3709" spans="15:15">
      <c r="O3709" s="4288"/>
    </row>
    <row r="3710" spans="15:15">
      <c r="O3710" s="4288"/>
    </row>
    <row r="3711" spans="15:15">
      <c r="O3711" s="4288"/>
    </row>
    <row r="3712" spans="15:15">
      <c r="O3712" s="4288"/>
    </row>
    <row r="3713" spans="15:15">
      <c r="O3713" s="4288"/>
    </row>
    <row r="3714" spans="15:15">
      <c r="O3714" s="4288"/>
    </row>
    <row r="3715" spans="15:15">
      <c r="O3715" s="4288"/>
    </row>
    <row r="3716" spans="15:15">
      <c r="O3716" s="4288"/>
    </row>
    <row r="3717" spans="15:15">
      <c r="O3717" s="4288"/>
    </row>
    <row r="3718" spans="15:15">
      <c r="O3718" s="4288"/>
    </row>
    <row r="3719" spans="15:15">
      <c r="O3719" s="4288"/>
    </row>
    <row r="3720" spans="15:15">
      <c r="O3720" s="4288"/>
    </row>
    <row r="3721" spans="15:15">
      <c r="O3721" s="4288"/>
    </row>
    <row r="3722" spans="15:15">
      <c r="O3722" s="4288"/>
    </row>
    <row r="3723" spans="15:15">
      <c r="O3723" s="4288"/>
    </row>
    <row r="3724" spans="15:15">
      <c r="O3724" s="4288"/>
    </row>
    <row r="3725" spans="15:15">
      <c r="O3725" s="4288"/>
    </row>
    <row r="3726" spans="15:15">
      <c r="O3726" s="4288"/>
    </row>
    <row r="3727" spans="15:15">
      <c r="O3727" s="4288"/>
    </row>
    <row r="3728" spans="15:15">
      <c r="O3728" s="4288"/>
    </row>
    <row r="3729" spans="15:15">
      <c r="O3729" s="4288"/>
    </row>
    <row r="3730" spans="15:15">
      <c r="O3730" s="4288"/>
    </row>
    <row r="3731" spans="15:15">
      <c r="O3731" s="4288"/>
    </row>
    <row r="3732" spans="15:15">
      <c r="O3732" s="4288"/>
    </row>
    <row r="3733" spans="15:15">
      <c r="O3733" s="4288"/>
    </row>
    <row r="3734" spans="15:15">
      <c r="O3734" s="4288"/>
    </row>
    <row r="3735" spans="15:15">
      <c r="O3735" s="4288"/>
    </row>
    <row r="3736" spans="15:15">
      <c r="O3736" s="4288"/>
    </row>
    <row r="3737" spans="15:15">
      <c r="O3737" s="4288"/>
    </row>
    <row r="3738" spans="15:15">
      <c r="O3738" s="4288"/>
    </row>
    <row r="3739" spans="15:15">
      <c r="O3739" s="4288"/>
    </row>
    <row r="3740" spans="15:15">
      <c r="O3740" s="4288"/>
    </row>
    <row r="3741" spans="15:15">
      <c r="O3741" s="4288"/>
    </row>
    <row r="3742" spans="15:15">
      <c r="O3742" s="4288"/>
    </row>
    <row r="3743" spans="15:15">
      <c r="O3743" s="4288"/>
    </row>
    <row r="3744" spans="15:15">
      <c r="O3744" s="4288"/>
    </row>
    <row r="3745" spans="15:15">
      <c r="O3745" s="4288"/>
    </row>
    <row r="3746" spans="15:15">
      <c r="O3746" s="4288"/>
    </row>
    <row r="3747" spans="15:15">
      <c r="O3747" s="4288"/>
    </row>
    <row r="3748" spans="15:15">
      <c r="O3748" s="4288"/>
    </row>
    <row r="3749" spans="15:15">
      <c r="O3749" s="4288"/>
    </row>
    <row r="3750" spans="15:15">
      <c r="O3750" s="4288"/>
    </row>
    <row r="3751" spans="15:15">
      <c r="O3751" s="4288"/>
    </row>
    <row r="3752" spans="15:15">
      <c r="O3752" s="4288"/>
    </row>
    <row r="3753" spans="15:15">
      <c r="O3753" s="4288"/>
    </row>
    <row r="3754" spans="15:15">
      <c r="O3754" s="4288"/>
    </row>
    <row r="3755" spans="15:15">
      <c r="O3755" s="4288"/>
    </row>
    <row r="3756" spans="15:15">
      <c r="O3756" s="4288"/>
    </row>
    <row r="3757" spans="15:15">
      <c r="O3757" s="4288"/>
    </row>
    <row r="3758" spans="15:15">
      <c r="O3758" s="4288"/>
    </row>
    <row r="3759" spans="15:15">
      <c r="O3759" s="4288"/>
    </row>
    <row r="3760" spans="15:15">
      <c r="O3760" s="4288"/>
    </row>
    <row r="3761" spans="15:15">
      <c r="O3761" s="4288"/>
    </row>
    <row r="3762" spans="15:15">
      <c r="O3762" s="4288"/>
    </row>
    <row r="3763" spans="15:15">
      <c r="O3763" s="4288"/>
    </row>
    <row r="3764" spans="15:15">
      <c r="O3764" s="4288"/>
    </row>
    <row r="3765" spans="15:15">
      <c r="O3765" s="4288"/>
    </row>
    <row r="3766" spans="15:15">
      <c r="O3766" s="4288"/>
    </row>
    <row r="3767" spans="15:15">
      <c r="O3767" s="4288"/>
    </row>
    <row r="3768" spans="15:15">
      <c r="O3768" s="4288"/>
    </row>
    <row r="3769" spans="15:15">
      <c r="O3769" s="4288"/>
    </row>
    <row r="3770" spans="15:15">
      <c r="O3770" s="4288"/>
    </row>
    <row r="3771" spans="15:15">
      <c r="O3771" s="4288"/>
    </row>
    <row r="3772" spans="15:15">
      <c r="O3772" s="4288"/>
    </row>
    <row r="3773" spans="15:15">
      <c r="O3773" s="4288"/>
    </row>
    <row r="3774" spans="15:15">
      <c r="O3774" s="4288"/>
    </row>
    <row r="3775" spans="15:15">
      <c r="O3775" s="4288"/>
    </row>
    <row r="3776" spans="15:15">
      <c r="O3776" s="4288"/>
    </row>
    <row r="3777" spans="15:15">
      <c r="O3777" s="4288"/>
    </row>
    <row r="3778" spans="15:15">
      <c r="O3778" s="4288"/>
    </row>
    <row r="3779" spans="15:15">
      <c r="O3779" s="4288"/>
    </row>
    <row r="3780" spans="15:15">
      <c r="O3780" s="4288"/>
    </row>
    <row r="3781" spans="15:15">
      <c r="O3781" s="4288"/>
    </row>
    <row r="3782" spans="15:15">
      <c r="O3782" s="4288"/>
    </row>
    <row r="3783" spans="15:15">
      <c r="O3783" s="4288"/>
    </row>
    <row r="3784" spans="15:15">
      <c r="O3784" s="4288"/>
    </row>
    <row r="3785" spans="15:15">
      <c r="O3785" s="4288"/>
    </row>
    <row r="3786" spans="15:15">
      <c r="O3786" s="4288"/>
    </row>
    <row r="3787" spans="15:15">
      <c r="O3787" s="4288"/>
    </row>
    <row r="3788" spans="15:15">
      <c r="O3788" s="4288"/>
    </row>
    <row r="3789" spans="15:15">
      <c r="O3789" s="4288"/>
    </row>
    <row r="3790" spans="15:15">
      <c r="O3790" s="4288"/>
    </row>
    <row r="3791" spans="15:15">
      <c r="O3791" s="4288"/>
    </row>
    <row r="3792" spans="15:15">
      <c r="O3792" s="4288"/>
    </row>
    <row r="3793" spans="15:15">
      <c r="O3793" s="4288"/>
    </row>
    <row r="3794" spans="15:15">
      <c r="O3794" s="4288"/>
    </row>
    <row r="3795" spans="15:15">
      <c r="O3795" s="4288"/>
    </row>
    <row r="3796" spans="15:15">
      <c r="O3796" s="4288"/>
    </row>
    <row r="3797" spans="15:15">
      <c r="O3797" s="4288"/>
    </row>
    <row r="3798" spans="15:15">
      <c r="O3798" s="4288"/>
    </row>
    <row r="3799" spans="15:15">
      <c r="O3799" s="4288"/>
    </row>
    <row r="3800" spans="15:15">
      <c r="O3800" s="4288"/>
    </row>
    <row r="3801" spans="15:15">
      <c r="O3801" s="4288"/>
    </row>
    <row r="3802" spans="15:15">
      <c r="O3802" s="4288"/>
    </row>
    <row r="3803" spans="15:15">
      <c r="O3803" s="4288"/>
    </row>
    <row r="3804" spans="15:15">
      <c r="O3804" s="4288"/>
    </row>
    <row r="3805" spans="15:15">
      <c r="O3805" s="4288"/>
    </row>
    <row r="3806" spans="15:15">
      <c r="O3806" s="4288"/>
    </row>
    <row r="3807" spans="15:15">
      <c r="O3807" s="4288"/>
    </row>
    <row r="3808" spans="15:15">
      <c r="O3808" s="4288"/>
    </row>
    <row r="3809" spans="15:15">
      <c r="O3809" s="4288"/>
    </row>
    <row r="3810" spans="15:15">
      <c r="O3810" s="4288"/>
    </row>
    <row r="3811" spans="15:15">
      <c r="O3811" s="4288"/>
    </row>
    <row r="3812" spans="15:15">
      <c r="O3812" s="4288"/>
    </row>
    <row r="3813" spans="15:15">
      <c r="O3813" s="4288"/>
    </row>
    <row r="3814" spans="15:15">
      <c r="O3814" s="4288"/>
    </row>
    <row r="3815" spans="15:15">
      <c r="O3815" s="4288"/>
    </row>
    <row r="3816" spans="15:15">
      <c r="O3816" s="4288"/>
    </row>
    <row r="3817" spans="15:15">
      <c r="O3817" s="4288"/>
    </row>
    <row r="3818" spans="15:15">
      <c r="O3818" s="4288"/>
    </row>
    <row r="3819" spans="15:15">
      <c r="O3819" s="4288"/>
    </row>
    <row r="3820" spans="15:15">
      <c r="O3820" s="4288"/>
    </row>
    <row r="3821" spans="15:15">
      <c r="O3821" s="4288"/>
    </row>
    <row r="3822" spans="15:15">
      <c r="O3822" s="4288"/>
    </row>
    <row r="3823" spans="15:15">
      <c r="O3823" s="4288"/>
    </row>
    <row r="3824" spans="15:15">
      <c r="O3824" s="4288"/>
    </row>
    <row r="3825" spans="15:15">
      <c r="O3825" s="4288"/>
    </row>
    <row r="3826" spans="15:15">
      <c r="O3826" s="4288"/>
    </row>
    <row r="3827" spans="15:15">
      <c r="O3827" s="4288"/>
    </row>
    <row r="3828" spans="15:15">
      <c r="O3828" s="4288"/>
    </row>
    <row r="3829" spans="15:15">
      <c r="O3829" s="4288"/>
    </row>
    <row r="3830" spans="15:15">
      <c r="O3830" s="4288"/>
    </row>
    <row r="3831" spans="15:15">
      <c r="O3831" s="4288"/>
    </row>
    <row r="3832" spans="15:15">
      <c r="O3832" s="4288"/>
    </row>
    <row r="3833" spans="15:15">
      <c r="O3833" s="4288"/>
    </row>
    <row r="3834" spans="15:15">
      <c r="O3834" s="4288"/>
    </row>
    <row r="3835" spans="15:15">
      <c r="O3835" s="4288"/>
    </row>
    <row r="3836" spans="15:15">
      <c r="O3836" s="4288"/>
    </row>
    <row r="3837" spans="15:15">
      <c r="O3837" s="4288"/>
    </row>
    <row r="3838" spans="15:15">
      <c r="O3838" s="4288"/>
    </row>
    <row r="3839" spans="15:15">
      <c r="O3839" s="4288"/>
    </row>
    <row r="3840" spans="15:15">
      <c r="O3840" s="4288"/>
    </row>
    <row r="3841" spans="15:15">
      <c r="O3841" s="4288"/>
    </row>
    <row r="3842" spans="15:15">
      <c r="O3842" s="4288"/>
    </row>
    <row r="3843" spans="15:15">
      <c r="O3843" s="4288"/>
    </row>
    <row r="3844" spans="15:15">
      <c r="O3844" s="4288"/>
    </row>
    <row r="3845" spans="15:15">
      <c r="O3845" s="4288"/>
    </row>
    <row r="3846" spans="15:15">
      <c r="O3846" s="4288"/>
    </row>
    <row r="3847" spans="15:15">
      <c r="O3847" s="4288"/>
    </row>
    <row r="3848" spans="15:15">
      <c r="O3848" s="4288"/>
    </row>
    <row r="3849" spans="15:15">
      <c r="O3849" s="4288"/>
    </row>
    <row r="3850" spans="15:15">
      <c r="O3850" s="4288"/>
    </row>
    <row r="3851" spans="15:15">
      <c r="O3851" s="4288"/>
    </row>
    <row r="3852" spans="15:15">
      <c r="O3852" s="4288"/>
    </row>
    <row r="3853" spans="15:15">
      <c r="O3853" s="4288"/>
    </row>
    <row r="3854" spans="15:15">
      <c r="O3854" s="4288"/>
    </row>
    <row r="3855" spans="15:15">
      <c r="O3855" s="4288"/>
    </row>
    <row r="3856" spans="15:15">
      <c r="O3856" s="4288"/>
    </row>
    <row r="3857" spans="15:15">
      <c r="O3857" s="4288"/>
    </row>
    <row r="3858" spans="15:15">
      <c r="O3858" s="4288"/>
    </row>
    <row r="3859" spans="15:15">
      <c r="O3859" s="4288"/>
    </row>
    <row r="3860" spans="15:15">
      <c r="O3860" s="4288"/>
    </row>
    <row r="3861" spans="15:15">
      <c r="O3861" s="4288"/>
    </row>
    <row r="3862" spans="15:15">
      <c r="O3862" s="4288"/>
    </row>
    <row r="3863" spans="15:15">
      <c r="O3863" s="4288"/>
    </row>
    <row r="3864" spans="15:15">
      <c r="O3864" s="4288"/>
    </row>
    <row r="3865" spans="15:15">
      <c r="O3865" s="4288"/>
    </row>
    <row r="3866" spans="15:15">
      <c r="O3866" s="4288"/>
    </row>
    <row r="3867" spans="15:15">
      <c r="O3867" s="4288"/>
    </row>
    <row r="3868" spans="15:15">
      <c r="O3868" s="4288"/>
    </row>
    <row r="3869" spans="15:15">
      <c r="O3869" s="4288"/>
    </row>
    <row r="3870" spans="15:15">
      <c r="O3870" s="4288"/>
    </row>
    <row r="3871" spans="15:15">
      <c r="O3871" s="4288"/>
    </row>
    <row r="3872" spans="15:15">
      <c r="O3872" s="4288"/>
    </row>
    <row r="3873" spans="15:15">
      <c r="O3873" s="4288"/>
    </row>
    <row r="3874" spans="15:15">
      <c r="O3874" s="4288"/>
    </row>
    <row r="3875" spans="15:15">
      <c r="O3875" s="4288"/>
    </row>
    <row r="3876" spans="15:15">
      <c r="O3876" s="4288"/>
    </row>
    <row r="3877" spans="15:15">
      <c r="O3877" s="4288"/>
    </row>
    <row r="3878" spans="15:15">
      <c r="O3878" s="4288"/>
    </row>
    <row r="3879" spans="15:15">
      <c r="O3879" s="4288"/>
    </row>
    <row r="3880" spans="15:15">
      <c r="O3880" s="4288"/>
    </row>
    <row r="3881" spans="15:15">
      <c r="O3881" s="4288"/>
    </row>
    <row r="3882" spans="15:15">
      <c r="O3882" s="4288"/>
    </row>
    <row r="3883" spans="15:15">
      <c r="O3883" s="4288"/>
    </row>
    <row r="3884" spans="15:15">
      <c r="O3884" s="4288"/>
    </row>
    <row r="3885" spans="15:15">
      <c r="O3885" s="4288"/>
    </row>
    <row r="3886" spans="15:15">
      <c r="O3886" s="4288"/>
    </row>
    <row r="3887" spans="15:15">
      <c r="O3887" s="4288"/>
    </row>
    <row r="3888" spans="15:15">
      <c r="O3888" s="4288"/>
    </row>
    <row r="3889" spans="15:15">
      <c r="O3889" s="4288"/>
    </row>
    <row r="3890" spans="15:15">
      <c r="O3890" s="4288"/>
    </row>
    <row r="3891" spans="15:15">
      <c r="O3891" s="4288"/>
    </row>
    <row r="3892" spans="15:15">
      <c r="O3892" s="4288"/>
    </row>
    <row r="3893" spans="15:15">
      <c r="O3893" s="4288"/>
    </row>
    <row r="3894" spans="15:15">
      <c r="O3894" s="4288"/>
    </row>
    <row r="3895" spans="15:15">
      <c r="O3895" s="4288"/>
    </row>
    <row r="3896" spans="15:15">
      <c r="O3896" s="4288"/>
    </row>
    <row r="3897" spans="15:15">
      <c r="O3897" s="4288"/>
    </row>
    <row r="3898" spans="15:15">
      <c r="O3898" s="4288"/>
    </row>
    <row r="3899" spans="15:15">
      <c r="O3899" s="4288"/>
    </row>
    <row r="3900" spans="15:15">
      <c r="O3900" s="4288"/>
    </row>
    <row r="3901" spans="15:15">
      <c r="O3901" s="4288"/>
    </row>
    <row r="3902" spans="15:15">
      <c r="O3902" s="4288"/>
    </row>
    <row r="3903" spans="15:15">
      <c r="O3903" s="4288"/>
    </row>
    <row r="3904" spans="15:15">
      <c r="O3904" s="4288"/>
    </row>
    <row r="3905" spans="15:15">
      <c r="O3905" s="4288"/>
    </row>
    <row r="3906" spans="15:15">
      <c r="O3906" s="4288"/>
    </row>
    <row r="3907" spans="15:15">
      <c r="O3907" s="4288"/>
    </row>
    <row r="3908" spans="15:15">
      <c r="O3908" s="4288"/>
    </row>
    <row r="3909" spans="15:15">
      <c r="O3909" s="4288"/>
    </row>
    <row r="3910" spans="15:15">
      <c r="O3910" s="4288"/>
    </row>
    <row r="3911" spans="15:15">
      <c r="O3911" s="4288"/>
    </row>
    <row r="3912" spans="15:15">
      <c r="O3912" s="4288"/>
    </row>
    <row r="3913" spans="15:15">
      <c r="O3913" s="4288"/>
    </row>
    <row r="3914" spans="15:15">
      <c r="O3914" s="4288"/>
    </row>
    <row r="3915" spans="15:15">
      <c r="O3915" s="4288"/>
    </row>
    <row r="3916" spans="15:15">
      <c r="O3916" s="4288"/>
    </row>
    <row r="3917" spans="15:15">
      <c r="O3917" s="4288"/>
    </row>
    <row r="3918" spans="15:15">
      <c r="O3918" s="4288"/>
    </row>
    <row r="3919" spans="15:15">
      <c r="O3919" s="4288"/>
    </row>
    <row r="3920" spans="15:15">
      <c r="O3920" s="4288"/>
    </row>
    <row r="3921" spans="15:15">
      <c r="O3921" s="4288"/>
    </row>
    <row r="3922" spans="15:15">
      <c r="O3922" s="4288"/>
    </row>
    <row r="3923" spans="15:15">
      <c r="O3923" s="4288"/>
    </row>
    <row r="3924" spans="15:15">
      <c r="O3924" s="4288"/>
    </row>
    <row r="3925" spans="15:15">
      <c r="O3925" s="4288"/>
    </row>
    <row r="3926" spans="15:15">
      <c r="O3926" s="4288"/>
    </row>
    <row r="3927" spans="15:15">
      <c r="O3927" s="4288"/>
    </row>
    <row r="3928" spans="15:15">
      <c r="O3928" s="4288"/>
    </row>
    <row r="3929" spans="15:15">
      <c r="O3929" s="4288"/>
    </row>
    <row r="3930" spans="15:15">
      <c r="O3930" s="4288"/>
    </row>
    <row r="3931" spans="15:15">
      <c r="O3931" s="4288"/>
    </row>
    <row r="3932" spans="15:15">
      <c r="O3932" s="4288"/>
    </row>
    <row r="3933" spans="15:15">
      <c r="O3933" s="4288"/>
    </row>
    <row r="3934" spans="15:15">
      <c r="O3934" s="4288"/>
    </row>
    <row r="3935" spans="15:15">
      <c r="O3935" s="4288"/>
    </row>
    <row r="3936" spans="15:15">
      <c r="O3936" s="4288"/>
    </row>
    <row r="3937" spans="15:15">
      <c r="O3937" s="4288"/>
    </row>
    <row r="3938" spans="15:15">
      <c r="O3938" s="4288"/>
    </row>
    <row r="3939" spans="15:15">
      <c r="O3939" s="4288"/>
    </row>
    <row r="3940" spans="15:15">
      <c r="O3940" s="4288"/>
    </row>
    <row r="3941" spans="15:15">
      <c r="O3941" s="4288"/>
    </row>
    <row r="3942" spans="15:15">
      <c r="O3942" s="4288"/>
    </row>
    <row r="3943" spans="15:15">
      <c r="O3943" s="4288"/>
    </row>
    <row r="3944" spans="15:15">
      <c r="O3944" s="4288"/>
    </row>
    <row r="3945" spans="15:15">
      <c r="O3945" s="4288"/>
    </row>
    <row r="3946" spans="15:15">
      <c r="O3946" s="4288"/>
    </row>
    <row r="3947" spans="15:15">
      <c r="O3947" s="4288"/>
    </row>
    <row r="3948" spans="15:15">
      <c r="O3948" s="4288"/>
    </row>
    <row r="3949" spans="15:15">
      <c r="O3949" s="4288"/>
    </row>
    <row r="3950" spans="15:15">
      <c r="O3950" s="4288"/>
    </row>
    <row r="3951" spans="15:15">
      <c r="O3951" s="4288"/>
    </row>
    <row r="3952" spans="15:15">
      <c r="O3952" s="4288"/>
    </row>
    <row r="3953" spans="15:15">
      <c r="O3953" s="4288"/>
    </row>
    <row r="3954" spans="15:15">
      <c r="O3954" s="4288"/>
    </row>
    <row r="3955" spans="15:15">
      <c r="O3955" s="4288"/>
    </row>
    <row r="3956" spans="15:15">
      <c r="O3956" s="4288"/>
    </row>
    <row r="3957" spans="15:15">
      <c r="O3957" s="4288"/>
    </row>
    <row r="3958" spans="15:15">
      <c r="O3958" s="4288"/>
    </row>
    <row r="3959" spans="15:15">
      <c r="O3959" s="4288"/>
    </row>
    <row r="3960" spans="15:15">
      <c r="O3960" s="4288"/>
    </row>
    <row r="3961" spans="15:15">
      <c r="O3961" s="4288"/>
    </row>
    <row r="3962" spans="15:15">
      <c r="O3962" s="4288"/>
    </row>
    <row r="3963" spans="15:15">
      <c r="O3963" s="4288"/>
    </row>
    <row r="3964" spans="15:15">
      <c r="O3964" s="4288"/>
    </row>
    <row r="3965" spans="15:15">
      <c r="O3965" s="4288"/>
    </row>
    <row r="3966" spans="15:15">
      <c r="O3966" s="4288"/>
    </row>
    <row r="3967" spans="15:15">
      <c r="O3967" s="4288"/>
    </row>
    <row r="3968" spans="15:15">
      <c r="O3968" s="4288"/>
    </row>
    <row r="3969" spans="15:15">
      <c r="O3969" s="4288"/>
    </row>
    <row r="3970" spans="15:15">
      <c r="O3970" s="4288"/>
    </row>
    <row r="3971" spans="15:15">
      <c r="O3971" s="4288"/>
    </row>
    <row r="3972" spans="15:15">
      <c r="O3972" s="4288"/>
    </row>
    <row r="3973" spans="15:15">
      <c r="O3973" s="4288"/>
    </row>
    <row r="3974" spans="15:15">
      <c r="O3974" s="4288"/>
    </row>
    <row r="3975" spans="15:15">
      <c r="O3975" s="4288"/>
    </row>
    <row r="3976" spans="15:15">
      <c r="O3976" s="4288"/>
    </row>
    <row r="3977" spans="15:15">
      <c r="O3977" s="4288"/>
    </row>
    <row r="3978" spans="15:15">
      <c r="O3978" s="4288"/>
    </row>
    <row r="3979" spans="15:15">
      <c r="O3979" s="4288"/>
    </row>
    <row r="3980" spans="15:15">
      <c r="O3980" s="4288"/>
    </row>
    <row r="3981" spans="15:15">
      <c r="O3981" s="4288"/>
    </row>
    <row r="3982" spans="15:15">
      <c r="O3982" s="4288"/>
    </row>
    <row r="3983" spans="15:15">
      <c r="O3983" s="4288"/>
    </row>
    <row r="3984" spans="15:15">
      <c r="O3984" s="4288"/>
    </row>
    <row r="3985" spans="15:15">
      <c r="O3985" s="4288"/>
    </row>
    <row r="3986" spans="15:15">
      <c r="O3986" s="4288"/>
    </row>
    <row r="3987" spans="15:15">
      <c r="O3987" s="4288"/>
    </row>
    <row r="3988" spans="15:15">
      <c r="O3988" s="4288"/>
    </row>
    <row r="3989" spans="15:15">
      <c r="O3989" s="4288"/>
    </row>
    <row r="3990" spans="15:15">
      <c r="O3990" s="4288"/>
    </row>
    <row r="3991" spans="15:15">
      <c r="O3991" s="4288"/>
    </row>
    <row r="3992" spans="15:15">
      <c r="O3992" s="4288"/>
    </row>
    <row r="3993" spans="15:15">
      <c r="O3993" s="4288"/>
    </row>
    <row r="3994" spans="15:15">
      <c r="O3994" s="4288"/>
    </row>
    <row r="3995" spans="15:15">
      <c r="O3995" s="4288"/>
    </row>
    <row r="3996" spans="15:15">
      <c r="O3996" s="4288"/>
    </row>
    <row r="3997" spans="15:15">
      <c r="O3997" s="4288"/>
    </row>
    <row r="3998" spans="15:15">
      <c r="O3998" s="4288"/>
    </row>
    <row r="3999" spans="15:15">
      <c r="O3999" s="4288"/>
    </row>
    <row r="4000" spans="15:15">
      <c r="O4000" s="4288"/>
    </row>
    <row r="4001" spans="15:15">
      <c r="O4001" s="4288"/>
    </row>
    <row r="4002" spans="15:15">
      <c r="O4002" s="4288"/>
    </row>
    <row r="4003" spans="15:15">
      <c r="O4003" s="4288"/>
    </row>
    <row r="4004" spans="15:15">
      <c r="O4004" s="4288"/>
    </row>
    <row r="4005" spans="15:15">
      <c r="O4005" s="4288"/>
    </row>
    <row r="4006" spans="15:15">
      <c r="O4006" s="4288"/>
    </row>
    <row r="4007" spans="15:15">
      <c r="O4007" s="4288"/>
    </row>
    <row r="4008" spans="15:15">
      <c r="O4008" s="4288"/>
    </row>
    <row r="4009" spans="15:15">
      <c r="O4009" s="4288"/>
    </row>
    <row r="4010" spans="15:15">
      <c r="O4010" s="4288"/>
    </row>
    <row r="4011" spans="15:15">
      <c r="O4011" s="4288"/>
    </row>
    <row r="4012" spans="15:15">
      <c r="O4012" s="4288"/>
    </row>
    <row r="4013" spans="15:15">
      <c r="O4013" s="4288"/>
    </row>
    <row r="4014" spans="15:15">
      <c r="O4014" s="4288"/>
    </row>
    <row r="4015" spans="15:15">
      <c r="O4015" s="4288"/>
    </row>
    <row r="4016" spans="15:15">
      <c r="O4016" s="4288"/>
    </row>
    <row r="4017" spans="15:15">
      <c r="O4017" s="4288"/>
    </row>
    <row r="4018" spans="15:15">
      <c r="O4018" s="4288"/>
    </row>
    <row r="4019" spans="15:15">
      <c r="O4019" s="4288"/>
    </row>
    <row r="4020" spans="15:15">
      <c r="O4020" s="4288"/>
    </row>
    <row r="4021" spans="15:15">
      <c r="O4021" s="4288"/>
    </row>
    <row r="4022" spans="15:15">
      <c r="O4022" s="4288"/>
    </row>
    <row r="4023" spans="15:15">
      <c r="O4023" s="4288"/>
    </row>
    <row r="4024" spans="15:15">
      <c r="O4024" s="4288"/>
    </row>
    <row r="4025" spans="15:15">
      <c r="O4025" s="4288"/>
    </row>
    <row r="4026" spans="15:15">
      <c r="O4026" s="4288"/>
    </row>
    <row r="4027" spans="15:15">
      <c r="O4027" s="4288"/>
    </row>
    <row r="4028" spans="15:15">
      <c r="O4028" s="4288"/>
    </row>
    <row r="4029" spans="15:15">
      <c r="O4029" s="4288"/>
    </row>
    <row r="4030" spans="15:15">
      <c r="O4030" s="4288"/>
    </row>
    <row r="4031" spans="15:15">
      <c r="O4031" s="4288"/>
    </row>
    <row r="4032" spans="15:15">
      <c r="O4032" s="4288"/>
    </row>
    <row r="4033" spans="15:15">
      <c r="O4033" s="4288"/>
    </row>
    <row r="4034" spans="15:15">
      <c r="O4034" s="4288"/>
    </row>
    <row r="4035" spans="15:15">
      <c r="O4035" s="4288"/>
    </row>
    <row r="4036" spans="15:15">
      <c r="O4036" s="4288"/>
    </row>
    <row r="4037" spans="15:15">
      <c r="O4037" s="4288"/>
    </row>
    <row r="4038" spans="15:15">
      <c r="O4038" s="4288"/>
    </row>
    <row r="4039" spans="15:15">
      <c r="O4039" s="4288"/>
    </row>
    <row r="4040" spans="15:15">
      <c r="O4040" s="4288"/>
    </row>
    <row r="4041" spans="15:15">
      <c r="O4041" s="4288"/>
    </row>
    <row r="4042" spans="15:15">
      <c r="O4042" s="4288"/>
    </row>
    <row r="4043" spans="15:15">
      <c r="O4043" s="4288"/>
    </row>
    <row r="4044" spans="15:15">
      <c r="O4044" s="4288"/>
    </row>
    <row r="4045" spans="15:15">
      <c r="O4045" s="4288"/>
    </row>
    <row r="4046" spans="15:15">
      <c r="O4046" s="4288"/>
    </row>
    <row r="4047" spans="15:15">
      <c r="O4047" s="4288"/>
    </row>
    <row r="4048" spans="15:15">
      <c r="O4048" s="4288"/>
    </row>
    <row r="4049" spans="15:15">
      <c r="O4049" s="4288"/>
    </row>
    <row r="4050" spans="15:15">
      <c r="O4050" s="4288"/>
    </row>
    <row r="4051" spans="15:15">
      <c r="O4051" s="4288"/>
    </row>
    <row r="4052" spans="15:15">
      <c r="O4052" s="4288"/>
    </row>
    <row r="4053" spans="15:15">
      <c r="O4053" s="4288"/>
    </row>
    <row r="4054" spans="15:15">
      <c r="O4054" s="4288"/>
    </row>
    <row r="4055" spans="15:15">
      <c r="O4055" s="4288"/>
    </row>
    <row r="4056" spans="15:15">
      <c r="O4056" s="4288"/>
    </row>
    <row r="4057" spans="15:15">
      <c r="O4057" s="4288"/>
    </row>
    <row r="4058" spans="15:15">
      <c r="O4058" s="4288"/>
    </row>
    <row r="4059" spans="15:15">
      <c r="O4059" s="4288"/>
    </row>
    <row r="4060" spans="15:15">
      <c r="O4060" s="4288"/>
    </row>
    <row r="4061" spans="15:15">
      <c r="O4061" s="4288"/>
    </row>
    <row r="4062" spans="15:15">
      <c r="O4062" s="4288"/>
    </row>
    <row r="4063" spans="15:15">
      <c r="O4063" s="4288"/>
    </row>
    <row r="4064" spans="15:15">
      <c r="O4064" s="4288"/>
    </row>
    <row r="4065" spans="15:15">
      <c r="O4065" s="4288"/>
    </row>
    <row r="4066" spans="15:15">
      <c r="O4066" s="4288"/>
    </row>
    <row r="4067" spans="15:15">
      <c r="O4067" s="4288"/>
    </row>
    <row r="4068" spans="15:15">
      <c r="O4068" s="4288"/>
    </row>
    <row r="4069" spans="15:15">
      <c r="O4069" s="4288"/>
    </row>
    <row r="4070" spans="15:15">
      <c r="O4070" s="4288"/>
    </row>
    <row r="4071" spans="15:15">
      <c r="O4071" s="4288"/>
    </row>
    <row r="4072" spans="15:15">
      <c r="O4072" s="4288"/>
    </row>
    <row r="4073" spans="15:15">
      <c r="O4073" s="4288"/>
    </row>
    <row r="4074" spans="15:15">
      <c r="O4074" s="4288"/>
    </row>
    <row r="4075" spans="15:15">
      <c r="O4075" s="4288"/>
    </row>
    <row r="4076" spans="15:15">
      <c r="O4076" s="4288"/>
    </row>
    <row r="4077" spans="15:15">
      <c r="O4077" s="4288"/>
    </row>
    <row r="4078" spans="15:15">
      <c r="O4078" s="4288"/>
    </row>
    <row r="4079" spans="15:15">
      <c r="O4079" s="4288"/>
    </row>
    <row r="4080" spans="15:15">
      <c r="O4080" s="4288"/>
    </row>
    <row r="4081" spans="15:15">
      <c r="O4081" s="4288"/>
    </row>
    <row r="4082" spans="15:15">
      <c r="O4082" s="4288"/>
    </row>
    <row r="4083" spans="15:15">
      <c r="O4083" s="4288"/>
    </row>
    <row r="4084" spans="15:15">
      <c r="O4084" s="4288"/>
    </row>
    <row r="4085" spans="15:15">
      <c r="O4085" s="4288"/>
    </row>
    <row r="4086" spans="15:15">
      <c r="O4086" s="4288"/>
    </row>
    <row r="4087" spans="15:15">
      <c r="O4087" s="4288"/>
    </row>
    <row r="4088" spans="15:15">
      <c r="O4088" s="4288"/>
    </row>
    <row r="4089" spans="15:15">
      <c r="O4089" s="4288"/>
    </row>
    <row r="4090" spans="15:15">
      <c r="O4090" s="4288"/>
    </row>
    <row r="4091" spans="15:15">
      <c r="O4091" s="4288"/>
    </row>
    <row r="4092" spans="15:15">
      <c r="O4092" s="4288"/>
    </row>
    <row r="4093" spans="15:15">
      <c r="O4093" s="4288"/>
    </row>
    <row r="4094" spans="15:15">
      <c r="O4094" s="4288"/>
    </row>
    <row r="4095" spans="15:15">
      <c r="O4095" s="4288"/>
    </row>
    <row r="4096" spans="15:15">
      <c r="O4096" s="4288"/>
    </row>
    <row r="4097" spans="15:15">
      <c r="O4097" s="4288"/>
    </row>
    <row r="4098" spans="15:15">
      <c r="O4098" s="4288"/>
    </row>
    <row r="4099" spans="15:15">
      <c r="O4099" s="4288"/>
    </row>
    <row r="4100" spans="15:15">
      <c r="O4100" s="4288"/>
    </row>
    <row r="4101" spans="15:15">
      <c r="O4101" s="4288"/>
    </row>
    <row r="4102" spans="15:15">
      <c r="O4102" s="4288"/>
    </row>
    <row r="4103" spans="15:15">
      <c r="O4103" s="4288"/>
    </row>
    <row r="4104" spans="15:15">
      <c r="O4104" s="4288"/>
    </row>
    <row r="4105" spans="15:15">
      <c r="O4105" s="4288"/>
    </row>
    <row r="4106" spans="15:15">
      <c r="O4106" s="4288"/>
    </row>
    <row r="4107" spans="15:15">
      <c r="O4107" s="4288"/>
    </row>
    <row r="4108" spans="15:15">
      <c r="O4108" s="4288"/>
    </row>
    <row r="4109" spans="15:15">
      <c r="O4109" s="4288"/>
    </row>
    <row r="4110" spans="15:15">
      <c r="O4110" s="4288"/>
    </row>
    <row r="4111" spans="15:15">
      <c r="O4111" s="4288"/>
    </row>
    <row r="4112" spans="15:15">
      <c r="O4112" s="4288"/>
    </row>
    <row r="4113" spans="15:15">
      <c r="O4113" s="4288"/>
    </row>
    <row r="4114" spans="15:15">
      <c r="O4114" s="4288"/>
    </row>
    <row r="4115" spans="15:15">
      <c r="O4115" s="4288"/>
    </row>
    <row r="4116" spans="15:15">
      <c r="O4116" s="4288"/>
    </row>
    <row r="4117" spans="15:15">
      <c r="O4117" s="4288"/>
    </row>
    <row r="4118" spans="15:15">
      <c r="O4118" s="4288"/>
    </row>
    <row r="4119" spans="15:15">
      <c r="O4119" s="4288"/>
    </row>
    <row r="4120" spans="15:15">
      <c r="O4120" s="4288"/>
    </row>
    <row r="4121" spans="15:15">
      <c r="O4121" s="4288"/>
    </row>
    <row r="4122" spans="15:15">
      <c r="O4122" s="4288"/>
    </row>
    <row r="4123" spans="15:15">
      <c r="O4123" s="4288"/>
    </row>
    <row r="4124" spans="15:15">
      <c r="O4124" s="4288"/>
    </row>
    <row r="4125" spans="15:15">
      <c r="O4125" s="4288"/>
    </row>
    <row r="4126" spans="15:15">
      <c r="O4126" s="4288"/>
    </row>
    <row r="4127" spans="15:15">
      <c r="O4127" s="4288"/>
    </row>
    <row r="4128" spans="15:15">
      <c r="O4128" s="4288"/>
    </row>
    <row r="4129" spans="15:15">
      <c r="O4129" s="4288"/>
    </row>
    <row r="4130" spans="15:15">
      <c r="O4130" s="4288"/>
    </row>
    <row r="4131" spans="15:15">
      <c r="O4131" s="4288"/>
    </row>
    <row r="4132" spans="15:15">
      <c r="O4132" s="4288"/>
    </row>
    <row r="4133" spans="15:15">
      <c r="O4133" s="4288"/>
    </row>
    <row r="4134" spans="15:15">
      <c r="O4134" s="4288"/>
    </row>
    <row r="4135" spans="15:15">
      <c r="O4135" s="4288"/>
    </row>
    <row r="4136" spans="15:15">
      <c r="O4136" s="4288"/>
    </row>
    <row r="4137" spans="15:15">
      <c r="O4137" s="4288"/>
    </row>
    <row r="4138" spans="15:15">
      <c r="O4138" s="4288"/>
    </row>
    <row r="4139" spans="15:15">
      <c r="O4139" s="4288"/>
    </row>
    <row r="4140" spans="15:15">
      <c r="O4140" s="4288"/>
    </row>
    <row r="4141" spans="15:15">
      <c r="O4141" s="4288"/>
    </row>
    <row r="4142" spans="15:15">
      <c r="O4142" s="4288"/>
    </row>
    <row r="4143" spans="15:15">
      <c r="O4143" s="4288"/>
    </row>
    <row r="4144" spans="15:15">
      <c r="O4144" s="4288"/>
    </row>
    <row r="4145" spans="15:15">
      <c r="O4145" s="4288"/>
    </row>
    <row r="4146" spans="15:15">
      <c r="O4146" s="4288"/>
    </row>
    <row r="4147" spans="15:15">
      <c r="O4147" s="4288"/>
    </row>
    <row r="4148" spans="15:15">
      <c r="O4148" s="4288"/>
    </row>
    <row r="4149" spans="15:15">
      <c r="O4149" s="4288"/>
    </row>
    <row r="4150" spans="15:15">
      <c r="O4150" s="4288"/>
    </row>
    <row r="4151" spans="15:15">
      <c r="O4151" s="4288"/>
    </row>
    <row r="4152" spans="15:15">
      <c r="O4152" s="4288"/>
    </row>
    <row r="4153" spans="15:15">
      <c r="O4153" s="4288"/>
    </row>
    <row r="4154" spans="15:15">
      <c r="O4154" s="4288"/>
    </row>
    <row r="4155" spans="15:15">
      <c r="O4155" s="4288"/>
    </row>
    <row r="4156" spans="15:15">
      <c r="O4156" s="4288"/>
    </row>
    <row r="4157" spans="15:15">
      <c r="O4157" s="4288"/>
    </row>
    <row r="4158" spans="15:15">
      <c r="O4158" s="4288"/>
    </row>
    <row r="4159" spans="15:15">
      <c r="O4159" s="4288"/>
    </row>
    <row r="4160" spans="15:15">
      <c r="O4160" s="4288"/>
    </row>
    <row r="4161" spans="15:15">
      <c r="O4161" s="4288"/>
    </row>
    <row r="4162" spans="15:15">
      <c r="O4162" s="4288"/>
    </row>
    <row r="4163" spans="15:15">
      <c r="O4163" s="4288"/>
    </row>
    <row r="4164" spans="15:15">
      <c r="O4164" s="4288"/>
    </row>
    <row r="4165" spans="15:15">
      <c r="O4165" s="4288"/>
    </row>
    <row r="4166" spans="15:15">
      <c r="O4166" s="4288"/>
    </row>
    <row r="4167" spans="15:15">
      <c r="O4167" s="4288"/>
    </row>
    <row r="4168" spans="15:15">
      <c r="O4168" s="4288"/>
    </row>
    <row r="4169" spans="15:15">
      <c r="O4169" s="4288"/>
    </row>
    <row r="4170" spans="15:15">
      <c r="O4170" s="4288"/>
    </row>
    <row r="4171" spans="15:15">
      <c r="O4171" s="4288"/>
    </row>
    <row r="4172" spans="15:15">
      <c r="O4172" s="4288"/>
    </row>
    <row r="4173" spans="15:15">
      <c r="O4173" s="4288"/>
    </row>
    <row r="4174" spans="15:15">
      <c r="O4174" s="4288"/>
    </row>
    <row r="4175" spans="15:15">
      <c r="O4175" s="4288"/>
    </row>
    <row r="4176" spans="15:15">
      <c r="O4176" s="4288"/>
    </row>
    <row r="4177" spans="15:15">
      <c r="O4177" s="4288"/>
    </row>
    <row r="4178" spans="15:15">
      <c r="O4178" s="4288"/>
    </row>
    <row r="4179" spans="15:15">
      <c r="O4179" s="4288"/>
    </row>
    <row r="4180" spans="15:15">
      <c r="O4180" s="4288"/>
    </row>
    <row r="4181" spans="15:15">
      <c r="O4181" s="4288"/>
    </row>
    <row r="4182" spans="15:15">
      <c r="O4182" s="4288"/>
    </row>
    <row r="4183" spans="15:15">
      <c r="O4183" s="4288"/>
    </row>
    <row r="4184" spans="15:15">
      <c r="O4184" s="4288"/>
    </row>
    <row r="4185" spans="15:15">
      <c r="O4185" s="4288"/>
    </row>
    <row r="4186" spans="15:15">
      <c r="O4186" s="4288"/>
    </row>
    <row r="4187" spans="15:15">
      <c r="O4187" s="4288"/>
    </row>
    <row r="4188" spans="15:15">
      <c r="O4188" s="4288"/>
    </row>
    <row r="4189" spans="15:15">
      <c r="O4189" s="4288"/>
    </row>
    <row r="4190" spans="15:15">
      <c r="O4190" s="4288"/>
    </row>
    <row r="4191" spans="15:15">
      <c r="O4191" s="4288"/>
    </row>
    <row r="4192" spans="15:15">
      <c r="O4192" s="4288"/>
    </row>
    <row r="4193" spans="15:15">
      <c r="O4193" s="4288"/>
    </row>
    <row r="4194" spans="15:15">
      <c r="O4194" s="4288"/>
    </row>
    <row r="4195" spans="15:15">
      <c r="O4195" s="4288"/>
    </row>
    <row r="4196" spans="15:15">
      <c r="O4196" s="4288"/>
    </row>
    <row r="4197" spans="15:15">
      <c r="O4197" s="4288"/>
    </row>
    <row r="4198" spans="15:15">
      <c r="O4198" s="4288"/>
    </row>
    <row r="4199" spans="15:15">
      <c r="O4199" s="4288"/>
    </row>
    <row r="4200" spans="15:15">
      <c r="O4200" s="4288"/>
    </row>
    <row r="4201" spans="15:15">
      <c r="O4201" s="4288"/>
    </row>
    <row r="4202" spans="15:15">
      <c r="O4202" s="4288"/>
    </row>
    <row r="4203" spans="15:15">
      <c r="O4203" s="4288"/>
    </row>
    <row r="4204" spans="15:15">
      <c r="O4204" s="4288"/>
    </row>
    <row r="4205" spans="15:15">
      <c r="O4205" s="4288"/>
    </row>
    <row r="4206" spans="15:15">
      <c r="O4206" s="4288"/>
    </row>
    <row r="4207" spans="15:15">
      <c r="O4207" s="4288"/>
    </row>
    <row r="4208" spans="15:15">
      <c r="O4208" s="4288"/>
    </row>
    <row r="4209" spans="15:15">
      <c r="O4209" s="4288"/>
    </row>
    <row r="4210" spans="15:15">
      <c r="O4210" s="4288"/>
    </row>
    <row r="4211" spans="15:15">
      <c r="O4211" s="4288"/>
    </row>
    <row r="4212" spans="15:15">
      <c r="O4212" s="4288"/>
    </row>
    <row r="4213" spans="15:15">
      <c r="O4213" s="4288"/>
    </row>
    <row r="4214" spans="15:15">
      <c r="O4214" s="4288"/>
    </row>
    <row r="4215" spans="15:15">
      <c r="O4215" s="4288"/>
    </row>
    <row r="4216" spans="15:15">
      <c r="O4216" s="4288"/>
    </row>
    <row r="4217" spans="15:15">
      <c r="O4217" s="4288"/>
    </row>
    <row r="4218" spans="15:15">
      <c r="O4218" s="4288"/>
    </row>
    <row r="4219" spans="15:15">
      <c r="O4219" s="4288"/>
    </row>
    <row r="4220" spans="15:15">
      <c r="O4220" s="4288"/>
    </row>
    <row r="4221" spans="15:15">
      <c r="O4221" s="4288"/>
    </row>
    <row r="4222" spans="15:15">
      <c r="O4222" s="4288"/>
    </row>
    <row r="4223" spans="15:15">
      <c r="O4223" s="4288"/>
    </row>
    <row r="4224" spans="15:15">
      <c r="O4224" s="4288"/>
    </row>
    <row r="4225" spans="15:15">
      <c r="O4225" s="4288"/>
    </row>
    <row r="4226" spans="15:15">
      <c r="O4226" s="4288"/>
    </row>
    <row r="4227" spans="15:15">
      <c r="O4227" s="4288"/>
    </row>
    <row r="4228" spans="15:15">
      <c r="O4228" s="4288"/>
    </row>
    <row r="4229" spans="15:15">
      <c r="O4229" s="4288"/>
    </row>
    <row r="4230" spans="15:15">
      <c r="O4230" s="4288"/>
    </row>
    <row r="4231" spans="15:15">
      <c r="O4231" s="4288"/>
    </row>
    <row r="4232" spans="15:15">
      <c r="O4232" s="4288"/>
    </row>
    <row r="4233" spans="15:15">
      <c r="O4233" s="4288"/>
    </row>
    <row r="4234" spans="15:15">
      <c r="O4234" s="4288"/>
    </row>
    <row r="4235" spans="15:15">
      <c r="O4235" s="4288"/>
    </row>
    <row r="4236" spans="15:15">
      <c r="O4236" s="4288"/>
    </row>
    <row r="4237" spans="15:15">
      <c r="O4237" s="4288"/>
    </row>
    <row r="4238" spans="15:15">
      <c r="O4238" s="4288"/>
    </row>
    <row r="4239" spans="15:15">
      <c r="O4239" s="4288"/>
    </row>
    <row r="4240" spans="15:15">
      <c r="O4240" s="4288"/>
    </row>
    <row r="4241" spans="15:15">
      <c r="O4241" s="4288"/>
    </row>
    <row r="4242" spans="15:15">
      <c r="O4242" s="4288"/>
    </row>
    <row r="4243" spans="15:15">
      <c r="O4243" s="4288"/>
    </row>
    <row r="4244" spans="15:15">
      <c r="O4244" s="4288"/>
    </row>
    <row r="4245" spans="15:15">
      <c r="O4245" s="4288"/>
    </row>
    <row r="4246" spans="15:15">
      <c r="O4246" s="4288"/>
    </row>
    <row r="4247" spans="15:15">
      <c r="O4247" s="4288"/>
    </row>
    <row r="4248" spans="15:15">
      <c r="O4248" s="4288"/>
    </row>
    <row r="4249" spans="15:15">
      <c r="O4249" s="4288"/>
    </row>
    <row r="4250" spans="15:15">
      <c r="O4250" s="4288"/>
    </row>
    <row r="4251" spans="15:15">
      <c r="O4251" s="4288"/>
    </row>
    <row r="4252" spans="15:15">
      <c r="O4252" s="4288"/>
    </row>
    <row r="4253" spans="15:15">
      <c r="O4253" s="4288"/>
    </row>
    <row r="4254" spans="15:15">
      <c r="O4254" s="4288"/>
    </row>
    <row r="4255" spans="15:15">
      <c r="O4255" s="4288"/>
    </row>
    <row r="4256" spans="15:15">
      <c r="O4256" s="4288"/>
    </row>
    <row r="4257" spans="15:15">
      <c r="O4257" s="4288"/>
    </row>
    <row r="4258" spans="15:15">
      <c r="O4258" s="4288"/>
    </row>
    <row r="4259" spans="15:15">
      <c r="O4259" s="4288"/>
    </row>
    <row r="4260" spans="15:15">
      <c r="O4260" s="4288"/>
    </row>
    <row r="4261" spans="15:15">
      <c r="O4261" s="4288"/>
    </row>
    <row r="4262" spans="15:15">
      <c r="O4262" s="4288"/>
    </row>
    <row r="4263" spans="15:15">
      <c r="O4263" s="4288"/>
    </row>
    <row r="4264" spans="15:15">
      <c r="O4264" s="4288"/>
    </row>
    <row r="4265" spans="15:15">
      <c r="O4265" s="4288"/>
    </row>
    <row r="4266" spans="15:15">
      <c r="O4266" s="4288"/>
    </row>
    <row r="4267" spans="15:15">
      <c r="O4267" s="4288"/>
    </row>
    <row r="4268" spans="15:15">
      <c r="O4268" s="4288"/>
    </row>
    <row r="4269" spans="15:15">
      <c r="O4269" s="4288"/>
    </row>
    <row r="4270" spans="15:15">
      <c r="O4270" s="4288"/>
    </row>
    <row r="4271" spans="15:15">
      <c r="O4271" s="4288"/>
    </row>
    <row r="4272" spans="15:15">
      <c r="O4272" s="4288"/>
    </row>
    <row r="4273" spans="15:15">
      <c r="O4273" s="4288"/>
    </row>
    <row r="4274" spans="15:15">
      <c r="O4274" s="4288"/>
    </row>
    <row r="4275" spans="15:15">
      <c r="O4275" s="4288"/>
    </row>
    <row r="4276" spans="15:15">
      <c r="O4276" s="4288"/>
    </row>
    <row r="4277" spans="15:15">
      <c r="O4277" s="4288"/>
    </row>
    <row r="4278" spans="15:15">
      <c r="O4278" s="4288"/>
    </row>
    <row r="4279" spans="15:15">
      <c r="O4279" s="4288"/>
    </row>
    <row r="4280" spans="15:15">
      <c r="O4280" s="4288"/>
    </row>
    <row r="4281" spans="15:15">
      <c r="O4281" s="4288"/>
    </row>
    <row r="4282" spans="15:15">
      <c r="O4282" s="4288"/>
    </row>
    <row r="4283" spans="15:15">
      <c r="O4283" s="4288"/>
    </row>
    <row r="4284" spans="15:15">
      <c r="O4284" s="4288"/>
    </row>
    <row r="4285" spans="15:15">
      <c r="O4285" s="4288"/>
    </row>
    <row r="4286" spans="15:15">
      <c r="O4286" s="4288"/>
    </row>
    <row r="4287" spans="15:15">
      <c r="O4287" s="4288"/>
    </row>
    <row r="4288" spans="15:15">
      <c r="O4288" s="4288"/>
    </row>
    <row r="4289" spans="15:15">
      <c r="O4289" s="4288"/>
    </row>
    <row r="4290" spans="15:15">
      <c r="O4290" s="4288"/>
    </row>
    <row r="4291" spans="15:15">
      <c r="O4291" s="4288"/>
    </row>
    <row r="4292" spans="15:15">
      <c r="O4292" s="4288"/>
    </row>
    <row r="4293" spans="15:15">
      <c r="O4293" s="4288"/>
    </row>
    <row r="4294" spans="15:15">
      <c r="O4294" s="4288"/>
    </row>
    <row r="4295" spans="15:15">
      <c r="O4295" s="4288"/>
    </row>
    <row r="4296" spans="15:15">
      <c r="O4296" s="4288"/>
    </row>
    <row r="4297" spans="15:15">
      <c r="O4297" s="4288"/>
    </row>
    <row r="4298" spans="15:15">
      <c r="O4298" s="4288"/>
    </row>
    <row r="4299" spans="15:15">
      <c r="O4299" s="4288"/>
    </row>
    <row r="4300" spans="15:15">
      <c r="O4300" s="4288"/>
    </row>
    <row r="4301" spans="15:15">
      <c r="O4301" s="4288"/>
    </row>
    <row r="4302" spans="15:15">
      <c r="O4302" s="4288"/>
    </row>
    <row r="4303" spans="15:15">
      <c r="O4303" s="4288"/>
    </row>
    <row r="4304" spans="15:15">
      <c r="O4304" s="4288"/>
    </row>
    <row r="4305" spans="15:15">
      <c r="O4305" s="4288"/>
    </row>
    <row r="4306" spans="15:15">
      <c r="O4306" s="4288"/>
    </row>
    <row r="4307" spans="15:15">
      <c r="O4307" s="4288"/>
    </row>
    <row r="4308" spans="15:15">
      <c r="O4308" s="4288"/>
    </row>
    <row r="4309" spans="15:15">
      <c r="O4309" s="4288"/>
    </row>
    <row r="4310" spans="15:15">
      <c r="O4310" s="4288"/>
    </row>
    <row r="4311" spans="15:15">
      <c r="O4311" s="4288"/>
    </row>
    <row r="4312" spans="15:15">
      <c r="O4312" s="4288"/>
    </row>
    <row r="4313" spans="15:15">
      <c r="O4313" s="4288"/>
    </row>
    <row r="4314" spans="15:15">
      <c r="O4314" s="4288"/>
    </row>
    <row r="4315" spans="15:15">
      <c r="O4315" s="4288"/>
    </row>
    <row r="4316" spans="15:15">
      <c r="O4316" s="4288"/>
    </row>
    <row r="4317" spans="15:15">
      <c r="O4317" s="4288"/>
    </row>
    <row r="4318" spans="15:15">
      <c r="O4318" s="4288"/>
    </row>
    <row r="4319" spans="15:15">
      <c r="O4319" s="4288"/>
    </row>
    <row r="4320" spans="15:15">
      <c r="O4320" s="4288"/>
    </row>
    <row r="4321" spans="15:15">
      <c r="O4321" s="4288"/>
    </row>
    <row r="4322" spans="15:15">
      <c r="O4322" s="4288"/>
    </row>
    <row r="4323" spans="15:15">
      <c r="O4323" s="4288"/>
    </row>
    <row r="4324" spans="15:15">
      <c r="O4324" s="4288"/>
    </row>
    <row r="4325" spans="15:15">
      <c r="O4325" s="4288"/>
    </row>
    <row r="4326" spans="15:15">
      <c r="O4326" s="4288"/>
    </row>
    <row r="4327" spans="15:15">
      <c r="O4327" s="4288"/>
    </row>
    <row r="4328" spans="15:15">
      <c r="O4328" s="4288"/>
    </row>
    <row r="4329" spans="15:15">
      <c r="O4329" s="4288"/>
    </row>
    <row r="4330" spans="15:15">
      <c r="O4330" s="4288"/>
    </row>
    <row r="4331" spans="15:15">
      <c r="O4331" s="4288"/>
    </row>
    <row r="4332" spans="15:15">
      <c r="O4332" s="4288"/>
    </row>
    <row r="4333" spans="15:15">
      <c r="O4333" s="4288"/>
    </row>
    <row r="4334" spans="15:15">
      <c r="O4334" s="4288"/>
    </row>
    <row r="4335" spans="15:15">
      <c r="O4335" s="4288"/>
    </row>
    <row r="4336" spans="15:15">
      <c r="O4336" s="4288"/>
    </row>
    <row r="4337" spans="15:15">
      <c r="O4337" s="4288"/>
    </row>
    <row r="4338" spans="15:15">
      <c r="O4338" s="4288"/>
    </row>
    <row r="4339" spans="15:15">
      <c r="O4339" s="4288"/>
    </row>
    <row r="4340" spans="15:15">
      <c r="O4340" s="4288"/>
    </row>
    <row r="4341" spans="15:15">
      <c r="O4341" s="4288"/>
    </row>
    <row r="4342" spans="15:15">
      <c r="O4342" s="4288"/>
    </row>
    <row r="4343" spans="15:15">
      <c r="O4343" s="4288"/>
    </row>
    <row r="4344" spans="15:15">
      <c r="O4344" s="4288"/>
    </row>
    <row r="4345" spans="15:15">
      <c r="O4345" s="4288"/>
    </row>
    <row r="4346" spans="15:15">
      <c r="O4346" s="4288"/>
    </row>
    <row r="4347" spans="15:15">
      <c r="O4347" s="4288"/>
    </row>
    <row r="4348" spans="15:15">
      <c r="O4348" s="4288"/>
    </row>
    <row r="4349" spans="15:15">
      <c r="O4349" s="4288"/>
    </row>
    <row r="4350" spans="15:15">
      <c r="O4350" s="4288"/>
    </row>
    <row r="4351" spans="15:15">
      <c r="O4351" s="4288"/>
    </row>
    <row r="4352" spans="15:15">
      <c r="O4352" s="4288"/>
    </row>
    <row r="4353" spans="15:15">
      <c r="O4353" s="4288"/>
    </row>
    <row r="4354" spans="15:15">
      <c r="O4354" s="4288"/>
    </row>
    <row r="4355" spans="15:15">
      <c r="O4355" s="4288"/>
    </row>
    <row r="4356" spans="15:15">
      <c r="O4356" s="4288"/>
    </row>
    <row r="4357" spans="15:15">
      <c r="O4357" s="4288"/>
    </row>
    <row r="4358" spans="15:15">
      <c r="O4358" s="4288"/>
    </row>
    <row r="4359" spans="15:15">
      <c r="O4359" s="4288"/>
    </row>
    <row r="4360" spans="15:15">
      <c r="O4360" s="4288"/>
    </row>
    <row r="4361" spans="15:15">
      <c r="O4361" s="4288"/>
    </row>
    <row r="4362" spans="15:15">
      <c r="O4362" s="4288"/>
    </row>
    <row r="4363" spans="15:15">
      <c r="O4363" s="4288"/>
    </row>
    <row r="4364" spans="15:15">
      <c r="O4364" s="4288"/>
    </row>
    <row r="4365" spans="15:15">
      <c r="O4365" s="4288"/>
    </row>
    <row r="4366" spans="15:15">
      <c r="O4366" s="4288"/>
    </row>
    <row r="4367" spans="15:15">
      <c r="O4367" s="4288"/>
    </row>
    <row r="4368" spans="15:15">
      <c r="O4368" s="4288"/>
    </row>
    <row r="4369" spans="15:15">
      <c r="O4369" s="4288"/>
    </row>
    <row r="4370" spans="15:15">
      <c r="O4370" s="4288"/>
    </row>
    <row r="4371" spans="15:15">
      <c r="O4371" s="4288"/>
    </row>
    <row r="4372" spans="15:15">
      <c r="O4372" s="4288"/>
    </row>
    <row r="4373" spans="15:15">
      <c r="O4373" s="4288"/>
    </row>
    <row r="4374" spans="15:15">
      <c r="O4374" s="4288"/>
    </row>
    <row r="4375" spans="15:15">
      <c r="O4375" s="4288"/>
    </row>
    <row r="4376" spans="15:15">
      <c r="O4376" s="4288"/>
    </row>
    <row r="4377" spans="15:15">
      <c r="O4377" s="4288"/>
    </row>
    <row r="4378" spans="15:15">
      <c r="O4378" s="4288"/>
    </row>
    <row r="4379" spans="15:15">
      <c r="O4379" s="4288"/>
    </row>
    <row r="4380" spans="15:15">
      <c r="O4380" s="4288"/>
    </row>
    <row r="4381" spans="15:15">
      <c r="O4381" s="4288"/>
    </row>
    <row r="4382" spans="15:15">
      <c r="O4382" s="4288"/>
    </row>
    <row r="4383" spans="15:15">
      <c r="O4383" s="4288"/>
    </row>
    <row r="4384" spans="15:15">
      <c r="O4384" s="4288"/>
    </row>
    <row r="4385" spans="15:15">
      <c r="O4385" s="4288"/>
    </row>
    <row r="4386" spans="15:15">
      <c r="O4386" s="4288"/>
    </row>
    <row r="4387" spans="15:15">
      <c r="O4387" s="4288"/>
    </row>
    <row r="4388" spans="15:15">
      <c r="O4388" s="4288"/>
    </row>
    <row r="4389" spans="15:15">
      <c r="O4389" s="4288"/>
    </row>
    <row r="4390" spans="15:15">
      <c r="O4390" s="4288"/>
    </row>
    <row r="4391" spans="15:15">
      <c r="O4391" s="4288"/>
    </row>
    <row r="4392" spans="15:15">
      <c r="O4392" s="4288"/>
    </row>
    <row r="4393" spans="15:15">
      <c r="O4393" s="4288"/>
    </row>
    <row r="4394" spans="15:15">
      <c r="O4394" s="4288"/>
    </row>
    <row r="4395" spans="15:15">
      <c r="O4395" s="4288"/>
    </row>
    <row r="4396" spans="15:15">
      <c r="O4396" s="4288"/>
    </row>
    <row r="4397" spans="15:15">
      <c r="O4397" s="4288"/>
    </row>
    <row r="4398" spans="15:15">
      <c r="O4398" s="4288"/>
    </row>
    <row r="4399" spans="15:15">
      <c r="O4399" s="4288"/>
    </row>
    <row r="4400" spans="15:15">
      <c r="O4400" s="4288"/>
    </row>
    <row r="4401" spans="15:15">
      <c r="O4401" s="4288"/>
    </row>
    <row r="4402" spans="15:15">
      <c r="O4402" s="4288"/>
    </row>
    <row r="4403" spans="15:15">
      <c r="O4403" s="4288"/>
    </row>
    <row r="4404" spans="15:15">
      <c r="O4404" s="4288"/>
    </row>
    <row r="4405" spans="15:15">
      <c r="O4405" s="4288"/>
    </row>
    <row r="4406" spans="15:15">
      <c r="O4406" s="4288"/>
    </row>
    <row r="4407" spans="15:15">
      <c r="O4407" s="4288"/>
    </row>
    <row r="4408" spans="15:15">
      <c r="O4408" s="4288"/>
    </row>
    <row r="4409" spans="15:15">
      <c r="O4409" s="4288"/>
    </row>
    <row r="4410" spans="15:15">
      <c r="O4410" s="4288"/>
    </row>
    <row r="4411" spans="15:15">
      <c r="O4411" s="4288"/>
    </row>
    <row r="4412" spans="15:15">
      <c r="O4412" s="4288"/>
    </row>
    <row r="4413" spans="15:15">
      <c r="O4413" s="4288"/>
    </row>
    <row r="4414" spans="15:15">
      <c r="O4414" s="4288"/>
    </row>
    <row r="4415" spans="15:15">
      <c r="O4415" s="4288"/>
    </row>
    <row r="4416" spans="15:15">
      <c r="O4416" s="4288"/>
    </row>
    <row r="4417" spans="15:15">
      <c r="O4417" s="4288"/>
    </row>
    <row r="4418" spans="15:15">
      <c r="O4418" s="4288"/>
    </row>
    <row r="4419" spans="15:15">
      <c r="O4419" s="4288"/>
    </row>
    <row r="4420" spans="15:15">
      <c r="O4420" s="4288"/>
    </row>
    <row r="4421" spans="15:15">
      <c r="O4421" s="4288"/>
    </row>
    <row r="4422" spans="15:15">
      <c r="O4422" s="4288"/>
    </row>
    <row r="4423" spans="15:15">
      <c r="O4423" s="4288"/>
    </row>
    <row r="4424" spans="15:15">
      <c r="O4424" s="4288"/>
    </row>
    <row r="4425" spans="15:15">
      <c r="O4425" s="4288"/>
    </row>
    <row r="4426" spans="15:15">
      <c r="O4426" s="4288"/>
    </row>
    <row r="4427" spans="15:15">
      <c r="O4427" s="4288"/>
    </row>
    <row r="4428" spans="15:15">
      <c r="O4428" s="4288"/>
    </row>
    <row r="4429" spans="15:15">
      <c r="O4429" s="4288"/>
    </row>
    <row r="4430" spans="15:15">
      <c r="O4430" s="4288"/>
    </row>
    <row r="4431" spans="15:15">
      <c r="O4431" s="4288"/>
    </row>
    <row r="4432" spans="15:15">
      <c r="O4432" s="4288"/>
    </row>
    <row r="4433" spans="15:15">
      <c r="O4433" s="4288"/>
    </row>
    <row r="4434" spans="15:15">
      <c r="O4434" s="4288"/>
    </row>
    <row r="4435" spans="15:15">
      <c r="O4435" s="4288"/>
    </row>
    <row r="4436" spans="15:15">
      <c r="O4436" s="4288"/>
    </row>
    <row r="4437" spans="15:15">
      <c r="O4437" s="4288"/>
    </row>
    <row r="4438" spans="15:15">
      <c r="O4438" s="4288"/>
    </row>
    <row r="4439" spans="15:15">
      <c r="O4439" s="4288"/>
    </row>
    <row r="4440" spans="15:15">
      <c r="O4440" s="4288"/>
    </row>
    <row r="4441" spans="15:15">
      <c r="O4441" s="4288"/>
    </row>
    <row r="4442" spans="15:15">
      <c r="O4442" s="4288"/>
    </row>
    <row r="4443" spans="15:15">
      <c r="O4443" s="4288"/>
    </row>
    <row r="4444" spans="15:15">
      <c r="O4444" s="4288"/>
    </row>
    <row r="4445" spans="15:15">
      <c r="O4445" s="4288"/>
    </row>
    <row r="4446" spans="15:15">
      <c r="O4446" s="4288"/>
    </row>
    <row r="4447" spans="15:15">
      <c r="O4447" s="4288"/>
    </row>
    <row r="4448" spans="15:15">
      <c r="O4448" s="4288"/>
    </row>
    <row r="4449" spans="15:15">
      <c r="O4449" s="4288"/>
    </row>
    <row r="4450" spans="15:15">
      <c r="O4450" s="4288"/>
    </row>
    <row r="4451" spans="15:15">
      <c r="O4451" s="4288"/>
    </row>
    <row r="4452" spans="15:15">
      <c r="O4452" s="4288"/>
    </row>
    <row r="4453" spans="15:15">
      <c r="O4453" s="4288"/>
    </row>
    <row r="4454" spans="15:15">
      <c r="O4454" s="4288"/>
    </row>
    <row r="4455" spans="15:15">
      <c r="O4455" s="4288"/>
    </row>
    <row r="4456" spans="15:15">
      <c r="O4456" s="4288"/>
    </row>
    <row r="4457" spans="15:15">
      <c r="O4457" s="4288"/>
    </row>
    <row r="4458" spans="15:15">
      <c r="O4458" s="4288"/>
    </row>
    <row r="4459" spans="15:15">
      <c r="O4459" s="4288"/>
    </row>
    <row r="4460" spans="15:15">
      <c r="O4460" s="4288"/>
    </row>
    <row r="4461" spans="15:15">
      <c r="O4461" s="4288"/>
    </row>
    <row r="4462" spans="15:15">
      <c r="O4462" s="4288"/>
    </row>
    <row r="4463" spans="15:15">
      <c r="O4463" s="4288"/>
    </row>
    <row r="4464" spans="15:15">
      <c r="O4464" s="4288"/>
    </row>
    <row r="4465" spans="15:15">
      <c r="O4465" s="4288"/>
    </row>
    <row r="4466" spans="15:15">
      <c r="O4466" s="4288"/>
    </row>
    <row r="4467" spans="15:15">
      <c r="O4467" s="4288"/>
    </row>
    <row r="4468" spans="15:15">
      <c r="O4468" s="4288"/>
    </row>
    <row r="4469" spans="15:15">
      <c r="O4469" s="4288"/>
    </row>
    <row r="4470" spans="15:15">
      <c r="O4470" s="4288"/>
    </row>
    <row r="4471" spans="15:15">
      <c r="O4471" s="4288"/>
    </row>
    <row r="4472" spans="15:15">
      <c r="O4472" s="4288"/>
    </row>
    <row r="4473" spans="15:15">
      <c r="O4473" s="4288"/>
    </row>
    <row r="4474" spans="15:15">
      <c r="O4474" s="4288"/>
    </row>
    <row r="4475" spans="15:15">
      <c r="O4475" s="4288"/>
    </row>
    <row r="4476" spans="15:15">
      <c r="O4476" s="4288"/>
    </row>
    <row r="4477" spans="15:15">
      <c r="O4477" s="4288"/>
    </row>
    <row r="4478" spans="15:15">
      <c r="O4478" s="4288"/>
    </row>
    <row r="4479" spans="15:15">
      <c r="O4479" s="4288"/>
    </row>
    <row r="4480" spans="15:15">
      <c r="O4480" s="4288"/>
    </row>
    <row r="4481" spans="15:15">
      <c r="O4481" s="4288"/>
    </row>
    <row r="4482" spans="15:15">
      <c r="O4482" s="4288"/>
    </row>
    <row r="4483" spans="15:15">
      <c r="O4483" s="4288"/>
    </row>
    <row r="4484" spans="15:15">
      <c r="O4484" s="4288"/>
    </row>
    <row r="4485" spans="15:15">
      <c r="O4485" s="4288"/>
    </row>
    <row r="4486" spans="15:15">
      <c r="O4486" s="4288"/>
    </row>
    <row r="4487" spans="15:15">
      <c r="O4487" s="4288"/>
    </row>
    <row r="4488" spans="15:15">
      <c r="O4488" s="4288"/>
    </row>
    <row r="4489" spans="15:15">
      <c r="O4489" s="4288"/>
    </row>
    <row r="4490" spans="15:15">
      <c r="O4490" s="4288"/>
    </row>
    <row r="4491" spans="15:15">
      <c r="O4491" s="4288"/>
    </row>
    <row r="4492" spans="15:15">
      <c r="O4492" s="4288"/>
    </row>
    <row r="4493" spans="15:15">
      <c r="O4493" s="4288"/>
    </row>
    <row r="4494" spans="15:15">
      <c r="O4494" s="4288"/>
    </row>
    <row r="4495" spans="15:15">
      <c r="O4495" s="4288"/>
    </row>
    <row r="4496" spans="15:15">
      <c r="O4496" s="4288"/>
    </row>
    <row r="4497" spans="15:15">
      <c r="O4497" s="4288"/>
    </row>
    <row r="4498" spans="15:15">
      <c r="O4498" s="4288"/>
    </row>
    <row r="4499" spans="15:15">
      <c r="O4499" s="4288"/>
    </row>
    <row r="4500" spans="15:15">
      <c r="O4500" s="4288"/>
    </row>
    <row r="4501" spans="15:15">
      <c r="O4501" s="4288"/>
    </row>
    <row r="4502" spans="15:15">
      <c r="O4502" s="4288"/>
    </row>
    <row r="4503" spans="15:15">
      <c r="O4503" s="4288"/>
    </row>
    <row r="4504" spans="15:15">
      <c r="O4504" s="4288"/>
    </row>
    <row r="4505" spans="15:15">
      <c r="O4505" s="4288"/>
    </row>
    <row r="4506" spans="15:15">
      <c r="O4506" s="4288"/>
    </row>
    <row r="4507" spans="15:15">
      <c r="O4507" s="4288"/>
    </row>
    <row r="4508" spans="15:15">
      <c r="O4508" s="4288"/>
    </row>
    <row r="4509" spans="15:15">
      <c r="O4509" s="4288"/>
    </row>
    <row r="4510" spans="15:15">
      <c r="O4510" s="4288"/>
    </row>
    <row r="4511" spans="15:15">
      <c r="O4511" s="4288"/>
    </row>
    <row r="4512" spans="15:15">
      <c r="O4512" s="4288"/>
    </row>
    <row r="4513" spans="15:15">
      <c r="O4513" s="4288"/>
    </row>
    <row r="4514" spans="15:15">
      <c r="O4514" s="4288"/>
    </row>
    <row r="4515" spans="15:15">
      <c r="O4515" s="4288"/>
    </row>
    <row r="4516" spans="15:15">
      <c r="O4516" s="4288"/>
    </row>
    <row r="4517" spans="15:15">
      <c r="O4517" s="4288"/>
    </row>
    <row r="4518" spans="15:15">
      <c r="O4518" s="4288"/>
    </row>
    <row r="4519" spans="15:15">
      <c r="O4519" s="4288"/>
    </row>
    <row r="4520" spans="15:15">
      <c r="O4520" s="4288"/>
    </row>
    <row r="4521" spans="15:15">
      <c r="O4521" s="4288"/>
    </row>
    <row r="4522" spans="15:15">
      <c r="O4522" s="4288"/>
    </row>
    <row r="4523" spans="15:15">
      <c r="O4523" s="4288"/>
    </row>
    <row r="4524" spans="15:15">
      <c r="O4524" s="4288"/>
    </row>
    <row r="4525" spans="15:15">
      <c r="O4525" s="4288"/>
    </row>
    <row r="4526" spans="15:15">
      <c r="O4526" s="4288"/>
    </row>
    <row r="4527" spans="15:15">
      <c r="O4527" s="4288"/>
    </row>
    <row r="4528" spans="15:15">
      <c r="O4528" s="4288"/>
    </row>
    <row r="4529" spans="15:15">
      <c r="O4529" s="4288"/>
    </row>
    <row r="4530" spans="15:15">
      <c r="O4530" s="4288"/>
    </row>
    <row r="4531" spans="15:15">
      <c r="O4531" s="4288"/>
    </row>
    <row r="4532" spans="15:15">
      <c r="O4532" s="4288"/>
    </row>
    <row r="4533" spans="15:15">
      <c r="O4533" s="4288"/>
    </row>
    <row r="4534" spans="15:15">
      <c r="O4534" s="4288"/>
    </row>
    <row r="4535" spans="15:15">
      <c r="O4535" s="4288"/>
    </row>
    <row r="4536" spans="15:15">
      <c r="O4536" s="4288"/>
    </row>
    <row r="4537" spans="15:15">
      <c r="O4537" s="4288"/>
    </row>
    <row r="4538" spans="15:15">
      <c r="O4538" s="4288"/>
    </row>
    <row r="4539" spans="15:15">
      <c r="O4539" s="4288"/>
    </row>
    <row r="4540" spans="15:15">
      <c r="O4540" s="4288"/>
    </row>
    <row r="4541" spans="15:15">
      <c r="O4541" s="4288"/>
    </row>
    <row r="4542" spans="15:15">
      <c r="O4542" s="4288"/>
    </row>
    <row r="4543" spans="15:15">
      <c r="O4543" s="4288"/>
    </row>
    <row r="4544" spans="15:15">
      <c r="O4544" s="4288"/>
    </row>
    <row r="4545" spans="15:15">
      <c r="O4545" s="4288"/>
    </row>
    <row r="4546" spans="15:15">
      <c r="O4546" s="4288"/>
    </row>
    <row r="4547" spans="15:15">
      <c r="O4547" s="4288"/>
    </row>
    <row r="4548" spans="15:15">
      <c r="O4548" s="4288"/>
    </row>
    <row r="4549" spans="15:15">
      <c r="O4549" s="4288"/>
    </row>
    <row r="4550" spans="15:15">
      <c r="O4550" s="4288"/>
    </row>
    <row r="4551" spans="15:15">
      <c r="O4551" s="4288"/>
    </row>
    <row r="4552" spans="15:15">
      <c r="O4552" s="4288"/>
    </row>
    <row r="4553" spans="15:15">
      <c r="O4553" s="4288"/>
    </row>
    <row r="4554" spans="15:15">
      <c r="O4554" s="4288"/>
    </row>
    <row r="4555" spans="15:15">
      <c r="O4555" s="4288"/>
    </row>
    <row r="4556" spans="15:15">
      <c r="O4556" s="4288"/>
    </row>
    <row r="4557" spans="15:15">
      <c r="O4557" s="4288"/>
    </row>
    <row r="4558" spans="15:15">
      <c r="O4558" s="4288"/>
    </row>
    <row r="4559" spans="15:15">
      <c r="O4559" s="4288"/>
    </row>
    <row r="4560" spans="15:15">
      <c r="O4560" s="4288"/>
    </row>
    <row r="4561" spans="15:15">
      <c r="O4561" s="4288"/>
    </row>
    <row r="4562" spans="15:15">
      <c r="O4562" s="4288"/>
    </row>
    <row r="4563" spans="15:15">
      <c r="O4563" s="4288"/>
    </row>
    <row r="4564" spans="15:15">
      <c r="O4564" s="4288"/>
    </row>
    <row r="4565" spans="15:15">
      <c r="O4565" s="4288"/>
    </row>
    <row r="4566" spans="15:15">
      <c r="O4566" s="4288"/>
    </row>
    <row r="4567" spans="15:15">
      <c r="O4567" s="4288"/>
    </row>
    <row r="4568" spans="15:15">
      <c r="O4568" s="4288"/>
    </row>
    <row r="4569" spans="15:15">
      <c r="O4569" s="4288"/>
    </row>
    <row r="4570" spans="15:15">
      <c r="O4570" s="4288"/>
    </row>
    <row r="4571" spans="15:15">
      <c r="O4571" s="4288"/>
    </row>
    <row r="4572" spans="15:15">
      <c r="O4572" s="4288"/>
    </row>
    <row r="4573" spans="15:15">
      <c r="O4573" s="4288"/>
    </row>
    <row r="4574" spans="15:15">
      <c r="O4574" s="4288"/>
    </row>
    <row r="4575" spans="15:15">
      <c r="O4575" s="4288"/>
    </row>
    <row r="4576" spans="15:15">
      <c r="O4576" s="4288"/>
    </row>
    <row r="4577" spans="15:15">
      <c r="O4577" s="4288"/>
    </row>
    <row r="4578" spans="15:15">
      <c r="O4578" s="4288"/>
    </row>
    <row r="4579" spans="15:15">
      <c r="O4579" s="4288"/>
    </row>
    <row r="4580" spans="15:15">
      <c r="O4580" s="4288"/>
    </row>
    <row r="4581" spans="15:15">
      <c r="O4581" s="4288"/>
    </row>
    <row r="4582" spans="15:15">
      <c r="O4582" s="4288"/>
    </row>
    <row r="4583" spans="15:15">
      <c r="O4583" s="4288"/>
    </row>
    <row r="4584" spans="15:15">
      <c r="O4584" s="4288"/>
    </row>
    <row r="4585" spans="15:15">
      <c r="O4585" s="4288"/>
    </row>
    <row r="4586" spans="15:15">
      <c r="O4586" s="4288"/>
    </row>
    <row r="4587" spans="15:15">
      <c r="O4587" s="4288"/>
    </row>
    <row r="4588" spans="15:15">
      <c r="O4588" s="4288"/>
    </row>
    <row r="4589" spans="15:15">
      <c r="O4589" s="4288"/>
    </row>
    <row r="4590" spans="15:15">
      <c r="O4590" s="4288"/>
    </row>
    <row r="4591" spans="15:15">
      <c r="O4591" s="4288"/>
    </row>
    <row r="4592" spans="15:15">
      <c r="O4592" s="4288"/>
    </row>
    <row r="4593" spans="15:15">
      <c r="O4593" s="4288"/>
    </row>
    <row r="4594" spans="15:15">
      <c r="O4594" s="4288"/>
    </row>
    <row r="4595" spans="15:15">
      <c r="O4595" s="4288"/>
    </row>
    <row r="4596" spans="15:15">
      <c r="O4596" s="4288"/>
    </row>
    <row r="4597" spans="15:15">
      <c r="O4597" s="4288"/>
    </row>
    <row r="4598" spans="15:15">
      <c r="O4598" s="4288"/>
    </row>
    <row r="4599" spans="15:15">
      <c r="O4599" s="4288"/>
    </row>
    <row r="4600" spans="15:15">
      <c r="O4600" s="4288"/>
    </row>
    <row r="4601" spans="15:15">
      <c r="O4601" s="4288"/>
    </row>
    <row r="4602" spans="15:15">
      <c r="O4602" s="4288"/>
    </row>
    <row r="4603" spans="15:15">
      <c r="O4603" s="4288"/>
    </row>
    <row r="4604" spans="15:15">
      <c r="O4604" s="4288"/>
    </row>
    <row r="4605" spans="15:15">
      <c r="O4605" s="4288"/>
    </row>
    <row r="4606" spans="15:15">
      <c r="O4606" s="4288"/>
    </row>
    <row r="4607" spans="15:15">
      <c r="O4607" s="4288"/>
    </row>
    <row r="4608" spans="15:15">
      <c r="O4608" s="4288"/>
    </row>
    <row r="4609" spans="15:15">
      <c r="O4609" s="4288"/>
    </row>
    <row r="4610" spans="15:15">
      <c r="O4610" s="4288"/>
    </row>
    <row r="4611" spans="15:15">
      <c r="O4611" s="4288"/>
    </row>
    <row r="4612" spans="15:15">
      <c r="O4612" s="4288"/>
    </row>
    <row r="4613" spans="15:15">
      <c r="O4613" s="4288"/>
    </row>
    <row r="4614" spans="15:15">
      <c r="O4614" s="4288"/>
    </row>
    <row r="4615" spans="15:15">
      <c r="O4615" s="4288"/>
    </row>
    <row r="4616" spans="15:15">
      <c r="O4616" s="4288"/>
    </row>
    <row r="4617" spans="15:15">
      <c r="O4617" s="4288"/>
    </row>
    <row r="4618" spans="15:15">
      <c r="O4618" s="4288"/>
    </row>
    <row r="4619" spans="15:15">
      <c r="O4619" s="4288"/>
    </row>
    <row r="4620" spans="15:15">
      <c r="O4620" s="4288"/>
    </row>
    <row r="4621" spans="15:15">
      <c r="O4621" s="4288"/>
    </row>
    <row r="4622" spans="15:15">
      <c r="O4622" s="4288"/>
    </row>
    <row r="4623" spans="15:15">
      <c r="O4623" s="4288"/>
    </row>
    <row r="4624" spans="15:15">
      <c r="O4624" s="4288"/>
    </row>
    <row r="4625" spans="15:15">
      <c r="O4625" s="4288"/>
    </row>
    <row r="4626" spans="15:15">
      <c r="O4626" s="4288"/>
    </row>
    <row r="4627" spans="15:15">
      <c r="O4627" s="4288"/>
    </row>
    <row r="4628" spans="15:15">
      <c r="O4628" s="4288"/>
    </row>
    <row r="4629" spans="15:15">
      <c r="O4629" s="4288"/>
    </row>
    <row r="4630" spans="15:15">
      <c r="O4630" s="4288"/>
    </row>
    <row r="4631" spans="15:15">
      <c r="O4631" s="4288"/>
    </row>
    <row r="4632" spans="15:15">
      <c r="O4632" s="4288"/>
    </row>
    <row r="4633" spans="15:15">
      <c r="O4633" s="4288"/>
    </row>
    <row r="4634" spans="15:15">
      <c r="O4634" s="4288"/>
    </row>
    <row r="4635" spans="15:15">
      <c r="O4635" s="4288"/>
    </row>
    <row r="4636" spans="15:15">
      <c r="O4636" s="4288"/>
    </row>
    <row r="4637" spans="15:15">
      <c r="O4637" s="4288"/>
    </row>
    <row r="4638" spans="15:15">
      <c r="O4638" s="4288"/>
    </row>
    <row r="4639" spans="15:15">
      <c r="O4639" s="4288"/>
    </row>
    <row r="4640" spans="15:15">
      <c r="O4640" s="4288"/>
    </row>
    <row r="4641" spans="15:15">
      <c r="O4641" s="4288"/>
    </row>
    <row r="4642" spans="15:15">
      <c r="O4642" s="4288"/>
    </row>
    <row r="4643" spans="15:15">
      <c r="O4643" s="4288"/>
    </row>
    <row r="4644" spans="15:15">
      <c r="O4644" s="4288"/>
    </row>
    <row r="4645" spans="15:15">
      <c r="O4645" s="4288"/>
    </row>
    <row r="4646" spans="15:15">
      <c r="O4646" s="4288"/>
    </row>
    <row r="4647" spans="15:15">
      <c r="O4647" s="4288"/>
    </row>
    <row r="4648" spans="15:15">
      <c r="O4648" s="4288"/>
    </row>
    <row r="4649" spans="15:15">
      <c r="O4649" s="4288"/>
    </row>
    <row r="4650" spans="15:15">
      <c r="O4650" s="4288"/>
    </row>
    <row r="4651" spans="15:15">
      <c r="O4651" s="4288"/>
    </row>
    <row r="4652" spans="15:15">
      <c r="O4652" s="4288"/>
    </row>
    <row r="4653" spans="15:15">
      <c r="O4653" s="4288"/>
    </row>
    <row r="4654" spans="15:15">
      <c r="O4654" s="4288"/>
    </row>
    <row r="4655" spans="15:15">
      <c r="O4655" s="4288"/>
    </row>
    <row r="4656" spans="15:15">
      <c r="O4656" s="4288"/>
    </row>
    <row r="4657" spans="15:15">
      <c r="O4657" s="4288"/>
    </row>
    <row r="4658" spans="15:15">
      <c r="O4658" s="4288"/>
    </row>
    <row r="4659" spans="15:15">
      <c r="O4659" s="4288"/>
    </row>
    <row r="4660" spans="15:15">
      <c r="O4660" s="4288"/>
    </row>
    <row r="4661" spans="15:15">
      <c r="O4661" s="4288"/>
    </row>
    <row r="4662" spans="15:15">
      <c r="O4662" s="4288"/>
    </row>
    <row r="4663" spans="15:15">
      <c r="O4663" s="4288"/>
    </row>
    <row r="4664" spans="15:15">
      <c r="O4664" s="4288"/>
    </row>
    <row r="4665" spans="15:15">
      <c r="O4665" s="4288"/>
    </row>
    <row r="4666" spans="15:15">
      <c r="O4666" s="4288"/>
    </row>
    <row r="4667" spans="15:15">
      <c r="O4667" s="4288"/>
    </row>
    <row r="4668" spans="15:15">
      <c r="O4668" s="4288"/>
    </row>
    <row r="4669" spans="15:15">
      <c r="O4669" s="4288"/>
    </row>
    <row r="4670" spans="15:15">
      <c r="O4670" s="4288"/>
    </row>
    <row r="4671" spans="15:15">
      <c r="O4671" s="4288"/>
    </row>
    <row r="4672" spans="15:15">
      <c r="O4672" s="4288"/>
    </row>
    <row r="4673" spans="15:15">
      <c r="O4673" s="4288"/>
    </row>
    <row r="4674" spans="15:15">
      <c r="O4674" s="4288"/>
    </row>
    <row r="4675" spans="15:15">
      <c r="O4675" s="4288"/>
    </row>
    <row r="4676" spans="15:15">
      <c r="O4676" s="4288"/>
    </row>
    <row r="4677" spans="15:15">
      <c r="O4677" s="4288"/>
    </row>
    <row r="4678" spans="15:15">
      <c r="O4678" s="4288"/>
    </row>
    <row r="4679" spans="15:15">
      <c r="O4679" s="4288"/>
    </row>
    <row r="4680" spans="15:15">
      <c r="O4680" s="4288"/>
    </row>
    <row r="4681" spans="15:15">
      <c r="O4681" s="4288"/>
    </row>
    <row r="4682" spans="15:15">
      <c r="O4682" s="4288"/>
    </row>
    <row r="4683" spans="15:15">
      <c r="O4683" s="4288"/>
    </row>
    <row r="4684" spans="15:15">
      <c r="O4684" s="4288"/>
    </row>
    <row r="4685" spans="15:15">
      <c r="O4685" s="4288"/>
    </row>
    <row r="4686" spans="15:15">
      <c r="O4686" s="4288"/>
    </row>
    <row r="4687" spans="15:15">
      <c r="O4687" s="4288"/>
    </row>
    <row r="4688" spans="15:15">
      <c r="O4688" s="4288"/>
    </row>
    <row r="4689" spans="15:15">
      <c r="O4689" s="4288"/>
    </row>
    <row r="4690" spans="15:15">
      <c r="O4690" s="4288"/>
    </row>
    <row r="4691" spans="15:15">
      <c r="O4691" s="4288"/>
    </row>
    <row r="4692" spans="15:15">
      <c r="O4692" s="4288"/>
    </row>
    <row r="4693" spans="15:15">
      <c r="O4693" s="4288"/>
    </row>
    <row r="4694" spans="15:15">
      <c r="O4694" s="4288"/>
    </row>
    <row r="4695" spans="15:15">
      <c r="O4695" s="4288"/>
    </row>
    <row r="4696" spans="15:15">
      <c r="O4696" s="4288"/>
    </row>
    <row r="4697" spans="15:15">
      <c r="O4697" s="4288"/>
    </row>
    <row r="4698" spans="15:15">
      <c r="O4698" s="4288"/>
    </row>
    <row r="4699" spans="15:15">
      <c r="O4699" s="4288"/>
    </row>
    <row r="4700" spans="15:15">
      <c r="O4700" s="4288"/>
    </row>
    <row r="4701" spans="15:15">
      <c r="O4701" s="4288"/>
    </row>
    <row r="4702" spans="15:15">
      <c r="O4702" s="4288"/>
    </row>
    <row r="4703" spans="15:15">
      <c r="O4703" s="4288"/>
    </row>
    <row r="4704" spans="15:15">
      <c r="O4704" s="4288"/>
    </row>
    <row r="4705" spans="15:15">
      <c r="O4705" s="4288"/>
    </row>
    <row r="4706" spans="15:15">
      <c r="O4706" s="4288"/>
    </row>
    <row r="4707" spans="15:15">
      <c r="O4707" s="4288"/>
    </row>
    <row r="4708" spans="15:15">
      <c r="O4708" s="4288"/>
    </row>
    <row r="4709" spans="15:15">
      <c r="O4709" s="4288"/>
    </row>
    <row r="4710" spans="15:15">
      <c r="O4710" s="4288"/>
    </row>
    <row r="4711" spans="15:15">
      <c r="O4711" s="4288"/>
    </row>
    <row r="4712" spans="15:15">
      <c r="O4712" s="4288"/>
    </row>
    <row r="4713" spans="15:15">
      <c r="O4713" s="4288"/>
    </row>
    <row r="4714" spans="15:15">
      <c r="O4714" s="4288"/>
    </row>
    <row r="4715" spans="15:15">
      <c r="O4715" s="4288"/>
    </row>
    <row r="4716" spans="15:15">
      <c r="O4716" s="4288"/>
    </row>
    <row r="4717" spans="15:15">
      <c r="O4717" s="4288"/>
    </row>
    <row r="4718" spans="15:15">
      <c r="O4718" s="4288"/>
    </row>
    <row r="4719" spans="15:15">
      <c r="O4719" s="4288"/>
    </row>
    <row r="4720" spans="15:15">
      <c r="O4720" s="4288"/>
    </row>
    <row r="4721" spans="15:15">
      <c r="O4721" s="4288"/>
    </row>
    <row r="4722" spans="15:15">
      <c r="O4722" s="4288"/>
    </row>
    <row r="4723" spans="15:15">
      <c r="O4723" s="4288"/>
    </row>
    <row r="4724" spans="15:15">
      <c r="O4724" s="4288"/>
    </row>
    <row r="4725" spans="15:15">
      <c r="O4725" s="4288"/>
    </row>
    <row r="4726" spans="15:15">
      <c r="O4726" s="4288"/>
    </row>
    <row r="4727" spans="15:15">
      <c r="O4727" s="4288"/>
    </row>
    <row r="4728" spans="15:15">
      <c r="O4728" s="4288"/>
    </row>
    <row r="4729" spans="15:15">
      <c r="O4729" s="4288"/>
    </row>
    <row r="4730" spans="15:15">
      <c r="O4730" s="4288"/>
    </row>
    <row r="4731" spans="15:15">
      <c r="O4731" s="4288"/>
    </row>
    <row r="4732" spans="15:15">
      <c r="O4732" s="4288"/>
    </row>
    <row r="4733" spans="15:15">
      <c r="O4733" s="4288"/>
    </row>
    <row r="4734" spans="15:15">
      <c r="O4734" s="4288"/>
    </row>
    <row r="4735" spans="15:15">
      <c r="O4735" s="4288"/>
    </row>
    <row r="4736" spans="15:15">
      <c r="O4736" s="4288"/>
    </row>
    <row r="4737" spans="15:15">
      <c r="O4737" s="4288"/>
    </row>
    <row r="4738" spans="15:15">
      <c r="O4738" s="4288"/>
    </row>
    <row r="4739" spans="15:15">
      <c r="O4739" s="4288"/>
    </row>
    <row r="4740" spans="15:15">
      <c r="O4740" s="4288"/>
    </row>
    <row r="4741" spans="15:15">
      <c r="O4741" s="4288"/>
    </row>
    <row r="4742" spans="15:15">
      <c r="O4742" s="4288"/>
    </row>
    <row r="4743" spans="15:15">
      <c r="O4743" s="4288"/>
    </row>
    <row r="4744" spans="15:15">
      <c r="O4744" s="4288"/>
    </row>
    <row r="4745" spans="15:15">
      <c r="O4745" s="4288"/>
    </row>
    <row r="4746" spans="15:15">
      <c r="O4746" s="4288"/>
    </row>
    <row r="4747" spans="15:15">
      <c r="O4747" s="4288"/>
    </row>
    <row r="4748" spans="15:15">
      <c r="O4748" s="4288"/>
    </row>
    <row r="4749" spans="15:15">
      <c r="O4749" s="4288"/>
    </row>
    <row r="4750" spans="15:15">
      <c r="O4750" s="4288"/>
    </row>
    <row r="4751" spans="15:15">
      <c r="O4751" s="4288"/>
    </row>
    <row r="4752" spans="15:15">
      <c r="O4752" s="4288"/>
    </row>
    <row r="4753" spans="15:15">
      <c r="O4753" s="4288"/>
    </row>
    <row r="4754" spans="15:15">
      <c r="O4754" s="4288"/>
    </row>
    <row r="4755" spans="15:15">
      <c r="O4755" s="4288"/>
    </row>
    <row r="4756" spans="15:15">
      <c r="O4756" s="4288"/>
    </row>
    <row r="4757" spans="15:15">
      <c r="O4757" s="4288"/>
    </row>
    <row r="4758" spans="15:15">
      <c r="O4758" s="4288"/>
    </row>
    <row r="4759" spans="15:15">
      <c r="O4759" s="4288"/>
    </row>
    <row r="4760" spans="15:15">
      <c r="O4760" s="4288"/>
    </row>
    <row r="4761" spans="15:15">
      <c r="O4761" s="4288"/>
    </row>
    <row r="4762" spans="15:15">
      <c r="O4762" s="4288"/>
    </row>
    <row r="4763" spans="15:15">
      <c r="O4763" s="4288"/>
    </row>
    <row r="4764" spans="15:15">
      <c r="O4764" s="4288"/>
    </row>
    <row r="4765" spans="15:15">
      <c r="O4765" s="4288"/>
    </row>
    <row r="4766" spans="15:15">
      <c r="O4766" s="4288"/>
    </row>
    <row r="4767" spans="15:15">
      <c r="O4767" s="4288"/>
    </row>
    <row r="4768" spans="15:15">
      <c r="O4768" s="4288"/>
    </row>
    <row r="4769" spans="15:15">
      <c r="O4769" s="4288"/>
    </row>
    <row r="4770" spans="15:15">
      <c r="O4770" s="4288"/>
    </row>
    <row r="4771" spans="15:15">
      <c r="O4771" s="4288"/>
    </row>
    <row r="4772" spans="15:15">
      <c r="O4772" s="4288"/>
    </row>
    <row r="4773" spans="15:15">
      <c r="O4773" s="4288"/>
    </row>
    <row r="4774" spans="15:15">
      <c r="O4774" s="4288"/>
    </row>
    <row r="4775" spans="15:15">
      <c r="O4775" s="4288"/>
    </row>
    <row r="4776" spans="15:15">
      <c r="O4776" s="4288"/>
    </row>
    <row r="4777" spans="15:15">
      <c r="O4777" s="4288"/>
    </row>
    <row r="4778" spans="15:15">
      <c r="O4778" s="4288"/>
    </row>
    <row r="4779" spans="15:15">
      <c r="O4779" s="4288"/>
    </row>
    <row r="4780" spans="15:15">
      <c r="O4780" s="4288"/>
    </row>
    <row r="4781" spans="15:15">
      <c r="O4781" s="4288"/>
    </row>
    <row r="4782" spans="15:15">
      <c r="O4782" s="4288"/>
    </row>
    <row r="4783" spans="15:15">
      <c r="O4783" s="4288"/>
    </row>
    <row r="4784" spans="15:15">
      <c r="O4784" s="4288"/>
    </row>
    <row r="4785" spans="15:15">
      <c r="O4785" s="4288"/>
    </row>
    <row r="4786" spans="15:15">
      <c r="O4786" s="4288"/>
    </row>
    <row r="4787" spans="15:15">
      <c r="O4787" s="4288"/>
    </row>
    <row r="4788" spans="15:15">
      <c r="O4788" s="4288"/>
    </row>
    <row r="4789" spans="15:15">
      <c r="O4789" s="4288"/>
    </row>
    <row r="4790" spans="15:15">
      <c r="O4790" s="4288"/>
    </row>
    <row r="4791" spans="15:15">
      <c r="O4791" s="4288"/>
    </row>
    <row r="4792" spans="15:15">
      <c r="O4792" s="4288"/>
    </row>
    <row r="4793" spans="15:15">
      <c r="O4793" s="4288"/>
    </row>
    <row r="4794" spans="15:15">
      <c r="O4794" s="4288"/>
    </row>
    <row r="4795" spans="15:15">
      <c r="O4795" s="4288"/>
    </row>
    <row r="4796" spans="15:15">
      <c r="O4796" s="4288"/>
    </row>
    <row r="4797" spans="15:15">
      <c r="O4797" s="4288"/>
    </row>
    <row r="4798" spans="15:15">
      <c r="O4798" s="4288"/>
    </row>
    <row r="4799" spans="15:15">
      <c r="O4799" s="4288"/>
    </row>
    <row r="4800" spans="15:15">
      <c r="O4800" s="4288"/>
    </row>
    <row r="4801" spans="15:15">
      <c r="O4801" s="4288"/>
    </row>
    <row r="4802" spans="15:15">
      <c r="O4802" s="4288"/>
    </row>
    <row r="4803" spans="15:15">
      <c r="O4803" s="4288"/>
    </row>
    <row r="4804" spans="15:15">
      <c r="O4804" s="4288"/>
    </row>
    <row r="4805" spans="15:15">
      <c r="O4805" s="4288"/>
    </row>
    <row r="4806" spans="15:15">
      <c r="O4806" s="4288"/>
    </row>
    <row r="4807" spans="15:15">
      <c r="O4807" s="4288"/>
    </row>
    <row r="4808" spans="15:15">
      <c r="O4808" s="4288"/>
    </row>
    <row r="4809" spans="15:15">
      <c r="O4809" s="4288"/>
    </row>
    <row r="4810" spans="15:15">
      <c r="O4810" s="4288"/>
    </row>
    <row r="4811" spans="15:15">
      <c r="O4811" s="4288"/>
    </row>
    <row r="4812" spans="15:15">
      <c r="O4812" s="4288"/>
    </row>
    <row r="4813" spans="15:15">
      <c r="O4813" s="4288"/>
    </row>
    <row r="4814" spans="15:15">
      <c r="O4814" s="4288"/>
    </row>
    <row r="4815" spans="15:15">
      <c r="O4815" s="4288"/>
    </row>
    <row r="4816" spans="15:15">
      <c r="O4816" s="4288"/>
    </row>
    <row r="4817" spans="15:15">
      <c r="O4817" s="4288"/>
    </row>
    <row r="4818" spans="15:15">
      <c r="O4818" s="4288"/>
    </row>
    <row r="4819" spans="15:15">
      <c r="O4819" s="4288"/>
    </row>
    <row r="4820" spans="15:15">
      <c r="O4820" s="4288"/>
    </row>
    <row r="4821" spans="15:15">
      <c r="O4821" s="4288"/>
    </row>
    <row r="4822" spans="15:15">
      <c r="O4822" s="4288"/>
    </row>
    <row r="4823" spans="15:15">
      <c r="O4823" s="4288"/>
    </row>
    <row r="4824" spans="15:15">
      <c r="O4824" s="4288"/>
    </row>
    <row r="4825" spans="15:15">
      <c r="O4825" s="4288"/>
    </row>
    <row r="4826" spans="15:15">
      <c r="O4826" s="4288"/>
    </row>
    <row r="4827" spans="15:15">
      <c r="O4827" s="4288"/>
    </row>
    <row r="4828" spans="15:15">
      <c r="O4828" s="4288"/>
    </row>
    <row r="4829" spans="15:15">
      <c r="O4829" s="4288"/>
    </row>
    <row r="4830" spans="15:15">
      <c r="O4830" s="4288"/>
    </row>
    <row r="4831" spans="15:15">
      <c r="O4831" s="4288"/>
    </row>
    <row r="4832" spans="15:15">
      <c r="O4832" s="4288"/>
    </row>
    <row r="4833" spans="15:15">
      <c r="O4833" s="4288"/>
    </row>
    <row r="4834" spans="15:15">
      <c r="O4834" s="4288"/>
    </row>
    <row r="4835" spans="15:15">
      <c r="O4835" s="4288"/>
    </row>
    <row r="4836" spans="15:15">
      <c r="O4836" s="4288"/>
    </row>
    <row r="4837" spans="15:15">
      <c r="O4837" s="4288"/>
    </row>
    <row r="4838" spans="15:15">
      <c r="O4838" s="4288"/>
    </row>
    <row r="4839" spans="15:15">
      <c r="O4839" s="4288"/>
    </row>
    <row r="4840" spans="15:15">
      <c r="O4840" s="4288"/>
    </row>
    <row r="4841" spans="15:15">
      <c r="O4841" s="4288"/>
    </row>
    <row r="4842" spans="15:15">
      <c r="O4842" s="4288"/>
    </row>
    <row r="4843" spans="15:15">
      <c r="O4843" s="4288"/>
    </row>
    <row r="4844" spans="15:15">
      <c r="O4844" s="4288"/>
    </row>
    <row r="4845" spans="15:15">
      <c r="O4845" s="4288"/>
    </row>
    <row r="4846" spans="15:15">
      <c r="O4846" s="4288"/>
    </row>
    <row r="4847" spans="15:15">
      <c r="O4847" s="4288"/>
    </row>
    <row r="4848" spans="15:15">
      <c r="O4848" s="4288"/>
    </row>
    <row r="4849" spans="15:15">
      <c r="O4849" s="4288"/>
    </row>
    <row r="4850" spans="15:15">
      <c r="O4850" s="4288"/>
    </row>
    <row r="4851" spans="15:15">
      <c r="O4851" s="4288"/>
    </row>
    <row r="4852" spans="15:15">
      <c r="O4852" s="4288"/>
    </row>
    <row r="4853" spans="15:15">
      <c r="O4853" s="4288"/>
    </row>
    <row r="4854" spans="15:15">
      <c r="O4854" s="4288"/>
    </row>
    <row r="4855" spans="15:15">
      <c r="O4855" s="4288"/>
    </row>
    <row r="4856" spans="15:15">
      <c r="O4856" s="4288"/>
    </row>
    <row r="4857" spans="15:15">
      <c r="O4857" s="4288"/>
    </row>
    <row r="4858" spans="15:15">
      <c r="O4858" s="4288"/>
    </row>
    <row r="4859" spans="15:15">
      <c r="O4859" s="4288"/>
    </row>
    <row r="4860" spans="15:15">
      <c r="O4860" s="4288"/>
    </row>
    <row r="4861" spans="15:15">
      <c r="O4861" s="4288"/>
    </row>
    <row r="4862" spans="15:15">
      <c r="O4862" s="4288"/>
    </row>
    <row r="4863" spans="15:15">
      <c r="O4863" s="4288"/>
    </row>
    <row r="4864" spans="15:15">
      <c r="O4864" s="4288"/>
    </row>
    <row r="4865" spans="15:15">
      <c r="O4865" s="4288"/>
    </row>
    <row r="4866" spans="15:15">
      <c r="O4866" s="4288"/>
    </row>
    <row r="4867" spans="15:15">
      <c r="O4867" s="4288"/>
    </row>
    <row r="4868" spans="15:15">
      <c r="O4868" s="4288"/>
    </row>
    <row r="4869" spans="15:15">
      <c r="O4869" s="4288"/>
    </row>
    <row r="4870" spans="15:15">
      <c r="O4870" s="4288"/>
    </row>
    <row r="4871" spans="15:15">
      <c r="O4871" s="4288"/>
    </row>
    <row r="4872" spans="15:15">
      <c r="O4872" s="4288"/>
    </row>
    <row r="4873" spans="15:15">
      <c r="O4873" s="4288"/>
    </row>
    <row r="4874" spans="15:15">
      <c r="O4874" s="4288"/>
    </row>
    <row r="4875" spans="15:15">
      <c r="O4875" s="4288"/>
    </row>
    <row r="4876" spans="15:15">
      <c r="O4876" s="4288"/>
    </row>
    <row r="4877" spans="15:15">
      <c r="O4877" s="4288"/>
    </row>
    <row r="4878" spans="15:15">
      <c r="O4878" s="4288"/>
    </row>
    <row r="4879" spans="15:15">
      <c r="O4879" s="4288"/>
    </row>
    <row r="4880" spans="15:15">
      <c r="O4880" s="4288"/>
    </row>
    <row r="4881" spans="15:15">
      <c r="O4881" s="4288"/>
    </row>
    <row r="4882" spans="15:15">
      <c r="O4882" s="4288"/>
    </row>
    <row r="4883" spans="15:15">
      <c r="O4883" s="4288"/>
    </row>
    <row r="4884" spans="15:15">
      <c r="O4884" s="4288"/>
    </row>
    <row r="4885" spans="15:15">
      <c r="O4885" s="4288"/>
    </row>
    <row r="4886" spans="15:15">
      <c r="O4886" s="4288"/>
    </row>
    <row r="4887" spans="15:15">
      <c r="O4887" s="4288"/>
    </row>
    <row r="4888" spans="15:15">
      <c r="O4888" s="4288"/>
    </row>
    <row r="4889" spans="15:15">
      <c r="O4889" s="4288"/>
    </row>
    <row r="4890" spans="15:15">
      <c r="O4890" s="4288"/>
    </row>
    <row r="4891" spans="15:15">
      <c r="O4891" s="4288"/>
    </row>
    <row r="4892" spans="15:15">
      <c r="O4892" s="4288"/>
    </row>
    <row r="4893" spans="15:15">
      <c r="O4893" s="4288"/>
    </row>
    <row r="4894" spans="15:15">
      <c r="O4894" s="4288"/>
    </row>
    <row r="4895" spans="15:15">
      <c r="O4895" s="4288"/>
    </row>
    <row r="4896" spans="15:15">
      <c r="O4896" s="4288"/>
    </row>
    <row r="4897" spans="15:15">
      <c r="O4897" s="4288"/>
    </row>
    <row r="4898" spans="15:15">
      <c r="O4898" s="4288"/>
    </row>
    <row r="4899" spans="15:15">
      <c r="O4899" s="4288"/>
    </row>
    <row r="4900" spans="15:15">
      <c r="O4900" s="4288"/>
    </row>
    <row r="4901" spans="15:15">
      <c r="O4901" s="4288"/>
    </row>
    <row r="4902" spans="15:15">
      <c r="O4902" s="4288"/>
    </row>
    <row r="4903" spans="15:15">
      <c r="O4903" s="4288"/>
    </row>
    <row r="4904" spans="15:15">
      <c r="O4904" s="4288"/>
    </row>
    <row r="4905" spans="15:15">
      <c r="O4905" s="4288"/>
    </row>
    <row r="4906" spans="15:15">
      <c r="O4906" s="4288"/>
    </row>
    <row r="4907" spans="15:15">
      <c r="O4907" s="4288"/>
    </row>
    <row r="4908" spans="15:15">
      <c r="O4908" s="4288"/>
    </row>
    <row r="4909" spans="15:15">
      <c r="O4909" s="4288"/>
    </row>
    <row r="4910" spans="15:15">
      <c r="O4910" s="4288"/>
    </row>
    <row r="4911" spans="15:15">
      <c r="O4911" s="4288"/>
    </row>
    <row r="4912" spans="15:15">
      <c r="O4912" s="4288"/>
    </row>
    <row r="4913" spans="15:15">
      <c r="O4913" s="4288"/>
    </row>
    <row r="4914" spans="15:15">
      <c r="O4914" s="4288"/>
    </row>
    <row r="4915" spans="15:15">
      <c r="O4915" s="4288"/>
    </row>
    <row r="4916" spans="15:15">
      <c r="O4916" s="4288"/>
    </row>
    <row r="4917" spans="15:15">
      <c r="O4917" s="4288"/>
    </row>
    <row r="4918" spans="15:15">
      <c r="O4918" s="4288"/>
    </row>
    <row r="4919" spans="15:15">
      <c r="O4919" s="4288"/>
    </row>
    <row r="4920" spans="15:15">
      <c r="O4920" s="4288"/>
    </row>
    <row r="4921" spans="15:15">
      <c r="O4921" s="4288"/>
    </row>
    <row r="4922" spans="15:15">
      <c r="O4922" s="4288"/>
    </row>
    <row r="4923" spans="15:15">
      <c r="O4923" s="4288"/>
    </row>
    <row r="4924" spans="15:15">
      <c r="O4924" s="4288"/>
    </row>
    <row r="4925" spans="15:15">
      <c r="O4925" s="4288"/>
    </row>
    <row r="4926" spans="15:15">
      <c r="O4926" s="4288"/>
    </row>
    <row r="4927" spans="15:15">
      <c r="O4927" s="4288"/>
    </row>
    <row r="4928" spans="15:15">
      <c r="O4928" s="4288"/>
    </row>
    <row r="4929" spans="15:15">
      <c r="O4929" s="4288"/>
    </row>
    <row r="4930" spans="15:15">
      <c r="O4930" s="4288"/>
    </row>
    <row r="4931" spans="15:15">
      <c r="O4931" s="4288"/>
    </row>
    <row r="4932" spans="15:15">
      <c r="O4932" s="4288"/>
    </row>
    <row r="4933" spans="15:15">
      <c r="O4933" s="4288"/>
    </row>
    <row r="4934" spans="15:15">
      <c r="O4934" s="4288"/>
    </row>
    <row r="4935" spans="15:15">
      <c r="O4935" s="4288"/>
    </row>
    <row r="4936" spans="15:15">
      <c r="O4936" s="4288"/>
    </row>
    <row r="4937" spans="15:15">
      <c r="O4937" s="4288"/>
    </row>
    <row r="4938" spans="15:15">
      <c r="O4938" s="4288"/>
    </row>
    <row r="4939" spans="15:15">
      <c r="O4939" s="4288"/>
    </row>
    <row r="4940" spans="15:15">
      <c r="O4940" s="4288"/>
    </row>
    <row r="4941" spans="15:15">
      <c r="O4941" s="4288"/>
    </row>
    <row r="4942" spans="15:15">
      <c r="O4942" s="4288"/>
    </row>
    <row r="4943" spans="15:15">
      <c r="O4943" s="4288"/>
    </row>
    <row r="4944" spans="15:15">
      <c r="O4944" s="4288"/>
    </row>
    <row r="4945" spans="15:15">
      <c r="O4945" s="4288"/>
    </row>
    <row r="4946" spans="15:15">
      <c r="O4946" s="4288"/>
    </row>
    <row r="4947" spans="15:15">
      <c r="O4947" s="4288"/>
    </row>
    <row r="4948" spans="15:15">
      <c r="O4948" s="4288"/>
    </row>
    <row r="4949" spans="15:15">
      <c r="O4949" s="4288"/>
    </row>
    <row r="4950" spans="15:15">
      <c r="O4950" s="4288"/>
    </row>
    <row r="4951" spans="15:15">
      <c r="O4951" s="4288"/>
    </row>
    <row r="4952" spans="15:15">
      <c r="O4952" s="4288"/>
    </row>
    <row r="4953" spans="15:15">
      <c r="O4953" s="4288"/>
    </row>
    <row r="4954" spans="15:15">
      <c r="O4954" s="4288"/>
    </row>
    <row r="4955" spans="15:15">
      <c r="O4955" s="4288"/>
    </row>
    <row r="4956" spans="15:15">
      <c r="O4956" s="4288"/>
    </row>
    <row r="4957" spans="15:15">
      <c r="O4957" s="4288"/>
    </row>
    <row r="4958" spans="15:15">
      <c r="O4958" s="4288"/>
    </row>
    <row r="4959" spans="15:15">
      <c r="O4959" s="4288"/>
    </row>
    <row r="4960" spans="15:15">
      <c r="O4960" s="4288"/>
    </row>
    <row r="4961" spans="15:15">
      <c r="O4961" s="4288"/>
    </row>
    <row r="4962" spans="15:15">
      <c r="O4962" s="4288"/>
    </row>
    <row r="4963" spans="15:15">
      <c r="O4963" s="4288"/>
    </row>
    <row r="4964" spans="15:15">
      <c r="O4964" s="4288"/>
    </row>
    <row r="4965" spans="15:15">
      <c r="O4965" s="4288"/>
    </row>
    <row r="4966" spans="15:15">
      <c r="O4966" s="4288"/>
    </row>
    <row r="4967" spans="15:15">
      <c r="O4967" s="4288"/>
    </row>
    <row r="4968" spans="15:15">
      <c r="O4968" s="4288"/>
    </row>
    <row r="4969" spans="15:15">
      <c r="O4969" s="4288"/>
    </row>
    <row r="4970" spans="15:15">
      <c r="O4970" s="4288"/>
    </row>
    <row r="4971" spans="15:15">
      <c r="O4971" s="4288"/>
    </row>
    <row r="4972" spans="15:15">
      <c r="O4972" s="4288"/>
    </row>
    <row r="4973" spans="15:15">
      <c r="O4973" s="4288"/>
    </row>
    <row r="4974" spans="15:15">
      <c r="O4974" s="4288"/>
    </row>
    <row r="4975" spans="15:15">
      <c r="O4975" s="4288"/>
    </row>
    <row r="4976" spans="15:15">
      <c r="O4976" s="4288"/>
    </row>
    <row r="4977" spans="15:15">
      <c r="O4977" s="4288"/>
    </row>
    <row r="4978" spans="15:15">
      <c r="O4978" s="4288"/>
    </row>
    <row r="4979" spans="15:15">
      <c r="O4979" s="4288"/>
    </row>
    <row r="4980" spans="15:15">
      <c r="O4980" s="4288"/>
    </row>
    <row r="4981" spans="15:15">
      <c r="O4981" s="4288"/>
    </row>
    <row r="4982" spans="15:15">
      <c r="O4982" s="4288"/>
    </row>
    <row r="4983" spans="15:15">
      <c r="O4983" s="4288"/>
    </row>
    <row r="4984" spans="15:15">
      <c r="O4984" s="4288"/>
    </row>
    <row r="4985" spans="15:15">
      <c r="O4985" s="4288"/>
    </row>
    <row r="4986" spans="15:15">
      <c r="O4986" s="4288"/>
    </row>
    <row r="4987" spans="15:15">
      <c r="O4987" s="4288"/>
    </row>
    <row r="4988" spans="15:15">
      <c r="O4988" s="4288"/>
    </row>
    <row r="4989" spans="15:15">
      <c r="O4989" s="4288"/>
    </row>
    <row r="4990" spans="15:15">
      <c r="O4990" s="4288"/>
    </row>
    <row r="4991" spans="15:15">
      <c r="O4991" s="4288"/>
    </row>
    <row r="4992" spans="15:15">
      <c r="O4992" s="4288"/>
    </row>
    <row r="4993" spans="15:15">
      <c r="O4993" s="4288"/>
    </row>
    <row r="4994" spans="15:15">
      <c r="O4994" s="4288"/>
    </row>
    <row r="4995" spans="15:15">
      <c r="O4995" s="4288"/>
    </row>
    <row r="4996" spans="15:15">
      <c r="O4996" s="4288"/>
    </row>
    <row r="4997" spans="15:15">
      <c r="O4997" s="4288"/>
    </row>
    <row r="4998" spans="15:15">
      <c r="O4998" s="4288"/>
    </row>
    <row r="4999" spans="15:15">
      <c r="O4999" s="4288"/>
    </row>
    <row r="5000" spans="15:15">
      <c r="O5000" s="4288"/>
    </row>
    <row r="5001" spans="15:15">
      <c r="O5001" s="4288"/>
    </row>
    <row r="5002" spans="15:15">
      <c r="O5002" s="4288"/>
    </row>
    <row r="5003" spans="15:15">
      <c r="O5003" s="4288"/>
    </row>
    <row r="5004" spans="15:15">
      <c r="O5004" s="4288"/>
    </row>
    <row r="5005" spans="15:15">
      <c r="O5005" s="4288"/>
    </row>
    <row r="5006" spans="15:15">
      <c r="O5006" s="4288"/>
    </row>
    <row r="5007" spans="15:15">
      <c r="O5007" s="4288"/>
    </row>
    <row r="5008" spans="15:15">
      <c r="O5008" s="4288"/>
    </row>
    <row r="5009" spans="15:15">
      <c r="O5009" s="4288"/>
    </row>
    <row r="5010" spans="15:15">
      <c r="O5010" s="4288"/>
    </row>
    <row r="5011" spans="15:15">
      <c r="O5011" s="4288"/>
    </row>
    <row r="5012" spans="15:15">
      <c r="O5012" s="4288"/>
    </row>
    <row r="5013" spans="15:15">
      <c r="O5013" s="4288"/>
    </row>
    <row r="5014" spans="15:15">
      <c r="O5014" s="4288"/>
    </row>
    <row r="5015" spans="15:15">
      <c r="O5015" s="4288"/>
    </row>
    <row r="5016" spans="15:15">
      <c r="O5016" s="4288"/>
    </row>
    <row r="5017" spans="15:15">
      <c r="O5017" s="4288"/>
    </row>
    <row r="5018" spans="15:15">
      <c r="O5018" s="4288"/>
    </row>
    <row r="5019" spans="15:15">
      <c r="O5019" s="4288"/>
    </row>
    <row r="5020" spans="15:15">
      <c r="O5020" s="4288"/>
    </row>
    <row r="5021" spans="15:15">
      <c r="O5021" s="4288"/>
    </row>
    <row r="5022" spans="15:15">
      <c r="O5022" s="4288"/>
    </row>
    <row r="5023" spans="15:15">
      <c r="O5023" s="4288"/>
    </row>
    <row r="5024" spans="15:15">
      <c r="O5024" s="4288"/>
    </row>
    <row r="5025" spans="15:15">
      <c r="O5025" s="4288"/>
    </row>
    <row r="5026" spans="15:15">
      <c r="O5026" s="4288"/>
    </row>
    <row r="5027" spans="15:15">
      <c r="O5027" s="4288"/>
    </row>
    <row r="5028" spans="15:15">
      <c r="O5028" s="4288"/>
    </row>
    <row r="5029" spans="15:15">
      <c r="O5029" s="4288"/>
    </row>
    <row r="5030" spans="15:15">
      <c r="O5030" s="4288"/>
    </row>
    <row r="5031" spans="15:15">
      <c r="O5031" s="4288"/>
    </row>
    <row r="5032" spans="15:15">
      <c r="O5032" s="4288"/>
    </row>
    <row r="5033" spans="15:15">
      <c r="O5033" s="4288"/>
    </row>
    <row r="5034" spans="15:15">
      <c r="O5034" s="4288"/>
    </row>
    <row r="5035" spans="15:15">
      <c r="O5035" s="4288"/>
    </row>
    <row r="5036" spans="15:15">
      <c r="O5036" s="4288"/>
    </row>
    <row r="5037" spans="15:15">
      <c r="O5037" s="4288"/>
    </row>
    <row r="5038" spans="15:15">
      <c r="O5038" s="4288"/>
    </row>
    <row r="5039" spans="15:15">
      <c r="O5039" s="4288"/>
    </row>
    <row r="5040" spans="15:15">
      <c r="O5040" s="4288"/>
    </row>
    <row r="5041" spans="15:15">
      <c r="O5041" s="4288"/>
    </row>
    <row r="5042" spans="15:15">
      <c r="O5042" s="4288"/>
    </row>
    <row r="5043" spans="15:15">
      <c r="O5043" s="4288"/>
    </row>
    <row r="5044" spans="15:15">
      <c r="O5044" s="4288"/>
    </row>
    <row r="5045" spans="15:15">
      <c r="O5045" s="4288"/>
    </row>
    <row r="5046" spans="15:15">
      <c r="O5046" s="4288"/>
    </row>
    <row r="5047" spans="15:15">
      <c r="O5047" s="4288"/>
    </row>
    <row r="5048" spans="15:15">
      <c r="O5048" s="4288"/>
    </row>
    <row r="5049" spans="15:15">
      <c r="O5049" s="4288"/>
    </row>
    <row r="5050" spans="15:15">
      <c r="O5050" s="4288"/>
    </row>
    <row r="5051" spans="15:15">
      <c r="O5051" s="4288"/>
    </row>
    <row r="5052" spans="15:15">
      <c r="O5052" s="4288"/>
    </row>
    <row r="5053" spans="15:15">
      <c r="O5053" s="4288"/>
    </row>
    <row r="5054" spans="15:15">
      <c r="O5054" s="4288"/>
    </row>
    <row r="5055" spans="15:15">
      <c r="O5055" s="4288"/>
    </row>
    <row r="5056" spans="15:15">
      <c r="O5056" s="4288"/>
    </row>
    <row r="5057" spans="15:15">
      <c r="O5057" s="4288"/>
    </row>
    <row r="5058" spans="15:15">
      <c r="O5058" s="4288"/>
    </row>
    <row r="5059" spans="15:15">
      <c r="O5059" s="4288"/>
    </row>
    <row r="5060" spans="15:15">
      <c r="O5060" s="4288"/>
    </row>
    <row r="5061" spans="15:15">
      <c r="O5061" s="4288"/>
    </row>
    <row r="5062" spans="15:15">
      <c r="O5062" s="4288"/>
    </row>
    <row r="5063" spans="15:15">
      <c r="O5063" s="4288"/>
    </row>
    <row r="5064" spans="15:15">
      <c r="O5064" s="4288"/>
    </row>
    <row r="5065" spans="15:15">
      <c r="O5065" s="4288"/>
    </row>
    <row r="5066" spans="15:15">
      <c r="O5066" s="4288"/>
    </row>
    <row r="5067" spans="15:15">
      <c r="O5067" s="4288"/>
    </row>
    <row r="5068" spans="15:15">
      <c r="O5068" s="4288"/>
    </row>
    <row r="5069" spans="15:15">
      <c r="O5069" s="4288"/>
    </row>
    <row r="5070" spans="15:15">
      <c r="O5070" s="4288"/>
    </row>
    <row r="5071" spans="15:15">
      <c r="O5071" s="4288"/>
    </row>
    <row r="5072" spans="15:15">
      <c r="O5072" s="4288"/>
    </row>
    <row r="5073" spans="15:15">
      <c r="O5073" s="4288"/>
    </row>
    <row r="5074" spans="15:15">
      <c r="O5074" s="4288"/>
    </row>
    <row r="5075" spans="15:15">
      <c r="O5075" s="4288"/>
    </row>
    <row r="5076" spans="15:15">
      <c r="O5076" s="4288"/>
    </row>
    <row r="5077" spans="15:15">
      <c r="O5077" s="4288"/>
    </row>
    <row r="5078" spans="15:15">
      <c r="O5078" s="4288"/>
    </row>
    <row r="5079" spans="15:15">
      <c r="O5079" s="4288"/>
    </row>
    <row r="5080" spans="15:15">
      <c r="O5080" s="4288"/>
    </row>
    <row r="5081" spans="15:15">
      <c r="O5081" s="4288"/>
    </row>
    <row r="5082" spans="15:15">
      <c r="O5082" s="4288"/>
    </row>
    <row r="5083" spans="15:15">
      <c r="O5083" s="4288"/>
    </row>
    <row r="5084" spans="15:15">
      <c r="O5084" s="4288"/>
    </row>
    <row r="5085" spans="15:15">
      <c r="O5085" s="4288"/>
    </row>
    <row r="5086" spans="15:15">
      <c r="O5086" s="4288"/>
    </row>
    <row r="5087" spans="15:15">
      <c r="O5087" s="4288"/>
    </row>
    <row r="5088" spans="15:15">
      <c r="O5088" s="4288"/>
    </row>
    <row r="5089" spans="15:15">
      <c r="O5089" s="4288"/>
    </row>
    <row r="5090" spans="15:15">
      <c r="O5090" s="4288"/>
    </row>
    <row r="5091" spans="15:15">
      <c r="O5091" s="4288"/>
    </row>
    <row r="5092" spans="15:15">
      <c r="O5092" s="4288"/>
    </row>
    <row r="5093" spans="15:15">
      <c r="O5093" s="4288"/>
    </row>
    <row r="5094" spans="15:15">
      <c r="O5094" s="4288"/>
    </row>
    <row r="5095" spans="15:15">
      <c r="O5095" s="4288"/>
    </row>
    <row r="5096" spans="15:15">
      <c r="O5096" s="4288"/>
    </row>
    <row r="5097" spans="15:15">
      <c r="O5097" s="4288"/>
    </row>
    <row r="5098" spans="15:15">
      <c r="O5098" s="4288"/>
    </row>
    <row r="5099" spans="15:15">
      <c r="O5099" s="4288"/>
    </row>
    <row r="5100" spans="15:15">
      <c r="O5100" s="4288"/>
    </row>
    <row r="5101" spans="15:15">
      <c r="O5101" s="4288"/>
    </row>
    <row r="5102" spans="15:15">
      <c r="O5102" s="4288"/>
    </row>
    <row r="5103" spans="15:15">
      <c r="O5103" s="4288"/>
    </row>
    <row r="5104" spans="15:15">
      <c r="O5104" s="4288"/>
    </row>
    <row r="5105" spans="15:15">
      <c r="O5105" s="4288"/>
    </row>
    <row r="5106" spans="15:15">
      <c r="O5106" s="4288"/>
    </row>
    <row r="5107" spans="15:15">
      <c r="O5107" s="4288"/>
    </row>
    <row r="5108" spans="15:15">
      <c r="O5108" s="4288"/>
    </row>
    <row r="5109" spans="15:15">
      <c r="O5109" s="4288"/>
    </row>
    <row r="5110" spans="15:15">
      <c r="O5110" s="4288"/>
    </row>
    <row r="5111" spans="15:15">
      <c r="O5111" s="4288"/>
    </row>
    <row r="5112" spans="15:15">
      <c r="O5112" s="4288"/>
    </row>
    <row r="5113" spans="15:15">
      <c r="O5113" s="4288"/>
    </row>
    <row r="5114" spans="15:15">
      <c r="O5114" s="4288"/>
    </row>
    <row r="5115" spans="15:15">
      <c r="O5115" s="4288"/>
    </row>
    <row r="5116" spans="15:15">
      <c r="O5116" s="4288"/>
    </row>
    <row r="5117" spans="15:15">
      <c r="O5117" s="4288"/>
    </row>
    <row r="5118" spans="15:15">
      <c r="O5118" s="4288"/>
    </row>
    <row r="5119" spans="15:15">
      <c r="O5119" s="4288"/>
    </row>
    <row r="5120" spans="15:15">
      <c r="O5120" s="4288"/>
    </row>
    <row r="5121" spans="15:15">
      <c r="O5121" s="4288"/>
    </row>
    <row r="5122" spans="15:15">
      <c r="O5122" s="4288"/>
    </row>
    <row r="5123" spans="15:15">
      <c r="O5123" s="4288"/>
    </row>
    <row r="5124" spans="15:15">
      <c r="O5124" s="4288"/>
    </row>
    <row r="5125" spans="15:15">
      <c r="O5125" s="4288"/>
    </row>
    <row r="5126" spans="15:15">
      <c r="O5126" s="4288"/>
    </row>
    <row r="5127" spans="15:15">
      <c r="O5127" s="4288"/>
    </row>
    <row r="5128" spans="15:15">
      <c r="O5128" s="4288"/>
    </row>
    <row r="5129" spans="15:15">
      <c r="O5129" s="4288"/>
    </row>
    <row r="5130" spans="15:15">
      <c r="O5130" s="4288"/>
    </row>
    <row r="5131" spans="15:15">
      <c r="O5131" s="4288"/>
    </row>
    <row r="5132" spans="15:15">
      <c r="O5132" s="4288"/>
    </row>
    <row r="5133" spans="15:15">
      <c r="O5133" s="4288"/>
    </row>
    <row r="5134" spans="15:15">
      <c r="O5134" s="4288"/>
    </row>
    <row r="5135" spans="15:15">
      <c r="O5135" s="4288"/>
    </row>
    <row r="5136" spans="15:15">
      <c r="O5136" s="4288"/>
    </row>
    <row r="5137" spans="15:15">
      <c r="O5137" s="4288"/>
    </row>
    <row r="5138" spans="15:15">
      <c r="O5138" s="4288"/>
    </row>
    <row r="5139" spans="15:15">
      <c r="O5139" s="4288"/>
    </row>
    <row r="5140" spans="15:15">
      <c r="O5140" s="4288"/>
    </row>
    <row r="5141" spans="15:15">
      <c r="O5141" s="4288"/>
    </row>
    <row r="5142" spans="15:15">
      <c r="O5142" s="4288"/>
    </row>
    <row r="5143" spans="15:15">
      <c r="O5143" s="4288"/>
    </row>
    <row r="5144" spans="15:15">
      <c r="O5144" s="4288"/>
    </row>
    <row r="5145" spans="15:15">
      <c r="O5145" s="4288"/>
    </row>
    <row r="5146" spans="15:15">
      <c r="O5146" s="4288"/>
    </row>
    <row r="5147" spans="15:15">
      <c r="O5147" s="4288"/>
    </row>
    <row r="5148" spans="15:15">
      <c r="O5148" s="4288"/>
    </row>
    <row r="5149" spans="15:15">
      <c r="O5149" s="4288"/>
    </row>
    <row r="5150" spans="15:15">
      <c r="O5150" s="4288"/>
    </row>
    <row r="5151" spans="15:15">
      <c r="O5151" s="4288"/>
    </row>
    <row r="5152" spans="15:15">
      <c r="O5152" s="4288"/>
    </row>
    <row r="5153" spans="15:15">
      <c r="O5153" s="4288"/>
    </row>
    <row r="5154" spans="15:15">
      <c r="O5154" s="4288"/>
    </row>
    <row r="5155" spans="15:15">
      <c r="O5155" s="4288"/>
    </row>
    <row r="5156" spans="15:15">
      <c r="O5156" s="4288"/>
    </row>
    <row r="5157" spans="15:15">
      <c r="O5157" s="4288"/>
    </row>
    <row r="5158" spans="15:15">
      <c r="O5158" s="4288"/>
    </row>
    <row r="5159" spans="15:15">
      <c r="O5159" s="4288"/>
    </row>
    <row r="5160" spans="15:15">
      <c r="O5160" s="4288"/>
    </row>
    <row r="5161" spans="15:15">
      <c r="O5161" s="4288"/>
    </row>
    <row r="5162" spans="15:15">
      <c r="O5162" s="4288"/>
    </row>
    <row r="5163" spans="15:15">
      <c r="O5163" s="4288"/>
    </row>
    <row r="5164" spans="15:15">
      <c r="O5164" s="4288"/>
    </row>
    <row r="5165" spans="15:15">
      <c r="O5165" s="4288"/>
    </row>
    <row r="5166" spans="15:15">
      <c r="O5166" s="4288"/>
    </row>
    <row r="5167" spans="15:15">
      <c r="O5167" s="4288"/>
    </row>
    <row r="5168" spans="15:15">
      <c r="O5168" s="4288"/>
    </row>
    <row r="5169" spans="15:15">
      <c r="O5169" s="4288"/>
    </row>
    <row r="5170" spans="15:15">
      <c r="O5170" s="4288"/>
    </row>
    <row r="5171" spans="15:15">
      <c r="O5171" s="4288"/>
    </row>
    <row r="5172" spans="15:15">
      <c r="O5172" s="4288"/>
    </row>
    <row r="5173" spans="15:15">
      <c r="O5173" s="4288"/>
    </row>
    <row r="5174" spans="15:15">
      <c r="O5174" s="4288"/>
    </row>
    <row r="5175" spans="15:15">
      <c r="O5175" s="4288"/>
    </row>
    <row r="5176" spans="15:15">
      <c r="O5176" s="4288"/>
    </row>
    <row r="5177" spans="15:15">
      <c r="O5177" s="4288"/>
    </row>
    <row r="5178" spans="15:15">
      <c r="O5178" s="4288"/>
    </row>
    <row r="5179" spans="15:15">
      <c r="O5179" s="4288"/>
    </row>
    <row r="5180" spans="15:15">
      <c r="O5180" s="4288"/>
    </row>
    <row r="5181" spans="15:15">
      <c r="O5181" s="4288"/>
    </row>
    <row r="5182" spans="15:15">
      <c r="O5182" s="4288"/>
    </row>
    <row r="5183" spans="15:15">
      <c r="O5183" s="4288"/>
    </row>
    <row r="5184" spans="15:15">
      <c r="O5184" s="4288"/>
    </row>
    <row r="5185" spans="15:15">
      <c r="O5185" s="4288"/>
    </row>
    <row r="5186" spans="15:15">
      <c r="O5186" s="4288"/>
    </row>
    <row r="5187" spans="15:15">
      <c r="O5187" s="4288"/>
    </row>
    <row r="5188" spans="15:15">
      <c r="O5188" s="4288"/>
    </row>
    <row r="5189" spans="15:15">
      <c r="O5189" s="4288"/>
    </row>
    <row r="5190" spans="15:15">
      <c r="O5190" s="4288"/>
    </row>
    <row r="5191" spans="15:15">
      <c r="O5191" s="4288"/>
    </row>
    <row r="5192" spans="15:15">
      <c r="O5192" s="4288"/>
    </row>
    <row r="5193" spans="15:15">
      <c r="O5193" s="4288"/>
    </row>
    <row r="5194" spans="15:15">
      <c r="O5194" s="4288"/>
    </row>
    <row r="5195" spans="15:15">
      <c r="O5195" s="4288"/>
    </row>
    <row r="5196" spans="15:15">
      <c r="O5196" s="4288"/>
    </row>
    <row r="5197" spans="15:15">
      <c r="O5197" s="4288"/>
    </row>
    <row r="5198" spans="15:15">
      <c r="O5198" s="4288"/>
    </row>
    <row r="5199" spans="15:15">
      <c r="O5199" s="4288"/>
    </row>
    <row r="5200" spans="15:15">
      <c r="O5200" s="4288"/>
    </row>
    <row r="5201" spans="15:15">
      <c r="O5201" s="4288"/>
    </row>
    <row r="5202" spans="15:15">
      <c r="O5202" s="4288"/>
    </row>
    <row r="5203" spans="15:15">
      <c r="O5203" s="4288"/>
    </row>
    <row r="5204" spans="15:15">
      <c r="O5204" s="4288"/>
    </row>
    <row r="5205" spans="15:15">
      <c r="O5205" s="4288"/>
    </row>
    <row r="5206" spans="15:15">
      <c r="O5206" s="4288"/>
    </row>
    <row r="5207" spans="15:15">
      <c r="O5207" s="4288"/>
    </row>
    <row r="5208" spans="15:15">
      <c r="O5208" s="4288"/>
    </row>
    <row r="5209" spans="15:15">
      <c r="O5209" s="4288"/>
    </row>
    <row r="5210" spans="15:15">
      <c r="O5210" s="4288"/>
    </row>
    <row r="5211" spans="15:15">
      <c r="O5211" s="4288"/>
    </row>
    <row r="5212" spans="15:15">
      <c r="O5212" s="4288"/>
    </row>
    <row r="5213" spans="15:15">
      <c r="O5213" s="4288"/>
    </row>
    <row r="5214" spans="15:15">
      <c r="O5214" s="4288"/>
    </row>
    <row r="5215" spans="15:15">
      <c r="O5215" s="4288"/>
    </row>
    <row r="5216" spans="15:15">
      <c r="O5216" s="4288"/>
    </row>
    <row r="5217" spans="15:15">
      <c r="O5217" s="4288"/>
    </row>
    <row r="5218" spans="15:15">
      <c r="O5218" s="4288"/>
    </row>
    <row r="5219" spans="15:15">
      <c r="O5219" s="4288"/>
    </row>
    <row r="5220" spans="15:15">
      <c r="O5220" s="4288"/>
    </row>
    <row r="5221" spans="15:15">
      <c r="O5221" s="4288"/>
    </row>
    <row r="5222" spans="15:15">
      <c r="O5222" s="4288"/>
    </row>
    <row r="5223" spans="15:15">
      <c r="O5223" s="4288"/>
    </row>
    <row r="5224" spans="15:15">
      <c r="O5224" s="4288"/>
    </row>
    <row r="5225" spans="15:15">
      <c r="O5225" s="4288"/>
    </row>
    <row r="5226" spans="15:15">
      <c r="O5226" s="4288"/>
    </row>
    <row r="5227" spans="15:15">
      <c r="O5227" s="4288"/>
    </row>
    <row r="5228" spans="15:15">
      <c r="O5228" s="4288"/>
    </row>
    <row r="5229" spans="15:15">
      <c r="O5229" s="4288"/>
    </row>
    <row r="5230" spans="15:15">
      <c r="O5230" s="4288"/>
    </row>
    <row r="5231" spans="15:15">
      <c r="O5231" s="4288"/>
    </row>
    <row r="5232" spans="15:15">
      <c r="O5232" s="4288"/>
    </row>
    <row r="5233" spans="15:15">
      <c r="O5233" s="4288"/>
    </row>
    <row r="5234" spans="15:15">
      <c r="O5234" s="4288"/>
    </row>
    <row r="5235" spans="15:15">
      <c r="O5235" s="4288"/>
    </row>
    <row r="5236" spans="15:15">
      <c r="O5236" s="4288"/>
    </row>
    <row r="5237" spans="15:15">
      <c r="O5237" s="4288"/>
    </row>
    <row r="5238" spans="15:15">
      <c r="O5238" s="4288"/>
    </row>
    <row r="5239" spans="15:15">
      <c r="O5239" s="4288"/>
    </row>
    <row r="5240" spans="15:15">
      <c r="O5240" s="4288"/>
    </row>
    <row r="5241" spans="15:15">
      <c r="O5241" s="4288"/>
    </row>
    <row r="5242" spans="15:15">
      <c r="O5242" s="4288"/>
    </row>
    <row r="5243" spans="15:15">
      <c r="O5243" s="4288"/>
    </row>
    <row r="5244" spans="15:15">
      <c r="O5244" s="4288"/>
    </row>
    <row r="5245" spans="15:15">
      <c r="O5245" s="4288"/>
    </row>
    <row r="5246" spans="15:15">
      <c r="O5246" s="4288"/>
    </row>
    <row r="5247" spans="15:15">
      <c r="O5247" s="4288"/>
    </row>
    <row r="5248" spans="15:15">
      <c r="O5248" s="4288"/>
    </row>
    <row r="5249" spans="15:15">
      <c r="O5249" s="4288"/>
    </row>
    <row r="5250" spans="15:15">
      <c r="O5250" s="4288"/>
    </row>
    <row r="5251" spans="15:15">
      <c r="O5251" s="4288"/>
    </row>
    <row r="5252" spans="15:15">
      <c r="O5252" s="4288"/>
    </row>
    <row r="5253" spans="15:15">
      <c r="O5253" s="4288"/>
    </row>
    <row r="5254" spans="15:15">
      <c r="O5254" s="4288"/>
    </row>
    <row r="5255" spans="15:15">
      <c r="O5255" s="4288"/>
    </row>
    <row r="5256" spans="15:15">
      <c r="O5256" s="4288"/>
    </row>
    <row r="5257" spans="15:15">
      <c r="O5257" s="4288"/>
    </row>
    <row r="5258" spans="15:15">
      <c r="O5258" s="4288"/>
    </row>
    <row r="5259" spans="15:15">
      <c r="O5259" s="4288"/>
    </row>
    <row r="5260" spans="15:15">
      <c r="O5260" s="4288"/>
    </row>
    <row r="5261" spans="15:15">
      <c r="O5261" s="4288"/>
    </row>
    <row r="5262" spans="15:15">
      <c r="O5262" s="4288"/>
    </row>
    <row r="5263" spans="15:15">
      <c r="O5263" s="4288"/>
    </row>
    <row r="5264" spans="15:15">
      <c r="O5264" s="4288"/>
    </row>
    <row r="5265" spans="15:15">
      <c r="O5265" s="4288"/>
    </row>
    <row r="5266" spans="15:15">
      <c r="O5266" s="4288"/>
    </row>
    <row r="5267" spans="15:15">
      <c r="O5267" s="4288"/>
    </row>
    <row r="5268" spans="15:15">
      <c r="O5268" s="4288"/>
    </row>
    <row r="5269" spans="15:15">
      <c r="O5269" s="4288"/>
    </row>
    <row r="5270" spans="15:15">
      <c r="O5270" s="4288"/>
    </row>
    <row r="5271" spans="15:15">
      <c r="O5271" s="4288"/>
    </row>
    <row r="5272" spans="15:15">
      <c r="O5272" s="4288"/>
    </row>
    <row r="5273" spans="15:15">
      <c r="O5273" s="4288"/>
    </row>
    <row r="5274" spans="15:15">
      <c r="O5274" s="4288"/>
    </row>
    <row r="5275" spans="15:15">
      <c r="O5275" s="4288"/>
    </row>
    <row r="5276" spans="15:15">
      <c r="O5276" s="4288"/>
    </row>
    <row r="5277" spans="15:15">
      <c r="O5277" s="4288"/>
    </row>
    <row r="5278" spans="15:15">
      <c r="O5278" s="4288"/>
    </row>
    <row r="5279" spans="15:15">
      <c r="O5279" s="4288"/>
    </row>
    <row r="5280" spans="15:15">
      <c r="O5280" s="4288"/>
    </row>
    <row r="5281" spans="15:15">
      <c r="O5281" s="4288"/>
    </row>
    <row r="5282" spans="15:15">
      <c r="O5282" s="4288"/>
    </row>
    <row r="5283" spans="15:15">
      <c r="O5283" s="4288"/>
    </row>
    <row r="5284" spans="15:15">
      <c r="O5284" s="4288"/>
    </row>
    <row r="5285" spans="15:15">
      <c r="O5285" s="4288"/>
    </row>
    <row r="5286" spans="15:15">
      <c r="O5286" s="4288"/>
    </row>
    <row r="5287" spans="15:15">
      <c r="O5287" s="4288"/>
    </row>
    <row r="5288" spans="15:15">
      <c r="O5288" s="4288"/>
    </row>
    <row r="5289" spans="15:15">
      <c r="O5289" s="4288"/>
    </row>
    <row r="5290" spans="15:15">
      <c r="O5290" s="4288"/>
    </row>
    <row r="5291" spans="15:15">
      <c r="O5291" s="4288"/>
    </row>
    <row r="5292" spans="15:15">
      <c r="O5292" s="4288"/>
    </row>
    <row r="5293" spans="15:15">
      <c r="O5293" s="4288"/>
    </row>
    <row r="5294" spans="15:15">
      <c r="O5294" s="4288"/>
    </row>
    <row r="5295" spans="15:15">
      <c r="O5295" s="4288"/>
    </row>
    <row r="5296" spans="15:15">
      <c r="O5296" s="4288"/>
    </row>
    <row r="5297" spans="15:15">
      <c r="O5297" s="4288"/>
    </row>
    <row r="5298" spans="15:15">
      <c r="O5298" s="4288"/>
    </row>
    <row r="5299" spans="15:15">
      <c r="O5299" s="4288"/>
    </row>
    <row r="5300" spans="15:15">
      <c r="O5300" s="4288"/>
    </row>
    <row r="5301" spans="15:15">
      <c r="O5301" s="4288"/>
    </row>
    <row r="5302" spans="15:15">
      <c r="O5302" s="4288"/>
    </row>
    <row r="5303" spans="15:15">
      <c r="O5303" s="4288"/>
    </row>
    <row r="5304" spans="15:15">
      <c r="O5304" s="4288"/>
    </row>
    <row r="5305" spans="15:15">
      <c r="O5305" s="4288"/>
    </row>
    <row r="5306" spans="15:15">
      <c r="O5306" s="4288"/>
    </row>
    <row r="5307" spans="15:15">
      <c r="O5307" s="4288"/>
    </row>
    <row r="5308" spans="15:15">
      <c r="O5308" s="4288"/>
    </row>
    <row r="5309" spans="15:15">
      <c r="O5309" s="4288"/>
    </row>
    <row r="5310" spans="15:15">
      <c r="O5310" s="4288"/>
    </row>
    <row r="5311" spans="15:15">
      <c r="O5311" s="4288"/>
    </row>
    <row r="5312" spans="15:15">
      <c r="O5312" s="4288"/>
    </row>
    <row r="5313" spans="15:15">
      <c r="O5313" s="4288"/>
    </row>
    <row r="5314" spans="15:15">
      <c r="O5314" s="4288"/>
    </row>
    <row r="5315" spans="15:15">
      <c r="O5315" s="4288"/>
    </row>
    <row r="5316" spans="15:15">
      <c r="O5316" s="4288"/>
    </row>
    <row r="5317" spans="15:15">
      <c r="O5317" s="4288"/>
    </row>
    <row r="5318" spans="15:15">
      <c r="O5318" s="4288"/>
    </row>
    <row r="5319" spans="15:15">
      <c r="O5319" s="4288"/>
    </row>
    <row r="5320" spans="15:15">
      <c r="O5320" s="4288"/>
    </row>
    <row r="5321" spans="15:15">
      <c r="O5321" s="4288"/>
    </row>
    <row r="5322" spans="15:15">
      <c r="O5322" s="4288"/>
    </row>
    <row r="5323" spans="15:15">
      <c r="O5323" s="4288"/>
    </row>
    <row r="5324" spans="15:15">
      <c r="O5324" s="4288"/>
    </row>
    <row r="5325" spans="15:15">
      <c r="O5325" s="4288"/>
    </row>
    <row r="5326" spans="15:15">
      <c r="O5326" s="4288"/>
    </row>
    <row r="5327" spans="15:15">
      <c r="O5327" s="4288"/>
    </row>
    <row r="5328" spans="15:15">
      <c r="O5328" s="4288"/>
    </row>
    <row r="5329" spans="15:15">
      <c r="O5329" s="4288"/>
    </row>
    <row r="5330" spans="15:15">
      <c r="O5330" s="4288"/>
    </row>
    <row r="5331" spans="15:15">
      <c r="O5331" s="4288"/>
    </row>
    <row r="5332" spans="15:15">
      <c r="O5332" s="4288"/>
    </row>
    <row r="5333" spans="15:15">
      <c r="O5333" s="4288"/>
    </row>
    <row r="5334" spans="15:15">
      <c r="O5334" s="4288"/>
    </row>
    <row r="5335" spans="15:15">
      <c r="O5335" s="4288"/>
    </row>
    <row r="5336" spans="15:15">
      <c r="O5336" s="4288"/>
    </row>
    <row r="5337" spans="15:15">
      <c r="O5337" s="4288"/>
    </row>
    <row r="5338" spans="15:15">
      <c r="O5338" s="4288"/>
    </row>
    <row r="5339" spans="15:15">
      <c r="O5339" s="4288"/>
    </row>
    <row r="5340" spans="15:15">
      <c r="O5340" s="4288"/>
    </row>
    <row r="5341" spans="15:15">
      <c r="O5341" s="4288"/>
    </row>
    <row r="5342" spans="15:15">
      <c r="O5342" s="4288"/>
    </row>
    <row r="5343" spans="15:15">
      <c r="O5343" s="4288"/>
    </row>
    <row r="5344" spans="15:15">
      <c r="O5344" s="4288"/>
    </row>
    <row r="5345" spans="15:15">
      <c r="O5345" s="4288"/>
    </row>
    <row r="5346" spans="15:15">
      <c r="O5346" s="4288"/>
    </row>
    <row r="5347" spans="15:15">
      <c r="O5347" s="4288"/>
    </row>
    <row r="5348" spans="15:15">
      <c r="O5348" s="4288"/>
    </row>
    <row r="5349" spans="15:15">
      <c r="O5349" s="4288"/>
    </row>
    <row r="5350" spans="15:15">
      <c r="O5350" s="4288"/>
    </row>
    <row r="5351" spans="15:15">
      <c r="O5351" s="4288"/>
    </row>
    <row r="5352" spans="15:15">
      <c r="O5352" s="4288"/>
    </row>
    <row r="5353" spans="15:15">
      <c r="O5353" s="4288"/>
    </row>
    <row r="5354" spans="15:15">
      <c r="O5354" s="4288"/>
    </row>
    <row r="5355" spans="15:15">
      <c r="O5355" s="4288"/>
    </row>
    <row r="5356" spans="15:15">
      <c r="O5356" s="4288"/>
    </row>
    <row r="5357" spans="15:15">
      <c r="O5357" s="4288"/>
    </row>
    <row r="5358" spans="15:15">
      <c r="O5358" s="4288"/>
    </row>
    <row r="5359" spans="15:15">
      <c r="O5359" s="4288"/>
    </row>
    <row r="5360" spans="15:15">
      <c r="O5360" s="4288"/>
    </row>
    <row r="5361" spans="15:15">
      <c r="O5361" s="4288"/>
    </row>
    <row r="5362" spans="15:15">
      <c r="O5362" s="4288"/>
    </row>
    <row r="5363" spans="15:15">
      <c r="O5363" s="4288"/>
    </row>
    <row r="5364" spans="15:15">
      <c r="O5364" s="4288"/>
    </row>
    <row r="5365" spans="15:15">
      <c r="O5365" s="4288"/>
    </row>
    <row r="5366" spans="15:15">
      <c r="O5366" s="4288"/>
    </row>
    <row r="5367" spans="15:15">
      <c r="O5367" s="4288"/>
    </row>
    <row r="5368" spans="15:15">
      <c r="O5368" s="4288"/>
    </row>
    <row r="5369" spans="15:15">
      <c r="O5369" s="4288"/>
    </row>
    <row r="5370" spans="15:15">
      <c r="O5370" s="4288"/>
    </row>
    <row r="5371" spans="15:15">
      <c r="O5371" s="4288"/>
    </row>
    <row r="5372" spans="15:15">
      <c r="O5372" s="4288"/>
    </row>
    <row r="5373" spans="15:15">
      <c r="O5373" s="4288"/>
    </row>
    <row r="5374" spans="15:15">
      <c r="O5374" s="4288"/>
    </row>
    <row r="5375" spans="15:15">
      <c r="O5375" s="4288"/>
    </row>
    <row r="5376" spans="15:15">
      <c r="O5376" s="4288"/>
    </row>
    <row r="5377" spans="15:15">
      <c r="O5377" s="4288"/>
    </row>
    <row r="5378" spans="15:15">
      <c r="O5378" s="4288"/>
    </row>
    <row r="5379" spans="15:15">
      <c r="O5379" s="4288"/>
    </row>
    <row r="5380" spans="15:15">
      <c r="O5380" s="4288"/>
    </row>
    <row r="5381" spans="15:15">
      <c r="O5381" s="4288"/>
    </row>
    <row r="5382" spans="15:15">
      <c r="O5382" s="4288"/>
    </row>
    <row r="5383" spans="15:15">
      <c r="O5383" s="4288"/>
    </row>
    <row r="5384" spans="15:15">
      <c r="O5384" s="4288"/>
    </row>
    <row r="5385" spans="15:15">
      <c r="O5385" s="4288"/>
    </row>
    <row r="5386" spans="15:15">
      <c r="O5386" s="4288"/>
    </row>
    <row r="5387" spans="15:15">
      <c r="O5387" s="4288"/>
    </row>
    <row r="5388" spans="15:15">
      <c r="O5388" s="4288"/>
    </row>
    <row r="5389" spans="15:15">
      <c r="O5389" s="4288"/>
    </row>
    <row r="5390" spans="15:15">
      <c r="O5390" s="4288"/>
    </row>
    <row r="5391" spans="15:15">
      <c r="O5391" s="4288"/>
    </row>
    <row r="5392" spans="15:15">
      <c r="O5392" s="4288"/>
    </row>
    <row r="5393" spans="15:15">
      <c r="O5393" s="4288"/>
    </row>
    <row r="5394" spans="15:15">
      <c r="O5394" s="4288"/>
    </row>
    <row r="5395" spans="15:15">
      <c r="O5395" s="4288"/>
    </row>
    <row r="5396" spans="15:15">
      <c r="O5396" s="4288"/>
    </row>
    <row r="5397" spans="15:15">
      <c r="O5397" s="4288"/>
    </row>
    <row r="5398" spans="15:15">
      <c r="O5398" s="4288"/>
    </row>
    <row r="5399" spans="15:15">
      <c r="O5399" s="4288"/>
    </row>
    <row r="5400" spans="15:15">
      <c r="O5400" s="4288"/>
    </row>
    <row r="5401" spans="15:15">
      <c r="O5401" s="4288"/>
    </row>
    <row r="5402" spans="15:15">
      <c r="O5402" s="4288"/>
    </row>
    <row r="5403" spans="15:15">
      <c r="O5403" s="4288"/>
    </row>
    <row r="5404" spans="15:15">
      <c r="O5404" s="4288"/>
    </row>
    <row r="5405" spans="15:15">
      <c r="O5405" s="4288"/>
    </row>
    <row r="5406" spans="15:15">
      <c r="O5406" s="4288"/>
    </row>
    <row r="5407" spans="15:15">
      <c r="O5407" s="4288"/>
    </row>
    <row r="5408" spans="15:15">
      <c r="O5408" s="4288"/>
    </row>
    <row r="5409" spans="15:15">
      <c r="O5409" s="4288"/>
    </row>
    <row r="5410" spans="15:15">
      <c r="O5410" s="4288"/>
    </row>
    <row r="5411" spans="15:15">
      <c r="O5411" s="4288"/>
    </row>
    <row r="5412" spans="15:15">
      <c r="O5412" s="4288"/>
    </row>
    <row r="5413" spans="15:15">
      <c r="O5413" s="4288"/>
    </row>
    <row r="5414" spans="15:15">
      <c r="O5414" s="4288"/>
    </row>
    <row r="5415" spans="15:15">
      <c r="O5415" s="4288"/>
    </row>
    <row r="5416" spans="15:15">
      <c r="O5416" s="4288"/>
    </row>
    <row r="5417" spans="15:15">
      <c r="O5417" s="4288"/>
    </row>
    <row r="5418" spans="15:15">
      <c r="O5418" s="4288"/>
    </row>
    <row r="5419" spans="15:15">
      <c r="O5419" s="4288"/>
    </row>
    <row r="5420" spans="15:15">
      <c r="O5420" s="4288"/>
    </row>
    <row r="5421" spans="15:15">
      <c r="O5421" s="4288"/>
    </row>
    <row r="5422" spans="15:15">
      <c r="O5422" s="4288"/>
    </row>
    <row r="5423" spans="15:15">
      <c r="O5423" s="4288"/>
    </row>
    <row r="5424" spans="15:15">
      <c r="O5424" s="4288"/>
    </row>
    <row r="5425" spans="15:15">
      <c r="O5425" s="4288"/>
    </row>
    <row r="5426" spans="15:15">
      <c r="O5426" s="4288"/>
    </row>
    <row r="5427" spans="15:15">
      <c r="O5427" s="4288"/>
    </row>
    <row r="5428" spans="15:15">
      <c r="O5428" s="4288"/>
    </row>
    <row r="5429" spans="15:15">
      <c r="O5429" s="4288"/>
    </row>
    <row r="5430" spans="15:15">
      <c r="O5430" s="4288"/>
    </row>
    <row r="5431" spans="15:15">
      <c r="O5431" s="4288"/>
    </row>
    <row r="5432" spans="15:15">
      <c r="O5432" s="4288"/>
    </row>
    <row r="5433" spans="15:15">
      <c r="O5433" s="4288"/>
    </row>
    <row r="5434" spans="15:15">
      <c r="O5434" s="4288"/>
    </row>
    <row r="5435" spans="15:15">
      <c r="O5435" s="4288"/>
    </row>
    <row r="5436" spans="15:15">
      <c r="O5436" s="4288"/>
    </row>
    <row r="5437" spans="15:15">
      <c r="O5437" s="4288"/>
    </row>
    <row r="5438" spans="15:15">
      <c r="O5438" s="4288"/>
    </row>
    <row r="5439" spans="15:15">
      <c r="O5439" s="4288"/>
    </row>
    <row r="5440" spans="15:15">
      <c r="O5440" s="4288"/>
    </row>
    <row r="5441" spans="15:15">
      <c r="O5441" s="4288"/>
    </row>
    <row r="5442" spans="15:15">
      <c r="O5442" s="4288"/>
    </row>
    <row r="5443" spans="15:15">
      <c r="O5443" s="4288"/>
    </row>
    <row r="5444" spans="15:15">
      <c r="O5444" s="4288"/>
    </row>
    <row r="5445" spans="15:15">
      <c r="O5445" s="4288"/>
    </row>
    <row r="5446" spans="15:15">
      <c r="O5446" s="4288"/>
    </row>
    <row r="5447" spans="15:15">
      <c r="O5447" s="4288"/>
    </row>
    <row r="5448" spans="15:15">
      <c r="O5448" s="4288"/>
    </row>
    <row r="5449" spans="15:15">
      <c r="O5449" s="4288"/>
    </row>
    <row r="5450" spans="15:15">
      <c r="O5450" s="4288"/>
    </row>
    <row r="5451" spans="15:15">
      <c r="O5451" s="4288"/>
    </row>
    <row r="5452" spans="15:15">
      <c r="O5452" s="4288"/>
    </row>
    <row r="5453" spans="15:15">
      <c r="O5453" s="4288"/>
    </row>
    <row r="5454" spans="15:15">
      <c r="O5454" s="4288"/>
    </row>
    <row r="5455" spans="15:15">
      <c r="O5455" s="4288"/>
    </row>
    <row r="5456" spans="15:15">
      <c r="O5456" s="4288"/>
    </row>
    <row r="5457" spans="15:15">
      <c r="O5457" s="4288"/>
    </row>
    <row r="5458" spans="15:15">
      <c r="O5458" s="4288"/>
    </row>
    <row r="5459" spans="15:15">
      <c r="O5459" s="4288"/>
    </row>
    <row r="5460" spans="15:15">
      <c r="O5460" s="4288"/>
    </row>
    <row r="5461" spans="15:15">
      <c r="O5461" s="4288"/>
    </row>
    <row r="5462" spans="15:15">
      <c r="O5462" s="4288"/>
    </row>
    <row r="5463" spans="15:15">
      <c r="O5463" s="4288"/>
    </row>
    <row r="5464" spans="15:15">
      <c r="O5464" s="4288"/>
    </row>
    <row r="5465" spans="15:15">
      <c r="O5465" s="4288"/>
    </row>
    <row r="5466" spans="15:15">
      <c r="O5466" s="4288"/>
    </row>
    <row r="5467" spans="15:15">
      <c r="O5467" s="4288"/>
    </row>
    <row r="5468" spans="15:15">
      <c r="O5468" s="4288"/>
    </row>
    <row r="5469" spans="15:15">
      <c r="O5469" s="4288"/>
    </row>
    <row r="5470" spans="15:15">
      <c r="O5470" s="4288"/>
    </row>
    <row r="5471" spans="15:15">
      <c r="O5471" s="4288"/>
    </row>
    <row r="5472" spans="15:15">
      <c r="O5472" s="4288"/>
    </row>
    <row r="5473" spans="15:15">
      <c r="O5473" s="4288"/>
    </row>
    <row r="5474" spans="15:15">
      <c r="O5474" s="4288"/>
    </row>
    <row r="5475" spans="15:15">
      <c r="O5475" s="4288"/>
    </row>
    <row r="5476" spans="15:15">
      <c r="O5476" s="4288"/>
    </row>
    <row r="5477" spans="15:15">
      <c r="O5477" s="4288"/>
    </row>
    <row r="5478" spans="15:15">
      <c r="O5478" s="4288"/>
    </row>
    <row r="5479" spans="15:15">
      <c r="O5479" s="4288"/>
    </row>
    <row r="5480" spans="15:15">
      <c r="O5480" s="4288"/>
    </row>
    <row r="5481" spans="15:15">
      <c r="O5481" s="4288"/>
    </row>
    <row r="5482" spans="15:15">
      <c r="O5482" s="4288"/>
    </row>
    <row r="5483" spans="15:15">
      <c r="O5483" s="4288"/>
    </row>
    <row r="5484" spans="15:15">
      <c r="O5484" s="4288"/>
    </row>
    <row r="5485" spans="15:15">
      <c r="O5485" s="4288"/>
    </row>
    <row r="5486" spans="15:15">
      <c r="O5486" s="4288"/>
    </row>
    <row r="5487" spans="15:15">
      <c r="O5487" s="4288"/>
    </row>
    <row r="5488" spans="15:15">
      <c r="O5488" s="4288"/>
    </row>
    <row r="5489" spans="15:15">
      <c r="O5489" s="4288"/>
    </row>
    <row r="5490" spans="15:15">
      <c r="O5490" s="4288"/>
    </row>
    <row r="5491" spans="15:15">
      <c r="O5491" s="4288"/>
    </row>
    <row r="5492" spans="15:15">
      <c r="O5492" s="4288"/>
    </row>
    <row r="5493" spans="15:15">
      <c r="O5493" s="4288"/>
    </row>
    <row r="5494" spans="15:15">
      <c r="O5494" s="4288"/>
    </row>
    <row r="5495" spans="15:15">
      <c r="O5495" s="4288"/>
    </row>
    <row r="5496" spans="15:15">
      <c r="O5496" s="4288"/>
    </row>
    <row r="5497" spans="15:15">
      <c r="O5497" s="4288"/>
    </row>
    <row r="5498" spans="15:15">
      <c r="O5498" s="4288"/>
    </row>
    <row r="5499" spans="15:15">
      <c r="O5499" s="4288"/>
    </row>
    <row r="5500" spans="15:15">
      <c r="O5500" s="4288"/>
    </row>
    <row r="5501" spans="15:15">
      <c r="O5501" s="4288"/>
    </row>
    <row r="5502" spans="15:15">
      <c r="O5502" s="4288"/>
    </row>
    <row r="5503" spans="15:15">
      <c r="O5503" s="4288"/>
    </row>
    <row r="5504" spans="15:15">
      <c r="O5504" s="4288"/>
    </row>
    <row r="5505" spans="15:15">
      <c r="O5505" s="4288"/>
    </row>
    <row r="5506" spans="15:15">
      <c r="O5506" s="4288"/>
    </row>
    <row r="5507" spans="15:15">
      <c r="O5507" s="4288"/>
    </row>
    <row r="5508" spans="15:15">
      <c r="O5508" s="4288"/>
    </row>
    <row r="5509" spans="15:15">
      <c r="O5509" s="4288"/>
    </row>
    <row r="5510" spans="15:15">
      <c r="O5510" s="4288"/>
    </row>
    <row r="5511" spans="15:15">
      <c r="O5511" s="4288"/>
    </row>
    <row r="5512" spans="15:15">
      <c r="O5512" s="4288"/>
    </row>
    <row r="5513" spans="15:15">
      <c r="O5513" s="4288"/>
    </row>
    <row r="5514" spans="15:15">
      <c r="O5514" s="4288"/>
    </row>
    <row r="5515" spans="15:15">
      <c r="O5515" s="4288"/>
    </row>
    <row r="5516" spans="15:15">
      <c r="O5516" s="4288"/>
    </row>
    <row r="5517" spans="15:15">
      <c r="O5517" s="4288"/>
    </row>
    <row r="5518" spans="15:15">
      <c r="O5518" s="4288"/>
    </row>
    <row r="5519" spans="15:15">
      <c r="O5519" s="4288"/>
    </row>
    <row r="5520" spans="15:15">
      <c r="O5520" s="4288"/>
    </row>
    <row r="5521" spans="15:15">
      <c r="O5521" s="4288"/>
    </row>
    <row r="5522" spans="15:15">
      <c r="O5522" s="4288"/>
    </row>
    <row r="5523" spans="15:15">
      <c r="O5523" s="4288"/>
    </row>
    <row r="5524" spans="15:15">
      <c r="O5524" s="4288"/>
    </row>
    <row r="5525" spans="15:15">
      <c r="O5525" s="4288"/>
    </row>
    <row r="5526" spans="15:15">
      <c r="O5526" s="4288"/>
    </row>
    <row r="5527" spans="15:15">
      <c r="O5527" s="4288"/>
    </row>
    <row r="5528" spans="15:15">
      <c r="O5528" s="4288"/>
    </row>
    <row r="5529" spans="15:15">
      <c r="O5529" s="4288"/>
    </row>
    <row r="5530" spans="15:15">
      <c r="O5530" s="4288"/>
    </row>
    <row r="5531" spans="15:15">
      <c r="O5531" s="4288"/>
    </row>
    <row r="5532" spans="15:15">
      <c r="O5532" s="4288"/>
    </row>
    <row r="5533" spans="15:15">
      <c r="O5533" s="4288"/>
    </row>
    <row r="5534" spans="15:15">
      <c r="O5534" s="4288"/>
    </row>
    <row r="5535" spans="15:15">
      <c r="O5535" s="4288"/>
    </row>
    <row r="5536" spans="15:15">
      <c r="O5536" s="4288"/>
    </row>
    <row r="5537" spans="15:15">
      <c r="O5537" s="4288"/>
    </row>
    <row r="5538" spans="15:15">
      <c r="O5538" s="4288"/>
    </row>
    <row r="5539" spans="15:15">
      <c r="O5539" s="4288"/>
    </row>
    <row r="5540" spans="15:15">
      <c r="O5540" s="4288"/>
    </row>
    <row r="5541" spans="15:15">
      <c r="O5541" s="4288"/>
    </row>
    <row r="5542" spans="15:15">
      <c r="O5542" s="4288"/>
    </row>
    <row r="5543" spans="15:15">
      <c r="O5543" s="4288"/>
    </row>
    <row r="5544" spans="15:15">
      <c r="O5544" s="4288"/>
    </row>
    <row r="5545" spans="15:15">
      <c r="O5545" s="4288"/>
    </row>
    <row r="5546" spans="15:15">
      <c r="O5546" s="4288"/>
    </row>
    <row r="5547" spans="15:15">
      <c r="O5547" s="4288"/>
    </row>
    <row r="5548" spans="15:15">
      <c r="O5548" s="4288"/>
    </row>
    <row r="5549" spans="15:15">
      <c r="O5549" s="4288"/>
    </row>
    <row r="5550" spans="15:15">
      <c r="O5550" s="4288"/>
    </row>
    <row r="5551" spans="15:15">
      <c r="O5551" s="4288"/>
    </row>
    <row r="5552" spans="15:15">
      <c r="O5552" s="4288"/>
    </row>
    <row r="5553" spans="15:15">
      <c r="O5553" s="4288"/>
    </row>
    <row r="5554" spans="15:15">
      <c r="O5554" s="4288"/>
    </row>
    <row r="5555" spans="15:15">
      <c r="O5555" s="4288"/>
    </row>
    <row r="5556" spans="15:15">
      <c r="O5556" s="4288"/>
    </row>
    <row r="5557" spans="15:15">
      <c r="O5557" s="4288"/>
    </row>
    <row r="5558" spans="15:15">
      <c r="O5558" s="4288"/>
    </row>
    <row r="5559" spans="15:15">
      <c r="O5559" s="4288"/>
    </row>
    <row r="5560" spans="15:15">
      <c r="O5560" s="4288"/>
    </row>
    <row r="5561" spans="15:15">
      <c r="O5561" s="4288"/>
    </row>
    <row r="5562" spans="15:15">
      <c r="O5562" s="4288"/>
    </row>
    <row r="5563" spans="15:15">
      <c r="O5563" s="4288"/>
    </row>
    <row r="5564" spans="15:15">
      <c r="O5564" s="4288"/>
    </row>
    <row r="5565" spans="15:15">
      <c r="O5565" s="4288"/>
    </row>
    <row r="5566" spans="15:15">
      <c r="O5566" s="4288"/>
    </row>
    <row r="5567" spans="15:15">
      <c r="O5567" s="4288"/>
    </row>
    <row r="5568" spans="15:15">
      <c r="O5568" s="4288"/>
    </row>
    <row r="5569" spans="15:15">
      <c r="O5569" s="4288"/>
    </row>
    <row r="5570" spans="15:15">
      <c r="O5570" s="4288"/>
    </row>
    <row r="5571" spans="15:15">
      <c r="O5571" s="4288"/>
    </row>
    <row r="5572" spans="15:15">
      <c r="O5572" s="4288"/>
    </row>
    <row r="5573" spans="15:15">
      <c r="O5573" s="4288"/>
    </row>
    <row r="5574" spans="15:15">
      <c r="O5574" s="4288"/>
    </row>
    <row r="5575" spans="15:15">
      <c r="O5575" s="4288"/>
    </row>
    <row r="5576" spans="15:15">
      <c r="O5576" s="4288"/>
    </row>
    <row r="5577" spans="15:15">
      <c r="O5577" s="4288"/>
    </row>
    <row r="5578" spans="15:15">
      <c r="O5578" s="4288"/>
    </row>
    <row r="5579" spans="15:15">
      <c r="O5579" s="4288"/>
    </row>
    <row r="5580" spans="15:15">
      <c r="O5580" s="4288"/>
    </row>
    <row r="5581" spans="15:15">
      <c r="O5581" s="4288"/>
    </row>
    <row r="5582" spans="15:15">
      <c r="O5582" s="4288"/>
    </row>
    <row r="5583" spans="15:15">
      <c r="O5583" s="4288"/>
    </row>
    <row r="5584" spans="15:15">
      <c r="O5584" s="4288"/>
    </row>
    <row r="5585" spans="15:15">
      <c r="O5585" s="4288"/>
    </row>
    <row r="5586" spans="15:15">
      <c r="O5586" s="4288"/>
    </row>
    <row r="5587" spans="15:15">
      <c r="O5587" s="4288"/>
    </row>
    <row r="5588" spans="15:15">
      <c r="O5588" s="4288"/>
    </row>
    <row r="5589" spans="15:15">
      <c r="O5589" s="4288"/>
    </row>
    <row r="5590" spans="15:15">
      <c r="O5590" s="4288"/>
    </row>
    <row r="5591" spans="15:15">
      <c r="O5591" s="4288"/>
    </row>
    <row r="5592" spans="15:15">
      <c r="O5592" s="4288"/>
    </row>
    <row r="5593" spans="15:15">
      <c r="O5593" s="4288"/>
    </row>
    <row r="5594" spans="15:15">
      <c r="O5594" s="4288"/>
    </row>
    <row r="5595" spans="15:15">
      <c r="O5595" s="4288"/>
    </row>
    <row r="5596" spans="15:15">
      <c r="O5596" s="4288"/>
    </row>
    <row r="5597" spans="15:15">
      <c r="O5597" s="4288"/>
    </row>
    <row r="5598" spans="15:15">
      <c r="O5598" s="4288"/>
    </row>
    <row r="5599" spans="15:15">
      <c r="O5599" s="4288"/>
    </row>
    <row r="5600" spans="15:15">
      <c r="O5600" s="4288"/>
    </row>
    <row r="5601" spans="15:15">
      <c r="O5601" s="4288"/>
    </row>
    <row r="5602" spans="15:15">
      <c r="O5602" s="4288"/>
    </row>
    <row r="5603" spans="15:15">
      <c r="O5603" s="4288"/>
    </row>
    <row r="5604" spans="15:15">
      <c r="O5604" s="4288"/>
    </row>
    <row r="5605" spans="15:15">
      <c r="O5605" s="4288"/>
    </row>
    <row r="5606" spans="15:15">
      <c r="O5606" s="4288"/>
    </row>
    <row r="5607" spans="15:15">
      <c r="O5607" s="4288"/>
    </row>
    <row r="5608" spans="15:15">
      <c r="O5608" s="4288"/>
    </row>
    <row r="5609" spans="15:15">
      <c r="O5609" s="4288"/>
    </row>
    <row r="5610" spans="15:15">
      <c r="O5610" s="4288"/>
    </row>
    <row r="5611" spans="15:15">
      <c r="O5611" s="4288"/>
    </row>
    <row r="5612" spans="15:15">
      <c r="O5612" s="4288"/>
    </row>
    <row r="5613" spans="15:15">
      <c r="O5613" s="4288"/>
    </row>
    <row r="5614" spans="15:15">
      <c r="O5614" s="4288"/>
    </row>
    <row r="5615" spans="15:15">
      <c r="O5615" s="4288"/>
    </row>
    <row r="5616" spans="15:15">
      <c r="O5616" s="4288"/>
    </row>
    <row r="5617" spans="15:15">
      <c r="O5617" s="4288"/>
    </row>
    <row r="5618" spans="15:15">
      <c r="O5618" s="4288"/>
    </row>
    <row r="5619" spans="15:15">
      <c r="O5619" s="4288"/>
    </row>
    <row r="5620" spans="15:15">
      <c r="O5620" s="4288"/>
    </row>
    <row r="5621" spans="15:15">
      <c r="O5621" s="4288"/>
    </row>
    <row r="5622" spans="15:15">
      <c r="O5622" s="4288"/>
    </row>
    <row r="5623" spans="15:15">
      <c r="O5623" s="4288"/>
    </row>
    <row r="5624" spans="15:15">
      <c r="O5624" s="4288"/>
    </row>
    <row r="5625" spans="15:15">
      <c r="O5625" s="4288"/>
    </row>
    <row r="5626" spans="15:15">
      <c r="O5626" s="4288"/>
    </row>
    <row r="5627" spans="15:15">
      <c r="O5627" s="4288"/>
    </row>
    <row r="5628" spans="15:15">
      <c r="O5628" s="4288"/>
    </row>
    <row r="5629" spans="15:15">
      <c r="O5629" s="4288"/>
    </row>
    <row r="5630" spans="15:15">
      <c r="O5630" s="4288"/>
    </row>
    <row r="5631" spans="15:15">
      <c r="O5631" s="4288"/>
    </row>
    <row r="5632" spans="15:15">
      <c r="O5632" s="4288"/>
    </row>
    <row r="5633" spans="15:15">
      <c r="O5633" s="4288"/>
    </row>
    <row r="5634" spans="15:15">
      <c r="O5634" s="4288"/>
    </row>
    <row r="5635" spans="15:15">
      <c r="O5635" s="4288"/>
    </row>
    <row r="5636" spans="15:15">
      <c r="O5636" s="4288"/>
    </row>
    <row r="5637" spans="15:15">
      <c r="O5637" s="4288"/>
    </row>
    <row r="5638" spans="15:15">
      <c r="O5638" s="4288"/>
    </row>
    <row r="5639" spans="15:15">
      <c r="O5639" s="4288"/>
    </row>
    <row r="5640" spans="15:15">
      <c r="O5640" s="4288"/>
    </row>
    <row r="5641" spans="15:15">
      <c r="O5641" s="4288"/>
    </row>
    <row r="5642" spans="15:15">
      <c r="O5642" s="4288"/>
    </row>
    <row r="5643" spans="15:15">
      <c r="O5643" s="4288"/>
    </row>
    <row r="5644" spans="15:15">
      <c r="O5644" s="4288"/>
    </row>
    <row r="5645" spans="15:15">
      <c r="O5645" s="4288"/>
    </row>
    <row r="5646" spans="15:15">
      <c r="O5646" s="4288"/>
    </row>
    <row r="5647" spans="15:15">
      <c r="O5647" s="4288"/>
    </row>
    <row r="5648" spans="15:15">
      <c r="O5648" s="4288"/>
    </row>
    <row r="5649" spans="15:15">
      <c r="O5649" s="4288"/>
    </row>
    <row r="5650" spans="15:15">
      <c r="O5650" s="4288"/>
    </row>
    <row r="5651" spans="15:15">
      <c r="O5651" s="4288"/>
    </row>
    <row r="5652" spans="15:15">
      <c r="O5652" s="4288"/>
    </row>
    <row r="5653" spans="15:15">
      <c r="O5653" s="4288"/>
    </row>
    <row r="5654" spans="15:15">
      <c r="O5654" s="4288"/>
    </row>
    <row r="5655" spans="15:15">
      <c r="O5655" s="4288"/>
    </row>
    <row r="5656" spans="15:15">
      <c r="O5656" s="4288"/>
    </row>
    <row r="5657" spans="15:15">
      <c r="O5657" s="4288"/>
    </row>
    <row r="5658" spans="15:15">
      <c r="O5658" s="4288"/>
    </row>
    <row r="5659" spans="15:15">
      <c r="O5659" s="4288"/>
    </row>
    <row r="5660" spans="15:15">
      <c r="O5660" s="4288"/>
    </row>
    <row r="5661" spans="15:15">
      <c r="O5661" s="4288"/>
    </row>
    <row r="5662" spans="15:15">
      <c r="O5662" s="4288"/>
    </row>
    <row r="5663" spans="15:15">
      <c r="O5663" s="4288"/>
    </row>
    <row r="5664" spans="15:15">
      <c r="O5664" s="4288"/>
    </row>
    <row r="5665" spans="15:15">
      <c r="O5665" s="4288"/>
    </row>
    <row r="5666" spans="15:15">
      <c r="O5666" s="4288"/>
    </row>
    <row r="5667" spans="15:15">
      <c r="O5667" s="4288"/>
    </row>
    <row r="5668" spans="15:15">
      <c r="O5668" s="4288"/>
    </row>
    <row r="5669" spans="15:15">
      <c r="O5669" s="4288"/>
    </row>
    <row r="5670" spans="15:15">
      <c r="O5670" s="4288"/>
    </row>
    <row r="5671" spans="15:15">
      <c r="O5671" s="4288"/>
    </row>
    <row r="5672" spans="15:15">
      <c r="O5672" s="4288"/>
    </row>
    <row r="5673" spans="15:15">
      <c r="O5673" s="4288"/>
    </row>
    <row r="5674" spans="15:15">
      <c r="O5674" s="4288"/>
    </row>
    <row r="5675" spans="15:15">
      <c r="O5675" s="4288"/>
    </row>
    <row r="5676" spans="15:15">
      <c r="O5676" s="4288"/>
    </row>
    <row r="5677" spans="15:15">
      <c r="O5677" s="4288"/>
    </row>
    <row r="5678" spans="15:15">
      <c r="O5678" s="4288"/>
    </row>
    <row r="5679" spans="15:15">
      <c r="O5679" s="4288"/>
    </row>
    <row r="5680" spans="15:15">
      <c r="O5680" s="4288"/>
    </row>
    <row r="5681" spans="15:15">
      <c r="O5681" s="4288"/>
    </row>
    <row r="5682" spans="15:15">
      <c r="O5682" s="4288"/>
    </row>
    <row r="5683" spans="15:15">
      <c r="O5683" s="4288"/>
    </row>
    <row r="5684" spans="15:15">
      <c r="O5684" s="4288"/>
    </row>
    <row r="5685" spans="15:15">
      <c r="O5685" s="4288"/>
    </row>
    <row r="5686" spans="15:15">
      <c r="O5686" s="4288"/>
    </row>
    <row r="5687" spans="15:15">
      <c r="O5687" s="4288"/>
    </row>
    <row r="5688" spans="15:15">
      <c r="O5688" s="4288"/>
    </row>
    <row r="5689" spans="15:15">
      <c r="O5689" s="4288"/>
    </row>
    <row r="5690" spans="15:15">
      <c r="O5690" s="4288"/>
    </row>
    <row r="5691" spans="15:15">
      <c r="O5691" s="4288"/>
    </row>
    <row r="5692" spans="15:15">
      <c r="O5692" s="4288"/>
    </row>
    <row r="5693" spans="15:15">
      <c r="O5693" s="4288"/>
    </row>
    <row r="5694" spans="15:15">
      <c r="O5694" s="4288"/>
    </row>
    <row r="5695" spans="15:15">
      <c r="O5695" s="4288"/>
    </row>
    <row r="5696" spans="15:15">
      <c r="O5696" s="4288"/>
    </row>
    <row r="5697" spans="15:15">
      <c r="O5697" s="4288"/>
    </row>
    <row r="5698" spans="15:15">
      <c r="O5698" s="4288"/>
    </row>
    <row r="5699" spans="15:15">
      <c r="O5699" s="4288"/>
    </row>
    <row r="5700" spans="15:15">
      <c r="O5700" s="4288"/>
    </row>
    <row r="5701" spans="15:15">
      <c r="O5701" s="4288"/>
    </row>
    <row r="5702" spans="15:15">
      <c r="O5702" s="4288"/>
    </row>
    <row r="5703" spans="15:15">
      <c r="O5703" s="4288"/>
    </row>
    <row r="5704" spans="15:15">
      <c r="O5704" s="4288"/>
    </row>
    <row r="5705" spans="15:15">
      <c r="O5705" s="4288"/>
    </row>
    <row r="5706" spans="15:15">
      <c r="O5706" s="4288"/>
    </row>
    <row r="5707" spans="15:15">
      <c r="O5707" s="4288"/>
    </row>
    <row r="5708" spans="15:15">
      <c r="O5708" s="4288"/>
    </row>
    <row r="5709" spans="15:15">
      <c r="O5709" s="4288"/>
    </row>
    <row r="5710" spans="15:15">
      <c r="O5710" s="4288"/>
    </row>
    <row r="5711" spans="15:15">
      <c r="O5711" s="4288"/>
    </row>
    <row r="5712" spans="15:15">
      <c r="O5712" s="4288"/>
    </row>
    <row r="5713" spans="15:15">
      <c r="O5713" s="4288"/>
    </row>
    <row r="5714" spans="15:15">
      <c r="O5714" s="4288"/>
    </row>
    <row r="5715" spans="15:15">
      <c r="O5715" s="4288"/>
    </row>
    <row r="5716" spans="15:15">
      <c r="O5716" s="4288"/>
    </row>
    <row r="5717" spans="15:15">
      <c r="O5717" s="4288"/>
    </row>
    <row r="5718" spans="15:15">
      <c r="O5718" s="4288"/>
    </row>
    <row r="5719" spans="15:15">
      <c r="O5719" s="4288"/>
    </row>
    <row r="5720" spans="15:15">
      <c r="O5720" s="4288"/>
    </row>
    <row r="5721" spans="15:15">
      <c r="O5721" s="4288"/>
    </row>
    <row r="5722" spans="15:15">
      <c r="O5722" s="4288"/>
    </row>
    <row r="5723" spans="15:15">
      <c r="O5723" s="4288"/>
    </row>
    <row r="5724" spans="15:15">
      <c r="O5724" s="4288"/>
    </row>
    <row r="5725" spans="15:15">
      <c r="O5725" s="4288"/>
    </row>
    <row r="5726" spans="15:15">
      <c r="O5726" s="4288"/>
    </row>
    <row r="5727" spans="15:15">
      <c r="O5727" s="4288"/>
    </row>
    <row r="5728" spans="15:15">
      <c r="O5728" s="4288"/>
    </row>
    <row r="5729" spans="15:15">
      <c r="O5729" s="4288"/>
    </row>
    <row r="5730" spans="15:15">
      <c r="O5730" s="4288"/>
    </row>
    <row r="5731" spans="15:15">
      <c r="O5731" s="4288"/>
    </row>
    <row r="5732" spans="15:15">
      <c r="O5732" s="4288"/>
    </row>
    <row r="5733" spans="15:15">
      <c r="O5733" s="4288"/>
    </row>
    <row r="5734" spans="15:15">
      <c r="O5734" s="4288"/>
    </row>
    <row r="5735" spans="15:15">
      <c r="O5735" s="4288"/>
    </row>
    <row r="5736" spans="15:15">
      <c r="O5736" s="4288"/>
    </row>
    <row r="5737" spans="15:15">
      <c r="O5737" s="4288"/>
    </row>
    <row r="5738" spans="15:15">
      <c r="O5738" s="4288"/>
    </row>
    <row r="5739" spans="15:15">
      <c r="O5739" s="4288"/>
    </row>
    <row r="5740" spans="15:15">
      <c r="O5740" s="4288"/>
    </row>
    <row r="5741" spans="15:15">
      <c r="O5741" s="4288"/>
    </row>
    <row r="5742" spans="15:15">
      <c r="O5742" s="4288"/>
    </row>
    <row r="5743" spans="15:15">
      <c r="O5743" s="4288"/>
    </row>
    <row r="5744" spans="15:15">
      <c r="O5744" s="4288"/>
    </row>
    <row r="5745" spans="15:15">
      <c r="O5745" s="4288"/>
    </row>
    <row r="5746" spans="15:15">
      <c r="O5746" s="4288"/>
    </row>
    <row r="5747" spans="15:15">
      <c r="O5747" s="4288"/>
    </row>
    <row r="5748" spans="15:15">
      <c r="O5748" s="4288"/>
    </row>
    <row r="5749" spans="15:15">
      <c r="O5749" s="4288"/>
    </row>
    <row r="5750" spans="15:15">
      <c r="O5750" s="4288"/>
    </row>
    <row r="5751" spans="15:15">
      <c r="O5751" s="4288"/>
    </row>
    <row r="5752" spans="15:15">
      <c r="O5752" s="4288"/>
    </row>
    <row r="5753" spans="15:15">
      <c r="O5753" s="4288"/>
    </row>
    <row r="5754" spans="15:15">
      <c r="O5754" s="4288"/>
    </row>
    <row r="5755" spans="15:15">
      <c r="O5755" s="4288"/>
    </row>
    <row r="5756" spans="15:15">
      <c r="O5756" s="4288"/>
    </row>
    <row r="5757" spans="15:15">
      <c r="O5757" s="4288"/>
    </row>
    <row r="5758" spans="15:15">
      <c r="O5758" s="4288"/>
    </row>
    <row r="5759" spans="15:15">
      <c r="O5759" s="4288"/>
    </row>
    <row r="5760" spans="15:15">
      <c r="O5760" s="4288"/>
    </row>
    <row r="5761" spans="15:15">
      <c r="O5761" s="4288"/>
    </row>
    <row r="5762" spans="15:15">
      <c r="O5762" s="4288"/>
    </row>
    <row r="5763" spans="15:15">
      <c r="O5763" s="4288"/>
    </row>
    <row r="5764" spans="15:15">
      <c r="O5764" s="4288"/>
    </row>
    <row r="5765" spans="15:15">
      <c r="O5765" s="4288"/>
    </row>
    <row r="5766" spans="15:15">
      <c r="O5766" s="4288"/>
    </row>
    <row r="5767" spans="15:15">
      <c r="O5767" s="4288"/>
    </row>
    <row r="5768" spans="15:15">
      <c r="O5768" s="4288"/>
    </row>
    <row r="5769" spans="15:15">
      <c r="O5769" s="4288"/>
    </row>
    <row r="5770" spans="15:15">
      <c r="O5770" s="4288"/>
    </row>
    <row r="5771" spans="15:15">
      <c r="O5771" s="4288"/>
    </row>
    <row r="5772" spans="15:15">
      <c r="O5772" s="4288"/>
    </row>
    <row r="5773" spans="15:15">
      <c r="O5773" s="4288"/>
    </row>
    <row r="5774" spans="15:15">
      <c r="O5774" s="4288"/>
    </row>
    <row r="5775" spans="15:15">
      <c r="O5775" s="4288"/>
    </row>
    <row r="5776" spans="15:15">
      <c r="O5776" s="4288"/>
    </row>
    <row r="5777" spans="15:15">
      <c r="O5777" s="4288"/>
    </row>
    <row r="5778" spans="15:15">
      <c r="O5778" s="4288"/>
    </row>
    <row r="5779" spans="15:15">
      <c r="O5779" s="4288"/>
    </row>
    <row r="5780" spans="15:15">
      <c r="O5780" s="4288"/>
    </row>
    <row r="5781" spans="15:15">
      <c r="O5781" s="4288"/>
    </row>
    <row r="5782" spans="15:15">
      <c r="O5782" s="4288"/>
    </row>
    <row r="5783" spans="15:15">
      <c r="O5783" s="4288"/>
    </row>
    <row r="5784" spans="15:15">
      <c r="O5784" s="4288"/>
    </row>
    <row r="5785" spans="15:15">
      <c r="O5785" s="4288"/>
    </row>
    <row r="5786" spans="15:15">
      <c r="O5786" s="4288"/>
    </row>
    <row r="5787" spans="15:15">
      <c r="O5787" s="4288"/>
    </row>
    <row r="5788" spans="15:15">
      <c r="O5788" s="4288"/>
    </row>
    <row r="5789" spans="15:15">
      <c r="O5789" s="4288"/>
    </row>
    <row r="5790" spans="15:15">
      <c r="O5790" s="4288"/>
    </row>
    <row r="5791" spans="15:15">
      <c r="O5791" s="4288"/>
    </row>
    <row r="5792" spans="15:15">
      <c r="O5792" s="4288"/>
    </row>
    <row r="5793" spans="15:15">
      <c r="O5793" s="4288"/>
    </row>
    <row r="5794" spans="15:15">
      <c r="O5794" s="4288"/>
    </row>
    <row r="5795" spans="15:15">
      <c r="O5795" s="4288"/>
    </row>
    <row r="5796" spans="15:15">
      <c r="O5796" s="4288"/>
    </row>
    <row r="5797" spans="15:15">
      <c r="O5797" s="4288"/>
    </row>
    <row r="5798" spans="15:15">
      <c r="O5798" s="4288"/>
    </row>
    <row r="5799" spans="15:15">
      <c r="O5799" s="4288"/>
    </row>
    <row r="5800" spans="15:15">
      <c r="O5800" s="4288"/>
    </row>
    <row r="5801" spans="15:15">
      <c r="O5801" s="4288"/>
    </row>
    <row r="5802" spans="15:15">
      <c r="O5802" s="4288"/>
    </row>
    <row r="5803" spans="15:15">
      <c r="O5803" s="4288"/>
    </row>
    <row r="5804" spans="15:15">
      <c r="O5804" s="4288"/>
    </row>
    <row r="5805" spans="15:15">
      <c r="O5805" s="4288"/>
    </row>
    <row r="5806" spans="15:15">
      <c r="O5806" s="4288"/>
    </row>
    <row r="5807" spans="15:15">
      <c r="O5807" s="4288"/>
    </row>
    <row r="5808" spans="15:15">
      <c r="O5808" s="4288"/>
    </row>
    <row r="5809" spans="15:15">
      <c r="O5809" s="4288"/>
    </row>
    <row r="5810" spans="15:15">
      <c r="O5810" s="4288"/>
    </row>
    <row r="5811" spans="15:15">
      <c r="O5811" s="4288"/>
    </row>
    <row r="5812" spans="15:15">
      <c r="O5812" s="4288"/>
    </row>
    <row r="5813" spans="15:15">
      <c r="O5813" s="4288"/>
    </row>
    <row r="5814" spans="15:15">
      <c r="O5814" s="4288"/>
    </row>
    <row r="5815" spans="15:15">
      <c r="O5815" s="4288"/>
    </row>
    <row r="5816" spans="15:15">
      <c r="O5816" s="4288"/>
    </row>
    <row r="5817" spans="15:15">
      <c r="O5817" s="4288"/>
    </row>
    <row r="5818" spans="15:15">
      <c r="O5818" s="4288"/>
    </row>
    <row r="5819" spans="15:15">
      <c r="O5819" s="4288"/>
    </row>
    <row r="5820" spans="15:15">
      <c r="O5820" s="4288"/>
    </row>
    <row r="5821" spans="15:15">
      <c r="O5821" s="4288"/>
    </row>
    <row r="5822" spans="15:15">
      <c r="O5822" s="4288"/>
    </row>
    <row r="5823" spans="15:15">
      <c r="O5823" s="4288"/>
    </row>
    <row r="5824" spans="15:15">
      <c r="O5824" s="4288"/>
    </row>
    <row r="5825" spans="15:15">
      <c r="O5825" s="4288"/>
    </row>
    <row r="5826" spans="15:15">
      <c r="O5826" s="4288"/>
    </row>
    <row r="5827" spans="15:15">
      <c r="O5827" s="4288"/>
    </row>
    <row r="5828" spans="15:15">
      <c r="O5828" s="4288"/>
    </row>
    <row r="5829" spans="15:15">
      <c r="O5829" s="4288"/>
    </row>
    <row r="5830" spans="15:15">
      <c r="O5830" s="4288"/>
    </row>
    <row r="5831" spans="15:15">
      <c r="O5831" s="4288"/>
    </row>
    <row r="5832" spans="15:15">
      <c r="O5832" s="4288"/>
    </row>
    <row r="5833" spans="15:15">
      <c r="O5833" s="4288"/>
    </row>
    <row r="5834" spans="15:15">
      <c r="O5834" s="4288"/>
    </row>
    <row r="5835" spans="15:15">
      <c r="O5835" s="4288"/>
    </row>
    <row r="5836" spans="15:15">
      <c r="O5836" s="4288"/>
    </row>
    <row r="5837" spans="15:15">
      <c r="O5837" s="4288"/>
    </row>
    <row r="5838" spans="15:15">
      <c r="O5838" s="4288"/>
    </row>
    <row r="5839" spans="15:15">
      <c r="O5839" s="4288"/>
    </row>
    <row r="5840" spans="15:15">
      <c r="O5840" s="4288"/>
    </row>
    <row r="5841" spans="15:15">
      <c r="O5841" s="4288"/>
    </row>
    <row r="5842" spans="15:15">
      <c r="O5842" s="4288"/>
    </row>
    <row r="5843" spans="15:15">
      <c r="O5843" s="4288"/>
    </row>
    <row r="5844" spans="15:15">
      <c r="O5844" s="4288"/>
    </row>
    <row r="5845" spans="15:15">
      <c r="O5845" s="4288"/>
    </row>
    <row r="5846" spans="15:15">
      <c r="O5846" s="4288"/>
    </row>
    <row r="5847" spans="15:15">
      <c r="O5847" s="4288"/>
    </row>
    <row r="5848" spans="15:15">
      <c r="O5848" s="4288"/>
    </row>
    <row r="5849" spans="15:15">
      <c r="O5849" s="4288"/>
    </row>
    <row r="5850" spans="15:15">
      <c r="O5850" s="4288"/>
    </row>
    <row r="5851" spans="15:15">
      <c r="O5851" s="4288"/>
    </row>
    <row r="5852" spans="15:15">
      <c r="O5852" s="4288"/>
    </row>
    <row r="5853" spans="15:15">
      <c r="O5853" s="4288"/>
    </row>
    <row r="5854" spans="15:15">
      <c r="O5854" s="4288"/>
    </row>
    <row r="5855" spans="15:15">
      <c r="O5855" s="4288"/>
    </row>
    <row r="5856" spans="15:15">
      <c r="O5856" s="4288"/>
    </row>
    <row r="5857" spans="15:15">
      <c r="O5857" s="4288"/>
    </row>
    <row r="5858" spans="15:15">
      <c r="O5858" s="4288"/>
    </row>
    <row r="5859" spans="15:15">
      <c r="O5859" s="4288"/>
    </row>
    <row r="5860" spans="15:15">
      <c r="O5860" s="4288"/>
    </row>
    <row r="5861" spans="15:15">
      <c r="O5861" s="4288"/>
    </row>
    <row r="5862" spans="15:15">
      <c r="O5862" s="4288"/>
    </row>
    <row r="5863" spans="15:15">
      <c r="O5863" s="4288"/>
    </row>
    <row r="5864" spans="15:15">
      <c r="O5864" s="4288"/>
    </row>
    <row r="5865" spans="15:15">
      <c r="O5865" s="4288"/>
    </row>
    <row r="5866" spans="15:15">
      <c r="O5866" s="4288"/>
    </row>
    <row r="5867" spans="15:15">
      <c r="O5867" s="4288"/>
    </row>
    <row r="5868" spans="15:15">
      <c r="O5868" s="4288"/>
    </row>
    <row r="5869" spans="15:15">
      <c r="O5869" s="4288"/>
    </row>
    <row r="5870" spans="15:15">
      <c r="O5870" s="4288"/>
    </row>
    <row r="5871" spans="15:15">
      <c r="O5871" s="4288"/>
    </row>
    <row r="5872" spans="15:15">
      <c r="O5872" s="4288"/>
    </row>
    <row r="5873" spans="15:15">
      <c r="O5873" s="4288"/>
    </row>
    <row r="5874" spans="15:15">
      <c r="O5874" s="4288"/>
    </row>
    <row r="5875" spans="15:15">
      <c r="O5875" s="4288"/>
    </row>
    <row r="5876" spans="15:15">
      <c r="O5876" s="4288"/>
    </row>
    <row r="5877" spans="15:15">
      <c r="O5877" s="4288"/>
    </row>
    <row r="5878" spans="15:15">
      <c r="O5878" s="4288"/>
    </row>
    <row r="5879" spans="15:15">
      <c r="O5879" s="4288"/>
    </row>
    <row r="5880" spans="15:15">
      <c r="O5880" s="4288"/>
    </row>
    <row r="5881" spans="15:15">
      <c r="O5881" s="4288"/>
    </row>
    <row r="5882" spans="15:15">
      <c r="O5882" s="4288"/>
    </row>
    <row r="5883" spans="15:15">
      <c r="O5883" s="4288"/>
    </row>
    <row r="5884" spans="15:15">
      <c r="O5884" s="4288"/>
    </row>
    <row r="5885" spans="15:15">
      <c r="O5885" s="4288"/>
    </row>
    <row r="5886" spans="15:15">
      <c r="O5886" s="4288"/>
    </row>
    <row r="5887" spans="15:15">
      <c r="O5887" s="4288"/>
    </row>
    <row r="5888" spans="15:15">
      <c r="O5888" s="4288"/>
    </row>
    <row r="5889" spans="15:15">
      <c r="O5889" s="4288"/>
    </row>
    <row r="5890" spans="15:15">
      <c r="O5890" s="4288"/>
    </row>
    <row r="5891" spans="15:15">
      <c r="O5891" s="4288"/>
    </row>
    <row r="5892" spans="15:15">
      <c r="O5892" s="4288"/>
    </row>
    <row r="5893" spans="15:15">
      <c r="O5893" s="4288"/>
    </row>
    <row r="5894" spans="15:15">
      <c r="O5894" s="4288"/>
    </row>
    <row r="5895" spans="15:15">
      <c r="O5895" s="4288"/>
    </row>
    <row r="5896" spans="15:15">
      <c r="O5896" s="4288"/>
    </row>
    <row r="5897" spans="15:15">
      <c r="O5897" s="4288"/>
    </row>
    <row r="5898" spans="15:15">
      <c r="O5898" s="4288"/>
    </row>
    <row r="5899" spans="15:15">
      <c r="O5899" s="4288"/>
    </row>
    <row r="5900" spans="15:15">
      <c r="O5900" s="4288"/>
    </row>
    <row r="5901" spans="15:15">
      <c r="O5901" s="4288"/>
    </row>
    <row r="5902" spans="15:15">
      <c r="O5902" s="4288"/>
    </row>
    <row r="5903" spans="15:15">
      <c r="O5903" s="4288"/>
    </row>
    <row r="5904" spans="15:15">
      <c r="O5904" s="4288"/>
    </row>
    <row r="5905" spans="15:15">
      <c r="O5905" s="4288"/>
    </row>
    <row r="5906" spans="15:15">
      <c r="O5906" s="4288"/>
    </row>
    <row r="5907" spans="15:15">
      <c r="O5907" s="4288"/>
    </row>
    <row r="5908" spans="15:15">
      <c r="O5908" s="4288"/>
    </row>
    <row r="5909" spans="15:15">
      <c r="O5909" s="4288"/>
    </row>
    <row r="5910" spans="15:15">
      <c r="O5910" s="4288"/>
    </row>
    <row r="5911" spans="15:15">
      <c r="O5911" s="4288"/>
    </row>
    <row r="5912" spans="15:15">
      <c r="O5912" s="4288"/>
    </row>
    <row r="5913" spans="15:15">
      <c r="O5913" s="4288"/>
    </row>
    <row r="5914" spans="15:15">
      <c r="O5914" s="4288"/>
    </row>
    <row r="5915" spans="15:15">
      <c r="O5915" s="4288"/>
    </row>
    <row r="5916" spans="15:15">
      <c r="O5916" s="4288"/>
    </row>
    <row r="5917" spans="15:15">
      <c r="O5917" s="4288"/>
    </row>
    <row r="5918" spans="15:15">
      <c r="O5918" s="4288"/>
    </row>
    <row r="5919" spans="15:15">
      <c r="O5919" s="4288"/>
    </row>
    <row r="5920" spans="15:15">
      <c r="O5920" s="4288"/>
    </row>
    <row r="5921" spans="15:15">
      <c r="O5921" s="4288"/>
    </row>
    <row r="5922" spans="15:15">
      <c r="O5922" s="4288"/>
    </row>
    <row r="5923" spans="15:15">
      <c r="O5923" s="4288"/>
    </row>
    <row r="5924" spans="15:15">
      <c r="O5924" s="4288"/>
    </row>
    <row r="5925" spans="15:15">
      <c r="O5925" s="4288"/>
    </row>
    <row r="5926" spans="15:15">
      <c r="O5926" s="4288"/>
    </row>
    <row r="5927" spans="15:15">
      <c r="O5927" s="4288"/>
    </row>
    <row r="5928" spans="15:15">
      <c r="O5928" s="4288"/>
    </row>
    <row r="5929" spans="15:15">
      <c r="O5929" s="4288"/>
    </row>
    <row r="5930" spans="15:15">
      <c r="O5930" s="4288"/>
    </row>
    <row r="5931" spans="15:15">
      <c r="O5931" s="4288"/>
    </row>
    <row r="5932" spans="15:15">
      <c r="O5932" s="4288"/>
    </row>
    <row r="5933" spans="15:15">
      <c r="O5933" s="4288"/>
    </row>
    <row r="5934" spans="15:15">
      <c r="O5934" s="4288"/>
    </row>
    <row r="5935" spans="15:15">
      <c r="O5935" s="4288"/>
    </row>
    <row r="5936" spans="15:15">
      <c r="O5936" s="4288"/>
    </row>
    <row r="5937" spans="15:15">
      <c r="O5937" s="4288"/>
    </row>
    <row r="5938" spans="15:15">
      <c r="O5938" s="4288"/>
    </row>
    <row r="5939" spans="15:15">
      <c r="O5939" s="4288"/>
    </row>
    <row r="5940" spans="15:15">
      <c r="O5940" s="4288"/>
    </row>
    <row r="5941" spans="15:15">
      <c r="O5941" s="4288"/>
    </row>
    <row r="5942" spans="15:15">
      <c r="O5942" s="4288"/>
    </row>
    <row r="5943" spans="15:15">
      <c r="O5943" s="4288"/>
    </row>
    <row r="5944" spans="15:15">
      <c r="O5944" s="4288"/>
    </row>
    <row r="5945" spans="15:15">
      <c r="O5945" s="4288"/>
    </row>
    <row r="5946" spans="15:15">
      <c r="O5946" s="4288"/>
    </row>
    <row r="5947" spans="15:15">
      <c r="O5947" s="4288"/>
    </row>
    <row r="5948" spans="15:15">
      <c r="O5948" s="4288"/>
    </row>
    <row r="5949" spans="15:15">
      <c r="O5949" s="4288"/>
    </row>
    <row r="5950" spans="15:15">
      <c r="O5950" s="4288"/>
    </row>
    <row r="5951" spans="15:15">
      <c r="O5951" s="4288"/>
    </row>
    <row r="5952" spans="15:15">
      <c r="O5952" s="4288"/>
    </row>
    <row r="5953" spans="15:15">
      <c r="O5953" s="4288"/>
    </row>
    <row r="5954" spans="15:15">
      <c r="O5954" s="4288"/>
    </row>
    <row r="5955" spans="15:15">
      <c r="O5955" s="4288"/>
    </row>
    <row r="5956" spans="15:15">
      <c r="O5956" s="4288"/>
    </row>
    <row r="5957" spans="15:15">
      <c r="O5957" s="4288"/>
    </row>
    <row r="5958" spans="15:15">
      <c r="O5958" s="4288"/>
    </row>
    <row r="5959" spans="15:15">
      <c r="O5959" s="4288"/>
    </row>
    <row r="5960" spans="15:15">
      <c r="O5960" s="4288"/>
    </row>
    <row r="5961" spans="15:15">
      <c r="O5961" s="4288"/>
    </row>
    <row r="5962" spans="15:15">
      <c r="O5962" s="4288"/>
    </row>
    <row r="5963" spans="15:15">
      <c r="O5963" s="4288"/>
    </row>
    <row r="5964" spans="15:15">
      <c r="O5964" s="4288"/>
    </row>
    <row r="5965" spans="15:15">
      <c r="O5965" s="4288"/>
    </row>
    <row r="5966" spans="15:15">
      <c r="O5966" s="4288"/>
    </row>
    <row r="5967" spans="15:15">
      <c r="O5967" s="4288"/>
    </row>
    <row r="5968" spans="15:15">
      <c r="O5968" s="4288"/>
    </row>
    <row r="5969" spans="15:15">
      <c r="O5969" s="4288"/>
    </row>
    <row r="5970" spans="15:15">
      <c r="O5970" s="4288"/>
    </row>
    <row r="5971" spans="15:15">
      <c r="O5971" s="4288"/>
    </row>
    <row r="5972" spans="15:15">
      <c r="O5972" s="4288"/>
    </row>
    <row r="5973" spans="15:15">
      <c r="O5973" s="4288"/>
    </row>
    <row r="5974" spans="15:15">
      <c r="O5974" s="4288"/>
    </row>
    <row r="5975" spans="15:15">
      <c r="O5975" s="4288"/>
    </row>
    <row r="5976" spans="15:15">
      <c r="O5976" s="4288"/>
    </row>
    <row r="5977" spans="15:15">
      <c r="O5977" s="4288"/>
    </row>
    <row r="5978" spans="15:15">
      <c r="O5978" s="4288"/>
    </row>
    <row r="5979" spans="15:15">
      <c r="O5979" s="4288"/>
    </row>
    <row r="5980" spans="15:15">
      <c r="O5980" s="4288"/>
    </row>
    <row r="5981" spans="15:15">
      <c r="O5981" s="4288"/>
    </row>
    <row r="5982" spans="15:15">
      <c r="O5982" s="4288"/>
    </row>
    <row r="5983" spans="15:15">
      <c r="O5983" s="4288"/>
    </row>
    <row r="5984" spans="15:15">
      <c r="O5984" s="4288"/>
    </row>
    <row r="5985" spans="15:15">
      <c r="O5985" s="4288"/>
    </row>
    <row r="5986" spans="15:15">
      <c r="O5986" s="4288"/>
    </row>
    <row r="5987" spans="15:15">
      <c r="O5987" s="4288"/>
    </row>
    <row r="5988" spans="15:15">
      <c r="O5988" s="4288"/>
    </row>
    <row r="5989" spans="15:15">
      <c r="O5989" s="4288"/>
    </row>
    <row r="5990" spans="15:15">
      <c r="O5990" s="4288"/>
    </row>
    <row r="5991" spans="15:15">
      <c r="O5991" s="4288"/>
    </row>
    <row r="5992" spans="15:15">
      <c r="O5992" s="4288"/>
    </row>
    <row r="5993" spans="15:15">
      <c r="O5993" s="4288"/>
    </row>
    <row r="5994" spans="15:15">
      <c r="O5994" s="4288"/>
    </row>
    <row r="5995" spans="15:15">
      <c r="O5995" s="4288"/>
    </row>
    <row r="5996" spans="15:15">
      <c r="O5996" s="4288"/>
    </row>
    <row r="5997" spans="15:15">
      <c r="O5997" s="4288"/>
    </row>
    <row r="5998" spans="15:15">
      <c r="O5998" s="4288"/>
    </row>
    <row r="5999" spans="15:15">
      <c r="O5999" s="4288"/>
    </row>
    <row r="6000" spans="15:15">
      <c r="O6000" s="4288"/>
    </row>
    <row r="6001" spans="15:15">
      <c r="O6001" s="4288"/>
    </row>
    <row r="6002" spans="15:15">
      <c r="O6002" s="4288"/>
    </row>
    <row r="6003" spans="15:15">
      <c r="O6003" s="4288"/>
    </row>
    <row r="6004" spans="15:15">
      <c r="O6004" s="4288"/>
    </row>
    <row r="6005" spans="15:15">
      <c r="O6005" s="4288"/>
    </row>
    <row r="6006" spans="15:15">
      <c r="O6006" s="4288"/>
    </row>
    <row r="6007" spans="15:15">
      <c r="O6007" s="4288"/>
    </row>
    <row r="6008" spans="15:15">
      <c r="O6008" s="4288"/>
    </row>
    <row r="6009" spans="15:15">
      <c r="O6009" s="4288"/>
    </row>
    <row r="6010" spans="15:15">
      <c r="O6010" s="4288"/>
    </row>
    <row r="6011" spans="15:15">
      <c r="O6011" s="4288"/>
    </row>
    <row r="6012" spans="15:15">
      <c r="O6012" s="4288"/>
    </row>
    <row r="6013" spans="15:15">
      <c r="O6013" s="4288"/>
    </row>
    <row r="6014" spans="15:15">
      <c r="O6014" s="4288"/>
    </row>
    <row r="6015" spans="15:15">
      <c r="O6015" s="4288"/>
    </row>
    <row r="6016" spans="15:15">
      <c r="O6016" s="4288"/>
    </row>
    <row r="6017" spans="15:15">
      <c r="O6017" s="4288"/>
    </row>
    <row r="6018" spans="15:15">
      <c r="O6018" s="4288"/>
    </row>
    <row r="6019" spans="15:15">
      <c r="O6019" s="4288"/>
    </row>
    <row r="6020" spans="15:15">
      <c r="O6020" s="4288"/>
    </row>
    <row r="6021" spans="15:15">
      <c r="O6021" s="4288"/>
    </row>
    <row r="6022" spans="15:15">
      <c r="O6022" s="4288"/>
    </row>
    <row r="6023" spans="15:15">
      <c r="O6023" s="4288"/>
    </row>
    <row r="6024" spans="15:15">
      <c r="O6024" s="4288"/>
    </row>
    <row r="6025" spans="15:15">
      <c r="O6025" s="4288"/>
    </row>
    <row r="6026" spans="15:15">
      <c r="O6026" s="4288"/>
    </row>
    <row r="6027" spans="15:15">
      <c r="O6027" s="4288"/>
    </row>
    <row r="6028" spans="15:15">
      <c r="O6028" s="4288"/>
    </row>
    <row r="6029" spans="15:15">
      <c r="O6029" s="4288"/>
    </row>
    <row r="6030" spans="15:15">
      <c r="O6030" s="4288"/>
    </row>
    <row r="6031" spans="15:15">
      <c r="O6031" s="4288"/>
    </row>
    <row r="6032" spans="15:15">
      <c r="O6032" s="4288"/>
    </row>
    <row r="6033" spans="15:15">
      <c r="O6033" s="4288"/>
    </row>
    <row r="6034" spans="15:15">
      <c r="O6034" s="4288"/>
    </row>
    <row r="6035" spans="15:15">
      <c r="O6035" s="4288"/>
    </row>
    <row r="6036" spans="15:15">
      <c r="O6036" s="4288"/>
    </row>
    <row r="6037" spans="15:15">
      <c r="O6037" s="4288"/>
    </row>
    <row r="6038" spans="15:15">
      <c r="O6038" s="4288"/>
    </row>
    <row r="6039" spans="15:15">
      <c r="O6039" s="4288"/>
    </row>
    <row r="6040" spans="15:15">
      <c r="O6040" s="4288"/>
    </row>
    <row r="6041" spans="15:15">
      <c r="O6041" s="4288"/>
    </row>
    <row r="6042" spans="15:15">
      <c r="O6042" s="4288"/>
    </row>
    <row r="6043" spans="15:15">
      <c r="O6043" s="4288"/>
    </row>
    <row r="6044" spans="15:15">
      <c r="O6044" s="4288"/>
    </row>
    <row r="6045" spans="15:15">
      <c r="O6045" s="4288"/>
    </row>
    <row r="6046" spans="15:15">
      <c r="O6046" s="4288"/>
    </row>
    <row r="6047" spans="15:15">
      <c r="O6047" s="4288"/>
    </row>
    <row r="6048" spans="15:15">
      <c r="O6048" s="4288"/>
    </row>
    <row r="6049" spans="15:15">
      <c r="O6049" s="4288"/>
    </row>
    <row r="6050" spans="15:15">
      <c r="O6050" s="4288"/>
    </row>
    <row r="6051" spans="15:15">
      <c r="O6051" s="4288"/>
    </row>
    <row r="6052" spans="15:15">
      <c r="O6052" s="4288"/>
    </row>
    <row r="6053" spans="15:15">
      <c r="O6053" s="4288"/>
    </row>
    <row r="6054" spans="15:15">
      <c r="O6054" s="4288"/>
    </row>
    <row r="6055" spans="15:15">
      <c r="O6055" s="4288"/>
    </row>
    <row r="6056" spans="15:15">
      <c r="O6056" s="4288"/>
    </row>
    <row r="6057" spans="15:15">
      <c r="O6057" s="4288"/>
    </row>
    <row r="6058" spans="15:15">
      <c r="O6058" s="4288"/>
    </row>
    <row r="6059" spans="15:15">
      <c r="O6059" s="4288"/>
    </row>
    <row r="6060" spans="15:15">
      <c r="O6060" s="4288"/>
    </row>
    <row r="6061" spans="15:15">
      <c r="O6061" s="4288"/>
    </row>
    <row r="6062" spans="15:15">
      <c r="O6062" s="4288"/>
    </row>
    <row r="6063" spans="15:15">
      <c r="O6063" s="4288"/>
    </row>
    <row r="6064" spans="15:15">
      <c r="O6064" s="4288"/>
    </row>
    <row r="6065" spans="15:15">
      <c r="O6065" s="4288"/>
    </row>
    <row r="6066" spans="15:15">
      <c r="O6066" s="4288"/>
    </row>
    <row r="6067" spans="15:15">
      <c r="O6067" s="4288"/>
    </row>
    <row r="6068" spans="15:15">
      <c r="O6068" s="4288"/>
    </row>
    <row r="6069" spans="15:15">
      <c r="O6069" s="4288"/>
    </row>
    <row r="6070" spans="15:15">
      <c r="O6070" s="4288"/>
    </row>
    <row r="6071" spans="15:15">
      <c r="O6071" s="4288"/>
    </row>
    <row r="6072" spans="15:15">
      <c r="O6072" s="4288"/>
    </row>
    <row r="6073" spans="15:15">
      <c r="O6073" s="4288"/>
    </row>
    <row r="6074" spans="15:15">
      <c r="O6074" s="4288"/>
    </row>
    <row r="6075" spans="15:15">
      <c r="O6075" s="4288"/>
    </row>
    <row r="6076" spans="15:15">
      <c r="O6076" s="4288"/>
    </row>
    <row r="6077" spans="15:15">
      <c r="O6077" s="4288"/>
    </row>
    <row r="6078" spans="15:15">
      <c r="O6078" s="4288"/>
    </row>
    <row r="6079" spans="15:15">
      <c r="O6079" s="4288"/>
    </row>
    <row r="6080" spans="15:15">
      <c r="O6080" s="4288"/>
    </row>
    <row r="6081" spans="15:15">
      <c r="O6081" s="4288"/>
    </row>
    <row r="6082" spans="15:15">
      <c r="O6082" s="4288"/>
    </row>
    <row r="6083" spans="15:15">
      <c r="O6083" s="4288"/>
    </row>
    <row r="6084" spans="15:15">
      <c r="O6084" s="4288"/>
    </row>
    <row r="6085" spans="15:15">
      <c r="O6085" s="4288"/>
    </row>
    <row r="6086" spans="15:15">
      <c r="O6086" s="4288"/>
    </row>
    <row r="6087" spans="15:15">
      <c r="O6087" s="4288"/>
    </row>
    <row r="6088" spans="15:15">
      <c r="O6088" s="4288"/>
    </row>
    <row r="6089" spans="15:15">
      <c r="O6089" s="4288"/>
    </row>
    <row r="6090" spans="15:15">
      <c r="O6090" s="4288"/>
    </row>
    <row r="6091" spans="15:15">
      <c r="O6091" s="4288"/>
    </row>
    <row r="6092" spans="15:15">
      <c r="O6092" s="4288"/>
    </row>
    <row r="6093" spans="15:15">
      <c r="O6093" s="4288"/>
    </row>
    <row r="6094" spans="15:15">
      <c r="O6094" s="4288"/>
    </row>
    <row r="6095" spans="15:15">
      <c r="O6095" s="4288"/>
    </row>
    <row r="6096" spans="15:15">
      <c r="O6096" s="4288"/>
    </row>
    <row r="6097" spans="15:15">
      <c r="O6097" s="4288"/>
    </row>
    <row r="6098" spans="15:15">
      <c r="O6098" s="4288"/>
    </row>
    <row r="6099" spans="15:15">
      <c r="O6099" s="4288"/>
    </row>
    <row r="6100" spans="15:15">
      <c r="O6100" s="4288"/>
    </row>
    <row r="6101" spans="15:15">
      <c r="O6101" s="4288"/>
    </row>
    <row r="6102" spans="15:15">
      <c r="O6102" s="4288"/>
    </row>
    <row r="6103" spans="15:15">
      <c r="O6103" s="4288"/>
    </row>
    <row r="6104" spans="15:15">
      <c r="O6104" s="4288"/>
    </row>
    <row r="6105" spans="15:15">
      <c r="O6105" s="4288"/>
    </row>
    <row r="6106" spans="15:15">
      <c r="O6106" s="4288"/>
    </row>
    <row r="6107" spans="15:15">
      <c r="O6107" s="4288"/>
    </row>
    <row r="6108" spans="15:15">
      <c r="O6108" s="4288"/>
    </row>
    <row r="6109" spans="15:15">
      <c r="O6109" s="4288"/>
    </row>
    <row r="6110" spans="15:15">
      <c r="O6110" s="4288"/>
    </row>
    <row r="6111" spans="15:15">
      <c r="O6111" s="4288"/>
    </row>
    <row r="6112" spans="15:15">
      <c r="O6112" s="4288"/>
    </row>
    <row r="6113" spans="15:15">
      <c r="O6113" s="4288"/>
    </row>
    <row r="6114" spans="15:15">
      <c r="O6114" s="4288"/>
    </row>
    <row r="6115" spans="15:15">
      <c r="O6115" s="4288"/>
    </row>
    <row r="6116" spans="15:15">
      <c r="O6116" s="4288"/>
    </row>
    <row r="6117" spans="15:15">
      <c r="O6117" s="4288"/>
    </row>
    <row r="6118" spans="15:15">
      <c r="O6118" s="4288"/>
    </row>
    <row r="6119" spans="15:15">
      <c r="O6119" s="4288"/>
    </row>
    <row r="6120" spans="15:15">
      <c r="O6120" s="4288"/>
    </row>
    <row r="6121" spans="15:15">
      <c r="O6121" s="4288"/>
    </row>
    <row r="6122" spans="15:15">
      <c r="O6122" s="4288"/>
    </row>
    <row r="6123" spans="15:15">
      <c r="O6123" s="4288"/>
    </row>
    <row r="6124" spans="15:15">
      <c r="O6124" s="4288"/>
    </row>
    <row r="6125" spans="15:15">
      <c r="O6125" s="4288"/>
    </row>
    <row r="6126" spans="15:15">
      <c r="O6126" s="4288"/>
    </row>
    <row r="6127" spans="15:15">
      <c r="O6127" s="4288"/>
    </row>
    <row r="6128" spans="15:15">
      <c r="O6128" s="4288"/>
    </row>
    <row r="6129" spans="15:15">
      <c r="O6129" s="4288"/>
    </row>
    <row r="6130" spans="15:15">
      <c r="O6130" s="4288"/>
    </row>
    <row r="6131" spans="15:15">
      <c r="O6131" s="4288"/>
    </row>
    <row r="6132" spans="15:15">
      <c r="O6132" s="4288"/>
    </row>
    <row r="6133" spans="15:15">
      <c r="O6133" s="4288"/>
    </row>
    <row r="6134" spans="15:15">
      <c r="O6134" s="4288"/>
    </row>
    <row r="6135" spans="15:15">
      <c r="O6135" s="4288"/>
    </row>
    <row r="6136" spans="15:15">
      <c r="O6136" s="4288"/>
    </row>
    <row r="6137" spans="15:15">
      <c r="O6137" s="4288"/>
    </row>
    <row r="6138" spans="15:15">
      <c r="O6138" s="4288"/>
    </row>
    <row r="6139" spans="15:15">
      <c r="O6139" s="4288"/>
    </row>
    <row r="6140" spans="15:15">
      <c r="O6140" s="4288"/>
    </row>
    <row r="6141" spans="15:15">
      <c r="O6141" s="4288"/>
    </row>
    <row r="6142" spans="15:15">
      <c r="O6142" s="4288"/>
    </row>
    <row r="6143" spans="15:15">
      <c r="O6143" s="4288"/>
    </row>
    <row r="6144" spans="15:15">
      <c r="O6144" s="4288"/>
    </row>
    <row r="6145" spans="15:15">
      <c r="O6145" s="4288"/>
    </row>
    <row r="6146" spans="15:15">
      <c r="O6146" s="4288"/>
    </row>
    <row r="6147" spans="15:15">
      <c r="O6147" s="4288"/>
    </row>
    <row r="6148" spans="15:15">
      <c r="O6148" s="4288"/>
    </row>
    <row r="6149" spans="15:15">
      <c r="O6149" s="4288"/>
    </row>
    <row r="6150" spans="15:15">
      <c r="O6150" s="4288"/>
    </row>
    <row r="6151" spans="15:15">
      <c r="O6151" s="4288"/>
    </row>
    <row r="6152" spans="15:15">
      <c r="O6152" s="4288"/>
    </row>
    <row r="6153" spans="15:15">
      <c r="O6153" s="4288"/>
    </row>
    <row r="6154" spans="15:15">
      <c r="O6154" s="4288"/>
    </row>
    <row r="6155" spans="15:15">
      <c r="O6155" s="4288"/>
    </row>
    <row r="6156" spans="15:15">
      <c r="O6156" s="4288"/>
    </row>
    <row r="6157" spans="15:15">
      <c r="O6157" s="4288"/>
    </row>
    <row r="6158" spans="15:15">
      <c r="O6158" s="4288"/>
    </row>
    <row r="6159" spans="15:15">
      <c r="O6159" s="4288"/>
    </row>
    <row r="6160" spans="15:15">
      <c r="O6160" s="4288"/>
    </row>
    <row r="6161" spans="15:15">
      <c r="O6161" s="4288"/>
    </row>
    <row r="6162" spans="15:15">
      <c r="O6162" s="4288"/>
    </row>
    <row r="6163" spans="15:15">
      <c r="O6163" s="4288"/>
    </row>
    <row r="6164" spans="15:15">
      <c r="O6164" s="4288"/>
    </row>
    <row r="6165" spans="15:15">
      <c r="O6165" s="4288"/>
    </row>
    <row r="6166" spans="15:15">
      <c r="O6166" s="4288"/>
    </row>
    <row r="6167" spans="15:15">
      <c r="O6167" s="4288"/>
    </row>
    <row r="6168" spans="15:15">
      <c r="O6168" s="4288"/>
    </row>
    <row r="6169" spans="15:15">
      <c r="O6169" s="4288"/>
    </row>
    <row r="6170" spans="15:15">
      <c r="O6170" s="4288"/>
    </row>
    <row r="6171" spans="15:15">
      <c r="O6171" s="4288"/>
    </row>
    <row r="6172" spans="15:15">
      <c r="O6172" s="4288"/>
    </row>
    <row r="6173" spans="15:15">
      <c r="O6173" s="4288"/>
    </row>
    <row r="6174" spans="15:15">
      <c r="O6174" s="4288"/>
    </row>
    <row r="6175" spans="15:15">
      <c r="O6175" s="4288"/>
    </row>
    <row r="6176" spans="15:15">
      <c r="O6176" s="4288"/>
    </row>
    <row r="6177" spans="15:15">
      <c r="O6177" s="4288"/>
    </row>
    <row r="6178" spans="15:15">
      <c r="O6178" s="4288"/>
    </row>
    <row r="6179" spans="15:15">
      <c r="O6179" s="4288"/>
    </row>
    <row r="6180" spans="15:15">
      <c r="O6180" s="4288"/>
    </row>
    <row r="6181" spans="15:15">
      <c r="O6181" s="4288"/>
    </row>
    <row r="6182" spans="15:15">
      <c r="O6182" s="4288"/>
    </row>
    <row r="6183" spans="15:15">
      <c r="O6183" s="4288"/>
    </row>
    <row r="6184" spans="15:15">
      <c r="O6184" s="4288"/>
    </row>
    <row r="6185" spans="15:15">
      <c r="O6185" s="4288"/>
    </row>
    <row r="6186" spans="15:15">
      <c r="O6186" s="4288"/>
    </row>
    <row r="6187" spans="15:15">
      <c r="O6187" s="4288"/>
    </row>
    <row r="6188" spans="15:15">
      <c r="O6188" s="4288"/>
    </row>
    <row r="6189" spans="15:15">
      <c r="O6189" s="4288"/>
    </row>
    <row r="6190" spans="15:15">
      <c r="O6190" s="4288"/>
    </row>
    <row r="6191" spans="15:15">
      <c r="O6191" s="4288"/>
    </row>
    <row r="6192" spans="15:15">
      <c r="O6192" s="4288"/>
    </row>
    <row r="6193" spans="15:15">
      <c r="O6193" s="4288"/>
    </row>
    <row r="6194" spans="15:15">
      <c r="O6194" s="4288"/>
    </row>
    <row r="6195" spans="15:15">
      <c r="O6195" s="4288"/>
    </row>
    <row r="6196" spans="15:15">
      <c r="O6196" s="4288"/>
    </row>
    <row r="6197" spans="15:15">
      <c r="O6197" s="4288"/>
    </row>
    <row r="6198" spans="15:15">
      <c r="O6198" s="4288"/>
    </row>
    <row r="6199" spans="15:15">
      <c r="O6199" s="4288"/>
    </row>
    <row r="6200" spans="15:15">
      <c r="O6200" s="4288"/>
    </row>
    <row r="6201" spans="15:15">
      <c r="O6201" s="4288"/>
    </row>
    <row r="6202" spans="15:15">
      <c r="O6202" s="4288"/>
    </row>
    <row r="6203" spans="15:15">
      <c r="O6203" s="4288"/>
    </row>
    <row r="6204" spans="15:15">
      <c r="O6204" s="4288"/>
    </row>
    <row r="6205" spans="15:15">
      <c r="O6205" s="4288"/>
    </row>
    <row r="6206" spans="15:15">
      <c r="O6206" s="4288"/>
    </row>
    <row r="6207" spans="15:15">
      <c r="O6207" s="4288"/>
    </row>
    <row r="6208" spans="15:15">
      <c r="O6208" s="4288"/>
    </row>
    <row r="6209" spans="15:15">
      <c r="O6209" s="4288"/>
    </row>
    <row r="6210" spans="15:15">
      <c r="O6210" s="4288"/>
    </row>
    <row r="6211" spans="15:15">
      <c r="O6211" s="4288"/>
    </row>
    <row r="6212" spans="15:15">
      <c r="O6212" s="4288"/>
    </row>
    <row r="6213" spans="15:15">
      <c r="O6213" s="4288"/>
    </row>
    <row r="6214" spans="15:15">
      <c r="O6214" s="4288"/>
    </row>
    <row r="6215" spans="15:15">
      <c r="O6215" s="4288"/>
    </row>
    <row r="6216" spans="15:15">
      <c r="O6216" s="4288"/>
    </row>
    <row r="6217" spans="15:15">
      <c r="O6217" s="4288"/>
    </row>
    <row r="6218" spans="15:15">
      <c r="O6218" s="4288"/>
    </row>
    <row r="6219" spans="15:15">
      <c r="O6219" s="4288"/>
    </row>
    <row r="6220" spans="15:15">
      <c r="O6220" s="4288"/>
    </row>
    <row r="6221" spans="15:15">
      <c r="O6221" s="4288"/>
    </row>
    <row r="6222" spans="15:15">
      <c r="O6222" s="4288"/>
    </row>
    <row r="6223" spans="15:15">
      <c r="O6223" s="4288"/>
    </row>
    <row r="6224" spans="15:15">
      <c r="O6224" s="4288"/>
    </row>
    <row r="6225" spans="15:15">
      <c r="O6225" s="4288"/>
    </row>
    <row r="6226" spans="15:15">
      <c r="O6226" s="4288"/>
    </row>
    <row r="6227" spans="15:15">
      <c r="O6227" s="4288"/>
    </row>
    <row r="6228" spans="15:15">
      <c r="O6228" s="4288"/>
    </row>
    <row r="6229" spans="15:15">
      <c r="O6229" s="4288"/>
    </row>
    <row r="6230" spans="15:15">
      <c r="O6230" s="4288"/>
    </row>
    <row r="6231" spans="15:15">
      <c r="O6231" s="4288"/>
    </row>
    <row r="6232" spans="15:15">
      <c r="O6232" s="4288"/>
    </row>
    <row r="6233" spans="15:15">
      <c r="O6233" s="4288"/>
    </row>
    <row r="6234" spans="15:15">
      <c r="O6234" s="4288"/>
    </row>
    <row r="6235" spans="15:15">
      <c r="O6235" s="4288"/>
    </row>
    <row r="6236" spans="15:15">
      <c r="O6236" s="4288"/>
    </row>
    <row r="6237" spans="15:15">
      <c r="O6237" s="4288"/>
    </row>
    <row r="6238" spans="15:15">
      <c r="O6238" s="4288"/>
    </row>
    <row r="6239" spans="15:15">
      <c r="O6239" s="4288"/>
    </row>
    <row r="6240" spans="15:15">
      <c r="O6240" s="4288"/>
    </row>
    <row r="6241" spans="15:15">
      <c r="O6241" s="4288"/>
    </row>
    <row r="6242" spans="15:15">
      <c r="O6242" s="4288"/>
    </row>
    <row r="6243" spans="15:15">
      <c r="O6243" s="4288"/>
    </row>
    <row r="6244" spans="15:15">
      <c r="O6244" s="4288"/>
    </row>
    <row r="6245" spans="15:15">
      <c r="O6245" s="4288"/>
    </row>
    <row r="6246" spans="15:15">
      <c r="O6246" s="4288"/>
    </row>
    <row r="6247" spans="15:15">
      <c r="O6247" s="4288"/>
    </row>
    <row r="6248" spans="15:15">
      <c r="O6248" s="4288"/>
    </row>
    <row r="6249" spans="15:15">
      <c r="O6249" s="4288"/>
    </row>
    <row r="6250" spans="15:15">
      <c r="O6250" s="4288"/>
    </row>
    <row r="6251" spans="15:15">
      <c r="O6251" s="4288"/>
    </row>
    <row r="6252" spans="15:15">
      <c r="O6252" s="4288"/>
    </row>
    <row r="6253" spans="15:15">
      <c r="O6253" s="4288"/>
    </row>
    <row r="6254" spans="15:15">
      <c r="O6254" s="4288"/>
    </row>
    <row r="6255" spans="15:15">
      <c r="O6255" s="4288"/>
    </row>
    <row r="6256" spans="15:15">
      <c r="O6256" s="4288"/>
    </row>
    <row r="6257" spans="15:15">
      <c r="O6257" s="4288"/>
    </row>
    <row r="6258" spans="15:15">
      <c r="O6258" s="4288"/>
    </row>
    <row r="6259" spans="15:15">
      <c r="O6259" s="4288"/>
    </row>
    <row r="6260" spans="15:15">
      <c r="O6260" s="4288"/>
    </row>
    <row r="6261" spans="15:15">
      <c r="O6261" s="4288"/>
    </row>
    <row r="6262" spans="15:15">
      <c r="O6262" s="4288"/>
    </row>
    <row r="6263" spans="15:15">
      <c r="O6263" s="4288"/>
    </row>
    <row r="6264" spans="15:15">
      <c r="O6264" s="4288"/>
    </row>
    <row r="6265" spans="15:15">
      <c r="O6265" s="4288"/>
    </row>
    <row r="6266" spans="15:15">
      <c r="O6266" s="4288"/>
    </row>
    <row r="6267" spans="15:15">
      <c r="O6267" s="4288"/>
    </row>
    <row r="6268" spans="15:15">
      <c r="O6268" s="4288"/>
    </row>
    <row r="6269" spans="15:15">
      <c r="O6269" s="4288"/>
    </row>
    <row r="6270" spans="15:15">
      <c r="O6270" s="4288"/>
    </row>
    <row r="6271" spans="15:15">
      <c r="O6271" s="4288"/>
    </row>
    <row r="6272" spans="15:15">
      <c r="O6272" s="4288"/>
    </row>
    <row r="6273" spans="15:15">
      <c r="O6273" s="4288"/>
    </row>
    <row r="6274" spans="15:15">
      <c r="O6274" s="4288"/>
    </row>
    <row r="6275" spans="15:15">
      <c r="O6275" s="4288"/>
    </row>
    <row r="6276" spans="15:15">
      <c r="O6276" s="4288"/>
    </row>
    <row r="6277" spans="15:15">
      <c r="O6277" s="4288"/>
    </row>
    <row r="6278" spans="15:15">
      <c r="O6278" s="4288"/>
    </row>
    <row r="6279" spans="15:15">
      <c r="O6279" s="4288"/>
    </row>
    <row r="6280" spans="15:15">
      <c r="O6280" s="4288"/>
    </row>
    <row r="6281" spans="15:15">
      <c r="O6281" s="4288"/>
    </row>
    <row r="6282" spans="15:15">
      <c r="O6282" s="4288"/>
    </row>
    <row r="6283" spans="15:15">
      <c r="O6283" s="4288"/>
    </row>
    <row r="6284" spans="15:15">
      <c r="O6284" s="4288"/>
    </row>
    <row r="6285" spans="15:15">
      <c r="O6285" s="4288"/>
    </row>
    <row r="6286" spans="15:15">
      <c r="O6286" s="4288"/>
    </row>
    <row r="6287" spans="15:15">
      <c r="O6287" s="4288"/>
    </row>
    <row r="6288" spans="15:15">
      <c r="O6288" s="4288"/>
    </row>
    <row r="6289" spans="15:15">
      <c r="O6289" s="4288"/>
    </row>
    <row r="6290" spans="15:15">
      <c r="O6290" s="4288"/>
    </row>
    <row r="6291" spans="15:15">
      <c r="O6291" s="4288"/>
    </row>
    <row r="6292" spans="15:15">
      <c r="O6292" s="4288"/>
    </row>
    <row r="6293" spans="15:15">
      <c r="O6293" s="4288"/>
    </row>
    <row r="6294" spans="15:15">
      <c r="O6294" s="4288"/>
    </row>
    <row r="6295" spans="15:15">
      <c r="O6295" s="4288"/>
    </row>
    <row r="6296" spans="15:15">
      <c r="O6296" s="4288"/>
    </row>
    <row r="6297" spans="15:15">
      <c r="O6297" s="4288"/>
    </row>
    <row r="6298" spans="15:15">
      <c r="O6298" s="4288"/>
    </row>
    <row r="6299" spans="15:15">
      <c r="O6299" s="4288"/>
    </row>
    <row r="6300" spans="15:15">
      <c r="O6300" s="4288"/>
    </row>
    <row r="6301" spans="15:15">
      <c r="O6301" s="4288"/>
    </row>
    <row r="6302" spans="15:15">
      <c r="O6302" s="4288"/>
    </row>
    <row r="6303" spans="15:15">
      <c r="O6303" s="4288"/>
    </row>
    <row r="6304" spans="15:15">
      <c r="O6304" s="4288"/>
    </row>
    <row r="6305" spans="15:15">
      <c r="O6305" s="4288"/>
    </row>
    <row r="6306" spans="15:15">
      <c r="O6306" s="4288"/>
    </row>
    <row r="6307" spans="15:15">
      <c r="O6307" s="4288"/>
    </row>
    <row r="6308" spans="15:15">
      <c r="O6308" s="4288"/>
    </row>
    <row r="6309" spans="15:15">
      <c r="O6309" s="4288"/>
    </row>
    <row r="6310" spans="15:15">
      <c r="O6310" s="4288"/>
    </row>
    <row r="6311" spans="15:15">
      <c r="O6311" s="4288"/>
    </row>
    <row r="6312" spans="15:15">
      <c r="O6312" s="4288"/>
    </row>
    <row r="6313" spans="15:15">
      <c r="O6313" s="4288"/>
    </row>
    <row r="6314" spans="15:15">
      <c r="O6314" s="4288"/>
    </row>
    <row r="6315" spans="15:15">
      <c r="O6315" s="4288"/>
    </row>
    <row r="6316" spans="15:15">
      <c r="O6316" s="4288"/>
    </row>
    <row r="6317" spans="15:15">
      <c r="O6317" s="4288"/>
    </row>
    <row r="6318" spans="15:15">
      <c r="O6318" s="4288"/>
    </row>
    <row r="6319" spans="15:15">
      <c r="O6319" s="4288"/>
    </row>
    <row r="6320" spans="15:15">
      <c r="O6320" s="4288"/>
    </row>
    <row r="6321" spans="15:15">
      <c r="O6321" s="4288"/>
    </row>
    <row r="6322" spans="15:15">
      <c r="O6322" s="4288"/>
    </row>
    <row r="6323" spans="15:15">
      <c r="O6323" s="4288"/>
    </row>
    <row r="6324" spans="15:15">
      <c r="O6324" s="4288"/>
    </row>
    <row r="6325" spans="15:15">
      <c r="O6325" s="4288"/>
    </row>
    <row r="6326" spans="15:15">
      <c r="O6326" s="4288"/>
    </row>
    <row r="6327" spans="15:15">
      <c r="O6327" s="4288"/>
    </row>
    <row r="6328" spans="15:15">
      <c r="O6328" s="4288"/>
    </row>
    <row r="6329" spans="15:15">
      <c r="O6329" s="4288"/>
    </row>
    <row r="6330" spans="15:15">
      <c r="O6330" s="4288"/>
    </row>
    <row r="6331" spans="15:15">
      <c r="O6331" s="4288"/>
    </row>
    <row r="6332" spans="15:15">
      <c r="O6332" s="4288"/>
    </row>
    <row r="6333" spans="15:15">
      <c r="O6333" s="4288"/>
    </row>
    <row r="6334" spans="15:15">
      <c r="O6334" s="4288"/>
    </row>
    <row r="6335" spans="15:15">
      <c r="O6335" s="4288"/>
    </row>
    <row r="6336" spans="15:15">
      <c r="O6336" s="4288"/>
    </row>
    <row r="6337" spans="15:15">
      <c r="O6337" s="4288"/>
    </row>
    <row r="6338" spans="15:15">
      <c r="O6338" s="4288"/>
    </row>
    <row r="6339" spans="15:15">
      <c r="O6339" s="4288"/>
    </row>
    <row r="6340" spans="15:15">
      <c r="O6340" s="4288"/>
    </row>
    <row r="6341" spans="15:15">
      <c r="O6341" s="4288"/>
    </row>
    <row r="6342" spans="15:15">
      <c r="O6342" s="4288"/>
    </row>
    <row r="6343" spans="15:15">
      <c r="O6343" s="4288"/>
    </row>
    <row r="6344" spans="15:15">
      <c r="O6344" s="4288"/>
    </row>
    <row r="6345" spans="15:15">
      <c r="O6345" s="4288"/>
    </row>
    <row r="6346" spans="15:15">
      <c r="O6346" s="4288"/>
    </row>
    <row r="6347" spans="15:15">
      <c r="O6347" s="4288"/>
    </row>
    <row r="6348" spans="15:15">
      <c r="O6348" s="4288"/>
    </row>
    <row r="6349" spans="15:15">
      <c r="O6349" s="4288"/>
    </row>
    <row r="6350" spans="15:15">
      <c r="O6350" s="4288"/>
    </row>
    <row r="6351" spans="15:15">
      <c r="O6351" s="4288"/>
    </row>
    <row r="6352" spans="15:15">
      <c r="O6352" s="4288"/>
    </row>
    <row r="6353" spans="15:15">
      <c r="O6353" s="4288"/>
    </row>
    <row r="6354" spans="15:15">
      <c r="O6354" s="4288"/>
    </row>
    <row r="6355" spans="15:15">
      <c r="O6355" s="4288"/>
    </row>
    <row r="6356" spans="15:15">
      <c r="O6356" s="4288"/>
    </row>
    <row r="6357" spans="15:15">
      <c r="O6357" s="4288"/>
    </row>
    <row r="6358" spans="15:15">
      <c r="O6358" s="4288"/>
    </row>
    <row r="6359" spans="15:15">
      <c r="O6359" s="4288"/>
    </row>
    <row r="6360" spans="15:15">
      <c r="O6360" s="4288"/>
    </row>
    <row r="6361" spans="15:15">
      <c r="O6361" s="4288"/>
    </row>
    <row r="6362" spans="15:15">
      <c r="O6362" s="4288"/>
    </row>
    <row r="6363" spans="15:15">
      <c r="O6363" s="4288"/>
    </row>
    <row r="6364" spans="15:15">
      <c r="O6364" s="4288"/>
    </row>
    <row r="6365" spans="15:15">
      <c r="O6365" s="4288"/>
    </row>
    <row r="6366" spans="15:15">
      <c r="O6366" s="4288"/>
    </row>
    <row r="6367" spans="15:15">
      <c r="O6367" s="4288"/>
    </row>
    <row r="6368" spans="15:15">
      <c r="O6368" s="4288"/>
    </row>
    <row r="6369" spans="15:15">
      <c r="O6369" s="4288"/>
    </row>
    <row r="6370" spans="15:15">
      <c r="O6370" s="4288"/>
    </row>
    <row r="6371" spans="15:15">
      <c r="O6371" s="4288"/>
    </row>
    <row r="6372" spans="15:15">
      <c r="O6372" s="4288"/>
    </row>
    <row r="6373" spans="15:15">
      <c r="O6373" s="4288"/>
    </row>
    <row r="6374" spans="15:15">
      <c r="O6374" s="4288"/>
    </row>
    <row r="6375" spans="15:15">
      <c r="O6375" s="4288"/>
    </row>
    <row r="6376" spans="15:15">
      <c r="O6376" s="4288"/>
    </row>
    <row r="6377" spans="15:15">
      <c r="O6377" s="4288"/>
    </row>
    <row r="6378" spans="15:15">
      <c r="O6378" s="4288"/>
    </row>
    <row r="6379" spans="15:15">
      <c r="O6379" s="4288"/>
    </row>
    <row r="6380" spans="15:15">
      <c r="O6380" s="4288"/>
    </row>
    <row r="6381" spans="15:15">
      <c r="O6381" s="4288"/>
    </row>
    <row r="6382" spans="15:15">
      <c r="O6382" s="4288"/>
    </row>
    <row r="6383" spans="15:15">
      <c r="O6383" s="4288"/>
    </row>
    <row r="6384" spans="15:15">
      <c r="O6384" s="4288"/>
    </row>
    <row r="6385" spans="15:15">
      <c r="O6385" s="4288"/>
    </row>
    <row r="6386" spans="15:15">
      <c r="O6386" s="4288"/>
    </row>
    <row r="6387" spans="15:15">
      <c r="O6387" s="4288"/>
    </row>
    <row r="6388" spans="15:15">
      <c r="O6388" s="4288"/>
    </row>
    <row r="6389" spans="15:15">
      <c r="O6389" s="4288"/>
    </row>
    <row r="6390" spans="15:15">
      <c r="O6390" s="4288"/>
    </row>
    <row r="6391" spans="15:15">
      <c r="O6391" s="4288"/>
    </row>
    <row r="6392" spans="15:15">
      <c r="O6392" s="4288"/>
    </row>
    <row r="6393" spans="15:15">
      <c r="O6393" s="4288"/>
    </row>
    <row r="6394" spans="15:15">
      <c r="O6394" s="4288"/>
    </row>
    <row r="6395" spans="15:15">
      <c r="O6395" s="4288"/>
    </row>
    <row r="6396" spans="15:15">
      <c r="O6396" s="4288"/>
    </row>
    <row r="6397" spans="15:15">
      <c r="O6397" s="4288"/>
    </row>
    <row r="6398" spans="15:15">
      <c r="O6398" s="4288"/>
    </row>
    <row r="6399" spans="15:15">
      <c r="O6399" s="4288"/>
    </row>
    <row r="6400" spans="15:15">
      <c r="O6400" s="4288"/>
    </row>
    <row r="6401" spans="15:15">
      <c r="O6401" s="4288"/>
    </row>
    <row r="6402" spans="15:15">
      <c r="O6402" s="4288"/>
    </row>
    <row r="6403" spans="15:15">
      <c r="O6403" s="4288"/>
    </row>
    <row r="6404" spans="15:15">
      <c r="O6404" s="4288"/>
    </row>
    <row r="6405" spans="15:15">
      <c r="O6405" s="4288"/>
    </row>
    <row r="6406" spans="15:15">
      <c r="O6406" s="4288"/>
    </row>
    <row r="6407" spans="15:15">
      <c r="O6407" s="4288"/>
    </row>
    <row r="6408" spans="15:15">
      <c r="O6408" s="4288"/>
    </row>
    <row r="6409" spans="15:15">
      <c r="O6409" s="4288"/>
    </row>
    <row r="6410" spans="15:15">
      <c r="O6410" s="4288"/>
    </row>
    <row r="6411" spans="15:15">
      <c r="O6411" s="4288"/>
    </row>
    <row r="6412" spans="15:15">
      <c r="O6412" s="4288"/>
    </row>
    <row r="6413" spans="15:15">
      <c r="O6413" s="4288"/>
    </row>
    <row r="6414" spans="15:15">
      <c r="O6414" s="4288"/>
    </row>
    <row r="6415" spans="15:15">
      <c r="O6415" s="4288"/>
    </row>
    <row r="6416" spans="15:15">
      <c r="O6416" s="4288"/>
    </row>
    <row r="6417" spans="15:15">
      <c r="O6417" s="4288"/>
    </row>
    <row r="6418" spans="15:15">
      <c r="O6418" s="4288"/>
    </row>
    <row r="6419" spans="15:15">
      <c r="O6419" s="4288"/>
    </row>
    <row r="6420" spans="15:15">
      <c r="O6420" s="4288"/>
    </row>
    <row r="6421" spans="15:15">
      <c r="O6421" s="4288"/>
    </row>
    <row r="6422" spans="15:15">
      <c r="O6422" s="4288"/>
    </row>
    <row r="6423" spans="15:15">
      <c r="O6423" s="4288"/>
    </row>
    <row r="6424" spans="15:15">
      <c r="O6424" s="4288"/>
    </row>
    <row r="6425" spans="15:15">
      <c r="O6425" s="4288"/>
    </row>
    <row r="6426" spans="15:15">
      <c r="O6426" s="4288"/>
    </row>
    <row r="6427" spans="15:15">
      <c r="O6427" s="4288"/>
    </row>
    <row r="6428" spans="15:15">
      <c r="O6428" s="4288"/>
    </row>
    <row r="6429" spans="15:15">
      <c r="O6429" s="4288"/>
    </row>
    <row r="6430" spans="15:15">
      <c r="O6430" s="4288"/>
    </row>
    <row r="6431" spans="15:15">
      <c r="O6431" s="4288"/>
    </row>
    <row r="6432" spans="15:15">
      <c r="O6432" s="4288"/>
    </row>
    <row r="6433" spans="15:15">
      <c r="O6433" s="4288"/>
    </row>
    <row r="6434" spans="15:15">
      <c r="O6434" s="4288"/>
    </row>
    <row r="6435" spans="15:15">
      <c r="O6435" s="4288"/>
    </row>
    <row r="6436" spans="15:15">
      <c r="O6436" s="4288"/>
    </row>
    <row r="6437" spans="15:15">
      <c r="O6437" s="4288"/>
    </row>
    <row r="6438" spans="15:15">
      <c r="O6438" s="4288"/>
    </row>
    <row r="6439" spans="15:15">
      <c r="O6439" s="4288"/>
    </row>
    <row r="6440" spans="15:15">
      <c r="O6440" s="4288"/>
    </row>
    <row r="6441" spans="15:15">
      <c r="O6441" s="4288"/>
    </row>
    <row r="6442" spans="15:15">
      <c r="O6442" s="4288"/>
    </row>
    <row r="6443" spans="15:15">
      <c r="O6443" s="4288"/>
    </row>
    <row r="6444" spans="15:15">
      <c r="O6444" s="4288"/>
    </row>
    <row r="6445" spans="15:15">
      <c r="O6445" s="4288"/>
    </row>
    <row r="6446" spans="15:15">
      <c r="O6446" s="4288"/>
    </row>
    <row r="6447" spans="15:15">
      <c r="O6447" s="4288"/>
    </row>
    <row r="6448" spans="15:15">
      <c r="O6448" s="4288"/>
    </row>
    <row r="6449" spans="15:15">
      <c r="O6449" s="4288"/>
    </row>
    <row r="6450" spans="15:15">
      <c r="O6450" s="4288"/>
    </row>
    <row r="6451" spans="15:15">
      <c r="O6451" s="4288"/>
    </row>
    <row r="6452" spans="15:15">
      <c r="O6452" s="4288"/>
    </row>
    <row r="6453" spans="15:15">
      <c r="O6453" s="4288"/>
    </row>
    <row r="6454" spans="15:15">
      <c r="O6454" s="4288"/>
    </row>
    <row r="6455" spans="15:15">
      <c r="O6455" s="4288"/>
    </row>
    <row r="6456" spans="15:15">
      <c r="O6456" s="4288"/>
    </row>
    <row r="6457" spans="15:15">
      <c r="O6457" s="4288"/>
    </row>
    <row r="6458" spans="15:15">
      <c r="O6458" s="4288"/>
    </row>
    <row r="6459" spans="15:15">
      <c r="O6459" s="4288"/>
    </row>
    <row r="6460" spans="15:15">
      <c r="O6460" s="4288"/>
    </row>
    <row r="6461" spans="15:15">
      <c r="O6461" s="4288"/>
    </row>
    <row r="6462" spans="15:15">
      <c r="O6462" s="4288"/>
    </row>
    <row r="6463" spans="15:15">
      <c r="O6463" s="4288"/>
    </row>
    <row r="6464" spans="15:15">
      <c r="O6464" s="4288"/>
    </row>
    <row r="6465" spans="15:15">
      <c r="O6465" s="4288"/>
    </row>
    <row r="6466" spans="15:15">
      <c r="O6466" s="4288"/>
    </row>
    <row r="6467" spans="15:15">
      <c r="O6467" s="4288"/>
    </row>
    <row r="6468" spans="15:15">
      <c r="O6468" s="4288"/>
    </row>
    <row r="6469" spans="15:15">
      <c r="O6469" s="4288"/>
    </row>
    <row r="6470" spans="15:15">
      <c r="O6470" s="4288"/>
    </row>
    <row r="6471" spans="15:15">
      <c r="O6471" s="4288"/>
    </row>
    <row r="6472" spans="15:15">
      <c r="O6472" s="4288"/>
    </row>
    <row r="6473" spans="15:15">
      <c r="O6473" s="4288"/>
    </row>
    <row r="6474" spans="15:15">
      <c r="O6474" s="4288"/>
    </row>
    <row r="6475" spans="15:15">
      <c r="O6475" s="4288"/>
    </row>
    <row r="6476" spans="15:15">
      <c r="O6476" s="4288"/>
    </row>
    <row r="6477" spans="15:15">
      <c r="O6477" s="4288"/>
    </row>
    <row r="6478" spans="15:15">
      <c r="O6478" s="4288"/>
    </row>
    <row r="6479" spans="15:15">
      <c r="O6479" s="4288"/>
    </row>
    <row r="6480" spans="15:15">
      <c r="O6480" s="4288"/>
    </row>
    <row r="6481" spans="15:15">
      <c r="O6481" s="4288"/>
    </row>
    <row r="6482" spans="15:15">
      <c r="O6482" s="4288"/>
    </row>
    <row r="6483" spans="15:15">
      <c r="O6483" s="4288"/>
    </row>
    <row r="6484" spans="15:15">
      <c r="O6484" s="4288"/>
    </row>
    <row r="6485" spans="15:15">
      <c r="O6485" s="4288"/>
    </row>
    <row r="6486" spans="15:15">
      <c r="O6486" s="4288"/>
    </row>
    <row r="6487" spans="15:15">
      <c r="O6487" s="4288"/>
    </row>
    <row r="6488" spans="15:15">
      <c r="O6488" s="4288"/>
    </row>
    <row r="6489" spans="15:15">
      <c r="O6489" s="4288"/>
    </row>
    <row r="6490" spans="15:15">
      <c r="O6490" s="4288"/>
    </row>
    <row r="6491" spans="15:15">
      <c r="O6491" s="4288"/>
    </row>
    <row r="6492" spans="15:15">
      <c r="O6492" s="4288"/>
    </row>
    <row r="6493" spans="15:15">
      <c r="O6493" s="4288"/>
    </row>
    <row r="6494" spans="15:15">
      <c r="O6494" s="4288"/>
    </row>
    <row r="6495" spans="15:15">
      <c r="O6495" s="4288"/>
    </row>
    <row r="6496" spans="15:15">
      <c r="O6496" s="4288"/>
    </row>
    <row r="6497" spans="15:15">
      <c r="O6497" s="4288"/>
    </row>
    <row r="6498" spans="15:15">
      <c r="O6498" s="4288"/>
    </row>
    <row r="6499" spans="15:15">
      <c r="O6499" s="4288"/>
    </row>
    <row r="6500" spans="15:15">
      <c r="O6500" s="4288"/>
    </row>
    <row r="6501" spans="15:15">
      <c r="O6501" s="4288"/>
    </row>
    <row r="6502" spans="15:15">
      <c r="O6502" s="4288"/>
    </row>
    <row r="6503" spans="15:15">
      <c r="O6503" s="4288"/>
    </row>
    <row r="6504" spans="15:15">
      <c r="O6504" s="4288"/>
    </row>
    <row r="6505" spans="15:15">
      <c r="O6505" s="4288"/>
    </row>
    <row r="6506" spans="15:15">
      <c r="O6506" s="4288"/>
    </row>
    <row r="6507" spans="15:15">
      <c r="O6507" s="4288"/>
    </row>
    <row r="6508" spans="15:15">
      <c r="O6508" s="4288"/>
    </row>
    <row r="6509" spans="15:15">
      <c r="O6509" s="4288"/>
    </row>
    <row r="6510" spans="15:15">
      <c r="O6510" s="4288"/>
    </row>
    <row r="6511" spans="15:15">
      <c r="O6511" s="4288"/>
    </row>
    <row r="6512" spans="15:15">
      <c r="O6512" s="4288"/>
    </row>
    <row r="6513" spans="15:15">
      <c r="O6513" s="4288"/>
    </row>
    <row r="6514" spans="15:15">
      <c r="O6514" s="4288"/>
    </row>
    <row r="6515" spans="15:15">
      <c r="O6515" s="4288"/>
    </row>
    <row r="6516" spans="15:15">
      <c r="O6516" s="4288"/>
    </row>
    <row r="6517" spans="15:15">
      <c r="O6517" s="4288"/>
    </row>
    <row r="6518" spans="15:15">
      <c r="O6518" s="4288"/>
    </row>
    <row r="6519" spans="15:15">
      <c r="O6519" s="4288"/>
    </row>
    <row r="6520" spans="15:15">
      <c r="O6520" s="4288"/>
    </row>
    <row r="6521" spans="15:15">
      <c r="O6521" s="4288"/>
    </row>
    <row r="6522" spans="15:15">
      <c r="O6522" s="4288"/>
    </row>
    <row r="6523" spans="15:15">
      <c r="O6523" s="4288"/>
    </row>
    <row r="6524" spans="15:15">
      <c r="O6524" s="4288"/>
    </row>
    <row r="6525" spans="15:15">
      <c r="O6525" s="4288"/>
    </row>
    <row r="6526" spans="15:15">
      <c r="O6526" s="4288"/>
    </row>
    <row r="6527" spans="15:15">
      <c r="O6527" s="4288"/>
    </row>
    <row r="6528" spans="15:15">
      <c r="O6528" s="4288"/>
    </row>
    <row r="6529" spans="15:15">
      <c r="O6529" s="4288"/>
    </row>
    <row r="6530" spans="15:15">
      <c r="O6530" s="4288"/>
    </row>
    <row r="6531" spans="15:15">
      <c r="O6531" s="4288"/>
    </row>
    <row r="6532" spans="15:15">
      <c r="O6532" s="4288"/>
    </row>
    <row r="6533" spans="15:15">
      <c r="O6533" s="4288"/>
    </row>
    <row r="6534" spans="15:15">
      <c r="O6534" s="4288"/>
    </row>
    <row r="6535" spans="15:15">
      <c r="O6535" s="4288"/>
    </row>
    <row r="6536" spans="15:15">
      <c r="O6536" s="4288"/>
    </row>
    <row r="6537" spans="15:15">
      <c r="O6537" s="4288"/>
    </row>
    <row r="6538" spans="15:15">
      <c r="O6538" s="4288"/>
    </row>
    <row r="6539" spans="15:15">
      <c r="O6539" s="4288"/>
    </row>
    <row r="6540" spans="15:15">
      <c r="O6540" s="4288"/>
    </row>
    <row r="6541" spans="15:15">
      <c r="O6541" s="4288"/>
    </row>
    <row r="6542" spans="15:15">
      <c r="O6542" s="4288"/>
    </row>
    <row r="6543" spans="15:15">
      <c r="O6543" s="4288"/>
    </row>
    <row r="6544" spans="15:15">
      <c r="O6544" s="4288"/>
    </row>
    <row r="6545" spans="15:15">
      <c r="O6545" s="4288"/>
    </row>
    <row r="6546" spans="15:15">
      <c r="O6546" s="4288"/>
    </row>
    <row r="6547" spans="15:15">
      <c r="O6547" s="4288"/>
    </row>
    <row r="6548" spans="15:15">
      <c r="O6548" s="4288"/>
    </row>
    <row r="6549" spans="15:15">
      <c r="O6549" s="4288"/>
    </row>
    <row r="6550" spans="15:15">
      <c r="O6550" s="4288"/>
    </row>
    <row r="6551" spans="15:15">
      <c r="O6551" s="4288"/>
    </row>
    <row r="6552" spans="15:15">
      <c r="O6552" s="4288"/>
    </row>
    <row r="6553" spans="15:15">
      <c r="O6553" s="4288"/>
    </row>
    <row r="6554" spans="15:15">
      <c r="O6554" s="4288"/>
    </row>
    <row r="6555" spans="15:15">
      <c r="O6555" s="4288"/>
    </row>
    <row r="6556" spans="15:15">
      <c r="O6556" s="4288"/>
    </row>
    <row r="6557" spans="15:15">
      <c r="O6557" s="4288"/>
    </row>
    <row r="6558" spans="15:15">
      <c r="O6558" s="4288"/>
    </row>
    <row r="6559" spans="15:15">
      <c r="O6559" s="4288"/>
    </row>
    <row r="6560" spans="15:15">
      <c r="O6560" s="4288"/>
    </row>
    <row r="6561" spans="15:15">
      <c r="O6561" s="4288"/>
    </row>
    <row r="6562" spans="15:15">
      <c r="O6562" s="4288"/>
    </row>
    <row r="6563" spans="15:15">
      <c r="O6563" s="4288"/>
    </row>
    <row r="6564" spans="15:15">
      <c r="O6564" s="4288"/>
    </row>
    <row r="6565" spans="15:15">
      <c r="O6565" s="4288"/>
    </row>
    <row r="6566" spans="15:15">
      <c r="O6566" s="4288"/>
    </row>
    <row r="6567" spans="15:15">
      <c r="O6567" s="4288"/>
    </row>
    <row r="6568" spans="15:15">
      <c r="O6568" s="4288"/>
    </row>
    <row r="6569" spans="15:15">
      <c r="O6569" s="4288"/>
    </row>
    <row r="6570" spans="15:15">
      <c r="O6570" s="4288"/>
    </row>
    <row r="6571" spans="15:15">
      <c r="O6571" s="4288"/>
    </row>
    <row r="6572" spans="15:15">
      <c r="O6572" s="4288"/>
    </row>
    <row r="6573" spans="15:15">
      <c r="O6573" s="4288"/>
    </row>
    <row r="6574" spans="15:15">
      <c r="O6574" s="4288"/>
    </row>
    <row r="6575" spans="15:15">
      <c r="O6575" s="4288"/>
    </row>
    <row r="6576" spans="15:15">
      <c r="O6576" s="4288"/>
    </row>
    <row r="6577" spans="15:15">
      <c r="O6577" s="4288"/>
    </row>
    <row r="6578" spans="15:15">
      <c r="O6578" s="4288"/>
    </row>
    <row r="6579" spans="15:15">
      <c r="O6579" s="4288"/>
    </row>
    <row r="6580" spans="15:15">
      <c r="O6580" s="4288"/>
    </row>
    <row r="6581" spans="15:15">
      <c r="O6581" s="4288"/>
    </row>
    <row r="6582" spans="15:15">
      <c r="O6582" s="4288"/>
    </row>
    <row r="6583" spans="15:15">
      <c r="O6583" s="4288"/>
    </row>
    <row r="6584" spans="15:15">
      <c r="O6584" s="4288"/>
    </row>
    <row r="6585" spans="15:15">
      <c r="O6585" s="4288"/>
    </row>
    <row r="6586" spans="15:15">
      <c r="O6586" s="4288"/>
    </row>
    <row r="6587" spans="15:15">
      <c r="O6587" s="4288"/>
    </row>
    <row r="6588" spans="15:15">
      <c r="O6588" s="4288"/>
    </row>
    <row r="6589" spans="15:15">
      <c r="O6589" s="4288"/>
    </row>
    <row r="6590" spans="15:15">
      <c r="O6590" s="4288"/>
    </row>
    <row r="6591" spans="15:15">
      <c r="O6591" s="4288"/>
    </row>
    <row r="6592" spans="15:15">
      <c r="O6592" s="4288"/>
    </row>
    <row r="6593" spans="15:15">
      <c r="O6593" s="4288"/>
    </row>
    <row r="6594" spans="15:15">
      <c r="O6594" s="4288"/>
    </row>
    <row r="6595" spans="15:15">
      <c r="O6595" s="4288"/>
    </row>
    <row r="6596" spans="15:15">
      <c r="O6596" s="4288"/>
    </row>
    <row r="6597" spans="15:15">
      <c r="O6597" s="4288"/>
    </row>
    <row r="6598" spans="15:15">
      <c r="O6598" s="4288"/>
    </row>
    <row r="6599" spans="15:15">
      <c r="O6599" s="4288"/>
    </row>
    <row r="6600" spans="15:15">
      <c r="O6600" s="4288"/>
    </row>
    <row r="6601" spans="15:15">
      <c r="O6601" s="4288"/>
    </row>
    <row r="6602" spans="15:15">
      <c r="O6602" s="4288"/>
    </row>
    <row r="6603" spans="15:15">
      <c r="O6603" s="4288"/>
    </row>
    <row r="6604" spans="15:15">
      <c r="O6604" s="4288"/>
    </row>
    <row r="6605" spans="15:15">
      <c r="O6605" s="4288"/>
    </row>
    <row r="6606" spans="15:15">
      <c r="O6606" s="4288"/>
    </row>
    <row r="6607" spans="15:15">
      <c r="O6607" s="4288"/>
    </row>
    <row r="6608" spans="15:15">
      <c r="O6608" s="4288"/>
    </row>
    <row r="6609" spans="15:15">
      <c r="O6609" s="4288"/>
    </row>
    <row r="6610" spans="15:15">
      <c r="O6610" s="4288"/>
    </row>
    <row r="6611" spans="15:15">
      <c r="O6611" s="4288"/>
    </row>
    <row r="6612" spans="15:15">
      <c r="O6612" s="4288"/>
    </row>
    <row r="6613" spans="15:15">
      <c r="O6613" s="4288"/>
    </row>
    <row r="6614" spans="15:15">
      <c r="O6614" s="4288"/>
    </row>
    <row r="6615" spans="15:15">
      <c r="O6615" s="4288"/>
    </row>
    <row r="6616" spans="15:15">
      <c r="O6616" s="4288"/>
    </row>
    <row r="6617" spans="15:15">
      <c r="O6617" s="4288"/>
    </row>
    <row r="6618" spans="15:15">
      <c r="O6618" s="4288"/>
    </row>
    <row r="6619" spans="15:15">
      <c r="O6619" s="4288"/>
    </row>
    <row r="6620" spans="15:15">
      <c r="O6620" s="4288"/>
    </row>
    <row r="6621" spans="15:15">
      <c r="O6621" s="4288"/>
    </row>
    <row r="6622" spans="15:15">
      <c r="O6622" s="4288"/>
    </row>
    <row r="6623" spans="15:15">
      <c r="O6623" s="4288"/>
    </row>
    <row r="6624" spans="15:15">
      <c r="O6624" s="4288"/>
    </row>
    <row r="6625" spans="15:15">
      <c r="O6625" s="4288"/>
    </row>
    <row r="6626" spans="15:15">
      <c r="O6626" s="4288"/>
    </row>
    <row r="6627" spans="15:15">
      <c r="O6627" s="4288"/>
    </row>
    <row r="6628" spans="15:15">
      <c r="O6628" s="4288"/>
    </row>
    <row r="6629" spans="15:15">
      <c r="O6629" s="4288"/>
    </row>
    <row r="6630" spans="15:15">
      <c r="O6630" s="4288"/>
    </row>
    <row r="6631" spans="15:15">
      <c r="O6631" s="4288"/>
    </row>
    <row r="6632" spans="15:15">
      <c r="O6632" s="4288"/>
    </row>
    <row r="6633" spans="15:15">
      <c r="O6633" s="4288"/>
    </row>
    <row r="6634" spans="15:15">
      <c r="O6634" s="4288"/>
    </row>
    <row r="6635" spans="15:15">
      <c r="O6635" s="4288"/>
    </row>
    <row r="6636" spans="15:15">
      <c r="O6636" s="4288"/>
    </row>
    <row r="6637" spans="15:15">
      <c r="O6637" s="4288"/>
    </row>
    <row r="6638" spans="15:15">
      <c r="O6638" s="4288"/>
    </row>
    <row r="6639" spans="15:15">
      <c r="O6639" s="4288"/>
    </row>
    <row r="6640" spans="15:15">
      <c r="O6640" s="4288"/>
    </row>
    <row r="6641" spans="15:15">
      <c r="O6641" s="4288"/>
    </row>
    <row r="6642" spans="15:15">
      <c r="O6642" s="4288"/>
    </row>
    <row r="6643" spans="15:15">
      <c r="O6643" s="4288"/>
    </row>
    <row r="6644" spans="15:15">
      <c r="O6644" s="4288"/>
    </row>
    <row r="6645" spans="15:15">
      <c r="O6645" s="4288"/>
    </row>
    <row r="6646" spans="15:15">
      <c r="O6646" s="4288"/>
    </row>
    <row r="6647" spans="15:15">
      <c r="O6647" s="4288"/>
    </row>
    <row r="6648" spans="15:15">
      <c r="O6648" s="4288"/>
    </row>
    <row r="6649" spans="15:15">
      <c r="O6649" s="4288"/>
    </row>
    <row r="6650" spans="15:15">
      <c r="O6650" s="4288"/>
    </row>
    <row r="6651" spans="15:15">
      <c r="O6651" s="4288"/>
    </row>
    <row r="6652" spans="15:15">
      <c r="O6652" s="4288"/>
    </row>
    <row r="6653" spans="15:15">
      <c r="O6653" s="4288"/>
    </row>
    <row r="6654" spans="15:15">
      <c r="O6654" s="4288"/>
    </row>
    <row r="6655" spans="15:15">
      <c r="O6655" s="4288"/>
    </row>
    <row r="6656" spans="15:15">
      <c r="O6656" s="4288"/>
    </row>
    <row r="6657" spans="15:15">
      <c r="O6657" s="4288"/>
    </row>
    <row r="6658" spans="15:15">
      <c r="O6658" s="4288"/>
    </row>
    <row r="6659" spans="15:15">
      <c r="O6659" s="4288"/>
    </row>
    <row r="6660" spans="15:15">
      <c r="O6660" s="4288"/>
    </row>
    <row r="6661" spans="15:15">
      <c r="O6661" s="4288"/>
    </row>
    <row r="6662" spans="15:15">
      <c r="O6662" s="4288"/>
    </row>
    <row r="6663" spans="15:15">
      <c r="O6663" s="4288"/>
    </row>
    <row r="6664" spans="15:15">
      <c r="O6664" s="4288"/>
    </row>
    <row r="6665" spans="15:15">
      <c r="O6665" s="4288"/>
    </row>
    <row r="6666" spans="15:15">
      <c r="O6666" s="4288"/>
    </row>
    <row r="6667" spans="15:15">
      <c r="O6667" s="4288"/>
    </row>
    <row r="6668" spans="15:15">
      <c r="O6668" s="4288"/>
    </row>
    <row r="6669" spans="15:15">
      <c r="O6669" s="4288"/>
    </row>
    <row r="6670" spans="15:15">
      <c r="O6670" s="4288"/>
    </row>
    <row r="6671" spans="15:15">
      <c r="O6671" s="4288"/>
    </row>
    <row r="6672" spans="15:15">
      <c r="O6672" s="4288"/>
    </row>
    <row r="6673" spans="15:15">
      <c r="O6673" s="4288"/>
    </row>
    <row r="6674" spans="15:15">
      <c r="O6674" s="4288"/>
    </row>
    <row r="6675" spans="15:15">
      <c r="O6675" s="4288"/>
    </row>
    <row r="6676" spans="15:15">
      <c r="O6676" s="4288"/>
    </row>
    <row r="6677" spans="15:15">
      <c r="O6677" s="4288"/>
    </row>
    <row r="6678" spans="15:15">
      <c r="O6678" s="4288"/>
    </row>
    <row r="6679" spans="15:15">
      <c r="O6679" s="4288"/>
    </row>
    <row r="6680" spans="15:15">
      <c r="O6680" s="4288"/>
    </row>
    <row r="6681" spans="15:15">
      <c r="O6681" s="4288"/>
    </row>
    <row r="6682" spans="15:15">
      <c r="O6682" s="4288"/>
    </row>
    <row r="6683" spans="15:15">
      <c r="O6683" s="4288"/>
    </row>
    <row r="6684" spans="15:15">
      <c r="O6684" s="4288"/>
    </row>
    <row r="6685" spans="15:15">
      <c r="O6685" s="4288"/>
    </row>
    <row r="6686" spans="15:15">
      <c r="O6686" s="4288"/>
    </row>
    <row r="6687" spans="15:15">
      <c r="O6687" s="4288"/>
    </row>
    <row r="6688" spans="15:15">
      <c r="O6688" s="4288"/>
    </row>
    <row r="6689" spans="15:15">
      <c r="O6689" s="4288"/>
    </row>
    <row r="6690" spans="15:15">
      <c r="O6690" s="4288"/>
    </row>
    <row r="6691" spans="15:15">
      <c r="O6691" s="4288"/>
    </row>
    <row r="6692" spans="15:15">
      <c r="O6692" s="4288"/>
    </row>
    <row r="6693" spans="15:15">
      <c r="O6693" s="4288"/>
    </row>
    <row r="6694" spans="15:15">
      <c r="O6694" s="4288"/>
    </row>
    <row r="6695" spans="15:15">
      <c r="O6695" s="4288"/>
    </row>
    <row r="6696" spans="15:15">
      <c r="O6696" s="4288"/>
    </row>
    <row r="6697" spans="15:15">
      <c r="O6697" s="4288"/>
    </row>
    <row r="6698" spans="15:15">
      <c r="O6698" s="4288"/>
    </row>
    <row r="6699" spans="15:15">
      <c r="O6699" s="4288"/>
    </row>
    <row r="6700" spans="15:15">
      <c r="O6700" s="4288"/>
    </row>
    <row r="6701" spans="15:15">
      <c r="O6701" s="4288"/>
    </row>
    <row r="6702" spans="15:15">
      <c r="O6702" s="4288"/>
    </row>
    <row r="6703" spans="15:15">
      <c r="O6703" s="4288"/>
    </row>
    <row r="6704" spans="15:15">
      <c r="O6704" s="4288"/>
    </row>
    <row r="6705" spans="15:15">
      <c r="O6705" s="4288"/>
    </row>
    <row r="6706" spans="15:15">
      <c r="O6706" s="4288"/>
    </row>
    <row r="6707" spans="15:15">
      <c r="O6707" s="4288"/>
    </row>
    <row r="6708" spans="15:15">
      <c r="O6708" s="4288"/>
    </row>
    <row r="6709" spans="15:15">
      <c r="O6709" s="4288"/>
    </row>
    <row r="6710" spans="15:15">
      <c r="O6710" s="4288"/>
    </row>
    <row r="6711" spans="15:15">
      <c r="O6711" s="4288"/>
    </row>
    <row r="6712" spans="15:15">
      <c r="O6712" s="4288"/>
    </row>
    <row r="6713" spans="15:15">
      <c r="O6713" s="4288"/>
    </row>
    <row r="6714" spans="15:15">
      <c r="O6714" s="4288"/>
    </row>
    <row r="6715" spans="15:15">
      <c r="O6715" s="4288"/>
    </row>
    <row r="6716" spans="15:15">
      <c r="O6716" s="4288"/>
    </row>
    <row r="6717" spans="15:15">
      <c r="O6717" s="4288"/>
    </row>
    <row r="6718" spans="15:15">
      <c r="O6718" s="4288"/>
    </row>
    <row r="6719" spans="15:15">
      <c r="O6719" s="4288"/>
    </row>
    <row r="6720" spans="15:15">
      <c r="O6720" s="4288"/>
    </row>
    <row r="6721" spans="15:15">
      <c r="O6721" s="4288"/>
    </row>
    <row r="6722" spans="15:15">
      <c r="O6722" s="4288"/>
    </row>
    <row r="6723" spans="15:15">
      <c r="O6723" s="4288"/>
    </row>
    <row r="6724" spans="15:15">
      <c r="O6724" s="4288"/>
    </row>
    <row r="6725" spans="15:15">
      <c r="O6725" s="4288"/>
    </row>
    <row r="6726" spans="15:15">
      <c r="O6726" s="4288"/>
    </row>
    <row r="6727" spans="15:15">
      <c r="O6727" s="4288"/>
    </row>
    <row r="6728" spans="15:15">
      <c r="O6728" s="4288"/>
    </row>
    <row r="6729" spans="15:15">
      <c r="O6729" s="4288"/>
    </row>
    <row r="6730" spans="15:15">
      <c r="O6730" s="4288"/>
    </row>
    <row r="6731" spans="15:15">
      <c r="O6731" s="4288"/>
    </row>
    <row r="6732" spans="15:15">
      <c r="O6732" s="4288"/>
    </row>
    <row r="6733" spans="15:15">
      <c r="O6733" s="4288"/>
    </row>
    <row r="6734" spans="15:15">
      <c r="O6734" s="4288"/>
    </row>
    <row r="6735" spans="15:15">
      <c r="O6735" s="4288"/>
    </row>
    <row r="6736" spans="15:15">
      <c r="O6736" s="4288"/>
    </row>
    <row r="6737" spans="15:15">
      <c r="O6737" s="4288"/>
    </row>
    <row r="6738" spans="15:15">
      <c r="O6738" s="4288"/>
    </row>
    <row r="6739" spans="15:15">
      <c r="O6739" s="4288"/>
    </row>
    <row r="6740" spans="15:15">
      <c r="O6740" s="4288"/>
    </row>
    <row r="6741" spans="15:15">
      <c r="O6741" s="4288"/>
    </row>
    <row r="6742" spans="15:15">
      <c r="O6742" s="4288"/>
    </row>
    <row r="6743" spans="15:15">
      <c r="O6743" s="4288"/>
    </row>
    <row r="6744" spans="15:15">
      <c r="O6744" s="4288"/>
    </row>
    <row r="6745" spans="15:15">
      <c r="O6745" s="4288"/>
    </row>
    <row r="6746" spans="15:15">
      <c r="O6746" s="4288"/>
    </row>
    <row r="6747" spans="15:15">
      <c r="O6747" s="4288"/>
    </row>
    <row r="6748" spans="15:15">
      <c r="O6748" s="4288"/>
    </row>
    <row r="6749" spans="15:15">
      <c r="O6749" s="4288"/>
    </row>
    <row r="6750" spans="15:15">
      <c r="O6750" s="4288"/>
    </row>
    <row r="6751" spans="15:15">
      <c r="O6751" s="4288"/>
    </row>
    <row r="6752" spans="15:15">
      <c r="O6752" s="4288"/>
    </row>
    <row r="6753" spans="15:15">
      <c r="O6753" s="4288"/>
    </row>
    <row r="6754" spans="15:15">
      <c r="O6754" s="4288"/>
    </row>
    <row r="6755" spans="15:15">
      <c r="O6755" s="4288"/>
    </row>
    <row r="6756" spans="15:15">
      <c r="O6756" s="4288"/>
    </row>
    <row r="6757" spans="15:15">
      <c r="O6757" s="4288"/>
    </row>
    <row r="6758" spans="15:15">
      <c r="O6758" s="4288"/>
    </row>
    <row r="6759" spans="15:15">
      <c r="O6759" s="4288"/>
    </row>
    <row r="6760" spans="15:15">
      <c r="O6760" s="4288"/>
    </row>
    <row r="6761" spans="15:15">
      <c r="O6761" s="4288"/>
    </row>
    <row r="6762" spans="15:15">
      <c r="O6762" s="4288"/>
    </row>
    <row r="6763" spans="15:15">
      <c r="O6763" s="4288"/>
    </row>
    <row r="6764" spans="15:15">
      <c r="O6764" s="4288"/>
    </row>
    <row r="6765" spans="15:15">
      <c r="O6765" s="4288"/>
    </row>
    <row r="6766" spans="15:15">
      <c r="O6766" s="4288"/>
    </row>
    <row r="6767" spans="15:15">
      <c r="O6767" s="4288"/>
    </row>
    <row r="6768" spans="15:15">
      <c r="O6768" s="4288"/>
    </row>
    <row r="6769" spans="15:15">
      <c r="O6769" s="4288"/>
    </row>
    <row r="6770" spans="15:15">
      <c r="O6770" s="4288"/>
    </row>
    <row r="6771" spans="15:15">
      <c r="O6771" s="4288"/>
    </row>
    <row r="6772" spans="15:15">
      <c r="O6772" s="4288"/>
    </row>
    <row r="6773" spans="15:15">
      <c r="O6773" s="4288"/>
    </row>
    <row r="6774" spans="15:15">
      <c r="O6774" s="4288"/>
    </row>
    <row r="6775" spans="15:15">
      <c r="O6775" s="4288"/>
    </row>
    <row r="6776" spans="15:15">
      <c r="O6776" s="4288"/>
    </row>
    <row r="6777" spans="15:15">
      <c r="O6777" s="4288"/>
    </row>
    <row r="6778" spans="15:15">
      <c r="O6778" s="4288"/>
    </row>
    <row r="6779" spans="15:15">
      <c r="O6779" s="4288"/>
    </row>
    <row r="6780" spans="15:15">
      <c r="O6780" s="4288"/>
    </row>
    <row r="6781" spans="15:15">
      <c r="O6781" s="4288"/>
    </row>
    <row r="6782" spans="15:15">
      <c r="O6782" s="4288"/>
    </row>
    <row r="6783" spans="15:15">
      <c r="O6783" s="4288"/>
    </row>
    <row r="6784" spans="15:15">
      <c r="O6784" s="4288"/>
    </row>
    <row r="6785" spans="15:15">
      <c r="O6785" s="4288"/>
    </row>
    <row r="6786" spans="15:15">
      <c r="O6786" s="4288"/>
    </row>
    <row r="6787" spans="15:15">
      <c r="O6787" s="4288"/>
    </row>
    <row r="6788" spans="15:15">
      <c r="O6788" s="4288"/>
    </row>
    <row r="6789" spans="15:15">
      <c r="O6789" s="4288"/>
    </row>
    <row r="6790" spans="15:15">
      <c r="O6790" s="4288"/>
    </row>
    <row r="6791" spans="15:15">
      <c r="O6791" s="4288"/>
    </row>
    <row r="6792" spans="15:15">
      <c r="O6792" s="4288"/>
    </row>
    <row r="6793" spans="15:15">
      <c r="O6793" s="4288"/>
    </row>
    <row r="6794" spans="15:15">
      <c r="O6794" s="4288"/>
    </row>
    <row r="6795" spans="15:15">
      <c r="O6795" s="4288"/>
    </row>
    <row r="6796" spans="15:15">
      <c r="O6796" s="4288"/>
    </row>
    <row r="6797" spans="15:15">
      <c r="O6797" s="4288"/>
    </row>
    <row r="6798" spans="15:15">
      <c r="O6798" s="4288"/>
    </row>
    <row r="6799" spans="15:15">
      <c r="O6799" s="4288"/>
    </row>
    <row r="6800" spans="15:15">
      <c r="O6800" s="4288"/>
    </row>
    <row r="6801" spans="15:15">
      <c r="O6801" s="4288"/>
    </row>
    <row r="6802" spans="15:15">
      <c r="O6802" s="4288"/>
    </row>
    <row r="6803" spans="15:15">
      <c r="O6803" s="4288"/>
    </row>
    <row r="6804" spans="15:15">
      <c r="O6804" s="4288"/>
    </row>
    <row r="6805" spans="15:15">
      <c r="O6805" s="4288"/>
    </row>
    <row r="6806" spans="15:15">
      <c r="O6806" s="4288"/>
    </row>
    <row r="6807" spans="15:15">
      <c r="O6807" s="4288"/>
    </row>
    <row r="6808" spans="15:15">
      <c r="O6808" s="4288"/>
    </row>
    <row r="6809" spans="15:15">
      <c r="O6809" s="4288"/>
    </row>
    <row r="6810" spans="15:15">
      <c r="O6810" s="4288"/>
    </row>
    <row r="6811" spans="15:15">
      <c r="O6811" s="4288"/>
    </row>
    <row r="6812" spans="15:15">
      <c r="O6812" s="4288"/>
    </row>
    <row r="6813" spans="15:15">
      <c r="O6813" s="4288"/>
    </row>
    <row r="6814" spans="15:15">
      <c r="O6814" s="4288"/>
    </row>
    <row r="6815" spans="15:15">
      <c r="O6815" s="4288"/>
    </row>
    <row r="6816" spans="15:15">
      <c r="O6816" s="4288"/>
    </row>
    <row r="6817" spans="15:15">
      <c r="O6817" s="4288"/>
    </row>
    <row r="6818" spans="15:15">
      <c r="O6818" s="4288"/>
    </row>
    <row r="6819" spans="15:15">
      <c r="O6819" s="4288"/>
    </row>
    <row r="6820" spans="15:15">
      <c r="O6820" s="4288"/>
    </row>
    <row r="6821" spans="15:15">
      <c r="O6821" s="4288"/>
    </row>
    <row r="6822" spans="15:15">
      <c r="O6822" s="4288"/>
    </row>
    <row r="6823" spans="15:15">
      <c r="O6823" s="4288"/>
    </row>
    <row r="6824" spans="15:15">
      <c r="O6824" s="4288"/>
    </row>
    <row r="6825" spans="15:15">
      <c r="O6825" s="4288"/>
    </row>
    <row r="6826" spans="15:15">
      <c r="O6826" s="4288"/>
    </row>
    <row r="6827" spans="15:15">
      <c r="O6827" s="4288"/>
    </row>
    <row r="6828" spans="15:15">
      <c r="O6828" s="4288"/>
    </row>
    <row r="6829" spans="15:15">
      <c r="O6829" s="4288"/>
    </row>
    <row r="6830" spans="15:15">
      <c r="O6830" s="4288"/>
    </row>
    <row r="6831" spans="15:15">
      <c r="O6831" s="4288"/>
    </row>
    <row r="6832" spans="15:15">
      <c r="O6832" s="4288"/>
    </row>
    <row r="6833" spans="15:15">
      <c r="O6833" s="4288"/>
    </row>
    <row r="6834" spans="15:15">
      <c r="O6834" s="4288"/>
    </row>
    <row r="6835" spans="15:15">
      <c r="O6835" s="4288"/>
    </row>
    <row r="6836" spans="15:15">
      <c r="O6836" s="4288"/>
    </row>
    <row r="6837" spans="15:15">
      <c r="O6837" s="4288"/>
    </row>
    <row r="6838" spans="15:15">
      <c r="O6838" s="4288"/>
    </row>
    <row r="6839" spans="15:15">
      <c r="O6839" s="4288"/>
    </row>
    <row r="6840" spans="15:15">
      <c r="O6840" s="4288"/>
    </row>
    <row r="6841" spans="15:15">
      <c r="O6841" s="4288"/>
    </row>
    <row r="6842" spans="15:15">
      <c r="O6842" s="4288"/>
    </row>
    <row r="6843" spans="15:15">
      <c r="O6843" s="4288"/>
    </row>
    <row r="6844" spans="15:15">
      <c r="O6844" s="4288"/>
    </row>
    <row r="6845" spans="15:15">
      <c r="O6845" s="4288"/>
    </row>
    <row r="6846" spans="15:15">
      <c r="O6846" s="4288"/>
    </row>
    <row r="6847" spans="15:15">
      <c r="O6847" s="4288"/>
    </row>
    <row r="6848" spans="15:15">
      <c r="O6848" s="4288"/>
    </row>
    <row r="6849" spans="15:15">
      <c r="O6849" s="4288"/>
    </row>
    <row r="6850" spans="15:15">
      <c r="O6850" s="4288"/>
    </row>
    <row r="6851" spans="15:15">
      <c r="O6851" s="4288"/>
    </row>
    <row r="6852" spans="15:15">
      <c r="O6852" s="4288"/>
    </row>
    <row r="6853" spans="15:15">
      <c r="O6853" s="4288"/>
    </row>
    <row r="6854" spans="15:15">
      <c r="O6854" s="4288"/>
    </row>
    <row r="6855" spans="15:15">
      <c r="O6855" s="4288"/>
    </row>
    <row r="6856" spans="15:15">
      <c r="O6856" s="4288"/>
    </row>
    <row r="6857" spans="15:15">
      <c r="O6857" s="4288"/>
    </row>
    <row r="6858" spans="15:15">
      <c r="O6858" s="4288"/>
    </row>
    <row r="6859" spans="15:15">
      <c r="O6859" s="4288"/>
    </row>
    <row r="6860" spans="15:15">
      <c r="O6860" s="4288"/>
    </row>
    <row r="6861" spans="15:15">
      <c r="O6861" s="4288"/>
    </row>
    <row r="6862" spans="15:15">
      <c r="O6862" s="4288"/>
    </row>
    <row r="6863" spans="15:15">
      <c r="O6863" s="4288"/>
    </row>
    <row r="6864" spans="15:15">
      <c r="O6864" s="4288"/>
    </row>
    <row r="6865" spans="15:15">
      <c r="O6865" s="4288"/>
    </row>
    <row r="6866" spans="15:15">
      <c r="O6866" s="4288"/>
    </row>
    <row r="6867" spans="15:15">
      <c r="O6867" s="4288"/>
    </row>
    <row r="6868" spans="15:15">
      <c r="O6868" s="4288"/>
    </row>
    <row r="6869" spans="15:15">
      <c r="O6869" s="4288"/>
    </row>
    <row r="6870" spans="15:15">
      <c r="O6870" s="4288"/>
    </row>
    <row r="6871" spans="15:15">
      <c r="O6871" s="4288"/>
    </row>
    <row r="6872" spans="15:15">
      <c r="O6872" s="4288"/>
    </row>
    <row r="6873" spans="15:15">
      <c r="O6873" s="4288"/>
    </row>
    <row r="6874" spans="15:15">
      <c r="O6874" s="4288"/>
    </row>
    <row r="6875" spans="15:15">
      <c r="O6875" s="4288"/>
    </row>
    <row r="6876" spans="15:15">
      <c r="O6876" s="4288"/>
    </row>
    <row r="6877" spans="15:15">
      <c r="O6877" s="4288"/>
    </row>
    <row r="6878" spans="15:15">
      <c r="O6878" s="4288"/>
    </row>
    <row r="6879" spans="15:15">
      <c r="O6879" s="4288"/>
    </row>
    <row r="6880" spans="15:15">
      <c r="O6880" s="4288"/>
    </row>
    <row r="6881" spans="15:15">
      <c r="O6881" s="4288"/>
    </row>
    <row r="6882" spans="15:15">
      <c r="O6882" s="4288"/>
    </row>
    <row r="6883" spans="15:15">
      <c r="O6883" s="4288"/>
    </row>
    <row r="6884" spans="15:15">
      <c r="O6884" s="4288"/>
    </row>
    <row r="6885" spans="15:15">
      <c r="O6885" s="4288"/>
    </row>
    <row r="6886" spans="15:15">
      <c r="O6886" s="4288"/>
    </row>
    <row r="6887" spans="15:15">
      <c r="O6887" s="4288"/>
    </row>
    <row r="6888" spans="15:15">
      <c r="O6888" s="4288"/>
    </row>
    <row r="6889" spans="15:15">
      <c r="O6889" s="4288"/>
    </row>
    <row r="6890" spans="15:15">
      <c r="O6890" s="4288"/>
    </row>
    <row r="6891" spans="15:15">
      <c r="O6891" s="4288"/>
    </row>
    <row r="6892" spans="15:15">
      <c r="O6892" s="4288"/>
    </row>
    <row r="6893" spans="15:15">
      <c r="O6893" s="4288"/>
    </row>
    <row r="6894" spans="15:15">
      <c r="O6894" s="4288"/>
    </row>
    <row r="6895" spans="15:15">
      <c r="O6895" s="4288"/>
    </row>
    <row r="6896" spans="15:15">
      <c r="O6896" s="4288"/>
    </row>
    <row r="6897" spans="15:15">
      <c r="O6897" s="4288"/>
    </row>
    <row r="6898" spans="15:15">
      <c r="O6898" s="4288"/>
    </row>
    <row r="6899" spans="15:15">
      <c r="O6899" s="4288"/>
    </row>
    <row r="6900" spans="15:15">
      <c r="O6900" s="4288"/>
    </row>
    <row r="6901" spans="15:15">
      <c r="O6901" s="4288"/>
    </row>
    <row r="6902" spans="15:15">
      <c r="O6902" s="4288"/>
    </row>
    <row r="6903" spans="15:15">
      <c r="O6903" s="4288"/>
    </row>
    <row r="6904" spans="15:15">
      <c r="O6904" s="4288"/>
    </row>
    <row r="6905" spans="15:15">
      <c r="O6905" s="4288"/>
    </row>
    <row r="6906" spans="15:15">
      <c r="O6906" s="4288"/>
    </row>
    <row r="6907" spans="15:15">
      <c r="O6907" s="4288"/>
    </row>
    <row r="6908" spans="15:15">
      <c r="O6908" s="4288"/>
    </row>
    <row r="6909" spans="15:15">
      <c r="O6909" s="4288"/>
    </row>
    <row r="6910" spans="15:15">
      <c r="O6910" s="4288"/>
    </row>
    <row r="6911" spans="15:15">
      <c r="O6911" s="4288"/>
    </row>
    <row r="6912" spans="15:15">
      <c r="O6912" s="4288"/>
    </row>
    <row r="6913" spans="15:15">
      <c r="O6913" s="4288"/>
    </row>
    <row r="6914" spans="15:15">
      <c r="O6914" s="4288"/>
    </row>
    <row r="6915" spans="15:15">
      <c r="O6915" s="4288"/>
    </row>
    <row r="6916" spans="15:15">
      <c r="O6916" s="4288"/>
    </row>
    <row r="6917" spans="15:15">
      <c r="O6917" s="4288"/>
    </row>
    <row r="6918" spans="15:15">
      <c r="O6918" s="4288"/>
    </row>
    <row r="6919" spans="15:15">
      <c r="O6919" s="4288"/>
    </row>
    <row r="6920" spans="15:15">
      <c r="O6920" s="4288"/>
    </row>
    <row r="6921" spans="15:15">
      <c r="O6921" s="4288"/>
    </row>
    <row r="6922" spans="15:15">
      <c r="O6922" s="4288"/>
    </row>
    <row r="6923" spans="15:15">
      <c r="O6923" s="4288"/>
    </row>
    <row r="6924" spans="15:15">
      <c r="O6924" s="4288"/>
    </row>
    <row r="6925" spans="15:15">
      <c r="O6925" s="4288"/>
    </row>
    <row r="6926" spans="15:15">
      <c r="O6926" s="4288"/>
    </row>
    <row r="6927" spans="15:15">
      <c r="O6927" s="4288"/>
    </row>
    <row r="6928" spans="15:15">
      <c r="O6928" s="4288"/>
    </row>
    <row r="6929" spans="15:15">
      <c r="O6929" s="4288"/>
    </row>
    <row r="6930" spans="15:15">
      <c r="O6930" s="4288"/>
    </row>
    <row r="6931" spans="15:15">
      <c r="O6931" s="4288"/>
    </row>
    <row r="6932" spans="15:15">
      <c r="O6932" s="4288"/>
    </row>
    <row r="6933" spans="15:15">
      <c r="O6933" s="4288"/>
    </row>
    <row r="6934" spans="15:15">
      <c r="O6934" s="4288"/>
    </row>
    <row r="6935" spans="15:15">
      <c r="O6935" s="4288"/>
    </row>
    <row r="6936" spans="15:15">
      <c r="O6936" s="4288"/>
    </row>
    <row r="6937" spans="15:15">
      <c r="O6937" s="4288"/>
    </row>
    <row r="6938" spans="15:15">
      <c r="O6938" s="4288"/>
    </row>
    <row r="6939" spans="15:15">
      <c r="O6939" s="4288"/>
    </row>
    <row r="6940" spans="15:15">
      <c r="O6940" s="4288"/>
    </row>
    <row r="6941" spans="15:15">
      <c r="O6941" s="4288"/>
    </row>
    <row r="6942" spans="15:15">
      <c r="O6942" s="4288"/>
    </row>
    <row r="6943" spans="15:15">
      <c r="O6943" s="4288"/>
    </row>
    <row r="6944" spans="15:15">
      <c r="O6944" s="4288"/>
    </row>
    <row r="6945" spans="15:15">
      <c r="O6945" s="4288"/>
    </row>
    <row r="6946" spans="15:15">
      <c r="O6946" s="4288"/>
    </row>
    <row r="6947" spans="15:15">
      <c r="O6947" s="4288"/>
    </row>
    <row r="6948" spans="15:15">
      <c r="O6948" s="4288"/>
    </row>
    <row r="6949" spans="15:15">
      <c r="O6949" s="4288"/>
    </row>
    <row r="6950" spans="15:15">
      <c r="O6950" s="4288"/>
    </row>
    <row r="6951" spans="15:15">
      <c r="O6951" s="4288"/>
    </row>
    <row r="6952" spans="15:15">
      <c r="O6952" s="4288"/>
    </row>
    <row r="6953" spans="15:15">
      <c r="O6953" s="4288"/>
    </row>
    <row r="6954" spans="15:15">
      <c r="O6954" s="4288"/>
    </row>
    <row r="6955" spans="15:15">
      <c r="O6955" s="4288"/>
    </row>
    <row r="6956" spans="15:15">
      <c r="O6956" s="4288"/>
    </row>
    <row r="6957" spans="15:15">
      <c r="O6957" s="4288"/>
    </row>
    <row r="6958" spans="15:15">
      <c r="O6958" s="4288"/>
    </row>
    <row r="6959" spans="15:15">
      <c r="O6959" s="4288"/>
    </row>
    <row r="6960" spans="15:15">
      <c r="O6960" s="4288"/>
    </row>
    <row r="6961" spans="15:15">
      <c r="O6961" s="4288"/>
    </row>
    <row r="6962" spans="15:15">
      <c r="O6962" s="4288"/>
    </row>
    <row r="6963" spans="15:15">
      <c r="O6963" s="4288"/>
    </row>
    <row r="6964" spans="15:15">
      <c r="O6964" s="4288"/>
    </row>
    <row r="6965" spans="15:15">
      <c r="O6965" s="4288"/>
    </row>
    <row r="6966" spans="15:15">
      <c r="O6966" s="4288"/>
    </row>
    <row r="6967" spans="15:15">
      <c r="O6967" s="4288"/>
    </row>
    <row r="6968" spans="15:15">
      <c r="O6968" s="4288"/>
    </row>
    <row r="6969" spans="15:15">
      <c r="O6969" s="4288"/>
    </row>
    <row r="6970" spans="15:15">
      <c r="O6970" s="4288"/>
    </row>
    <row r="6971" spans="15:15">
      <c r="O6971" s="4288"/>
    </row>
    <row r="6972" spans="15:15">
      <c r="O6972" s="4288"/>
    </row>
    <row r="6973" spans="15:15">
      <c r="O6973" s="4288"/>
    </row>
    <row r="6974" spans="15:15">
      <c r="O6974" s="4288"/>
    </row>
    <row r="6975" spans="15:15">
      <c r="O6975" s="4288"/>
    </row>
    <row r="6976" spans="15:15">
      <c r="O6976" s="4288"/>
    </row>
    <row r="6977" spans="15:15">
      <c r="O6977" s="4288"/>
    </row>
    <row r="6978" spans="15:15">
      <c r="O6978" s="4288"/>
    </row>
    <row r="6979" spans="15:15">
      <c r="O6979" s="4288"/>
    </row>
    <row r="6980" spans="15:15">
      <c r="O6980" s="4288"/>
    </row>
    <row r="6981" spans="15:15">
      <c r="O6981" s="4288"/>
    </row>
    <row r="6982" spans="15:15">
      <c r="O6982" s="4288"/>
    </row>
    <row r="6983" spans="15:15">
      <c r="O6983" s="4288"/>
    </row>
    <row r="6984" spans="15:15">
      <c r="O6984" s="4288"/>
    </row>
    <row r="6985" spans="15:15">
      <c r="O6985" s="4288"/>
    </row>
    <row r="6986" spans="15:15">
      <c r="O6986" s="4288"/>
    </row>
    <row r="6987" spans="15:15">
      <c r="O6987" s="4288"/>
    </row>
    <row r="6988" spans="15:15">
      <c r="O6988" s="4288"/>
    </row>
    <row r="6989" spans="15:15">
      <c r="O6989" s="4288"/>
    </row>
    <row r="6990" spans="15:15">
      <c r="O6990" s="4288"/>
    </row>
    <row r="6991" spans="15:15">
      <c r="O6991" s="4288"/>
    </row>
    <row r="6992" spans="15:15">
      <c r="O6992" s="4288"/>
    </row>
    <row r="6993" spans="15:15">
      <c r="O6993" s="4288"/>
    </row>
    <row r="6994" spans="15:15">
      <c r="O6994" s="4288"/>
    </row>
    <row r="6995" spans="15:15">
      <c r="O6995" s="4288"/>
    </row>
    <row r="6996" spans="15:15">
      <c r="O6996" s="4288"/>
    </row>
    <row r="6997" spans="15:15">
      <c r="O6997" s="4288"/>
    </row>
    <row r="6998" spans="15:15">
      <c r="O6998" s="4288"/>
    </row>
    <row r="6999" spans="15:15">
      <c r="O6999" s="4288"/>
    </row>
    <row r="7000" spans="15:15">
      <c r="O7000" s="4288"/>
    </row>
    <row r="7001" spans="15:15">
      <c r="O7001" s="4288"/>
    </row>
    <row r="7002" spans="15:15">
      <c r="O7002" s="4288"/>
    </row>
    <row r="7003" spans="15:15">
      <c r="O7003" s="4288"/>
    </row>
    <row r="7004" spans="15:15">
      <c r="O7004" s="4288"/>
    </row>
    <row r="7005" spans="15:15">
      <c r="O7005" s="4288"/>
    </row>
    <row r="7006" spans="15:15">
      <c r="O7006" s="4288"/>
    </row>
    <row r="7007" spans="15:15">
      <c r="O7007" s="4288"/>
    </row>
    <row r="7008" spans="15:15">
      <c r="O7008" s="4288"/>
    </row>
    <row r="7009" spans="15:15">
      <c r="O7009" s="4288"/>
    </row>
    <row r="7010" spans="15:15">
      <c r="O7010" s="4288"/>
    </row>
    <row r="7011" spans="15:15">
      <c r="O7011" s="4288"/>
    </row>
    <row r="7012" spans="15:15">
      <c r="O7012" s="4288"/>
    </row>
    <row r="7013" spans="15:15">
      <c r="O7013" s="4288"/>
    </row>
    <row r="7014" spans="15:15">
      <c r="O7014" s="4288"/>
    </row>
    <row r="7015" spans="15:15">
      <c r="O7015" s="4288"/>
    </row>
    <row r="7016" spans="15:15">
      <c r="O7016" s="4288"/>
    </row>
    <row r="7017" spans="15:15">
      <c r="O7017" s="4288"/>
    </row>
    <row r="7018" spans="15:15">
      <c r="O7018" s="4288"/>
    </row>
    <row r="7019" spans="15:15">
      <c r="O7019" s="4288"/>
    </row>
    <row r="7020" spans="15:15">
      <c r="O7020" s="4288"/>
    </row>
    <row r="7021" spans="15:15">
      <c r="O7021" s="4288"/>
    </row>
    <row r="7022" spans="15:15">
      <c r="O7022" s="4288"/>
    </row>
    <row r="7023" spans="15:15">
      <c r="O7023" s="4288"/>
    </row>
    <row r="7024" spans="15:15">
      <c r="O7024" s="4288"/>
    </row>
    <row r="7025" spans="15:15">
      <c r="O7025" s="4288"/>
    </row>
    <row r="7026" spans="15:15">
      <c r="O7026" s="4288"/>
    </row>
    <row r="7027" spans="15:15">
      <c r="O7027" s="4288"/>
    </row>
    <row r="7028" spans="15:15">
      <c r="O7028" s="4288"/>
    </row>
    <row r="7029" spans="15:15">
      <c r="O7029" s="4288"/>
    </row>
    <row r="7030" spans="15:15">
      <c r="O7030" s="4288"/>
    </row>
    <row r="7031" spans="15:15">
      <c r="O7031" s="4288"/>
    </row>
    <row r="7032" spans="15:15">
      <c r="O7032" s="4288"/>
    </row>
    <row r="7033" spans="15:15">
      <c r="O7033" s="4288"/>
    </row>
    <row r="7034" spans="15:15">
      <c r="O7034" s="4288"/>
    </row>
    <row r="7035" spans="15:15">
      <c r="O7035" s="4288"/>
    </row>
    <row r="7036" spans="15:15">
      <c r="O7036" s="4288"/>
    </row>
    <row r="7037" spans="15:15">
      <c r="O7037" s="4288"/>
    </row>
    <row r="7038" spans="15:15">
      <c r="O7038" s="4288"/>
    </row>
    <row r="7039" spans="15:15">
      <c r="O7039" s="4288"/>
    </row>
    <row r="7040" spans="15:15">
      <c r="O7040" s="4288"/>
    </row>
    <row r="7041" spans="15:15">
      <c r="O7041" s="4288"/>
    </row>
    <row r="7042" spans="15:15">
      <c r="O7042" s="4288"/>
    </row>
    <row r="7043" spans="15:15">
      <c r="O7043" s="4288"/>
    </row>
    <row r="7044" spans="15:15">
      <c r="O7044" s="4288"/>
    </row>
    <row r="7045" spans="15:15">
      <c r="O7045" s="4288"/>
    </row>
    <row r="7046" spans="15:15">
      <c r="O7046" s="4288"/>
    </row>
    <row r="7047" spans="15:15">
      <c r="O7047" s="4288"/>
    </row>
    <row r="7048" spans="15:15">
      <c r="O7048" s="4288"/>
    </row>
    <row r="7049" spans="15:15">
      <c r="O7049" s="4288"/>
    </row>
    <row r="7050" spans="15:15">
      <c r="O7050" s="4288"/>
    </row>
    <row r="7051" spans="15:15">
      <c r="O7051" s="4288"/>
    </row>
    <row r="7052" spans="15:15">
      <c r="O7052" s="4288"/>
    </row>
    <row r="7053" spans="15:15">
      <c r="O7053" s="4288"/>
    </row>
    <row r="7054" spans="15:15">
      <c r="O7054" s="4288"/>
    </row>
    <row r="7055" spans="15:15">
      <c r="O7055" s="4288"/>
    </row>
    <row r="7056" spans="15:15">
      <c r="O7056" s="4288"/>
    </row>
    <row r="7057" spans="15:15">
      <c r="O7057" s="4288"/>
    </row>
    <row r="7058" spans="15:15">
      <c r="O7058" s="4288"/>
    </row>
    <row r="7059" spans="15:15">
      <c r="O7059" s="4288"/>
    </row>
    <row r="7060" spans="15:15">
      <c r="O7060" s="4288"/>
    </row>
    <row r="7061" spans="15:15">
      <c r="O7061" s="4288"/>
    </row>
    <row r="7062" spans="15:15">
      <c r="O7062" s="4288"/>
    </row>
    <row r="7063" spans="15:15">
      <c r="O7063" s="4288"/>
    </row>
    <row r="7064" spans="15:15">
      <c r="O7064" s="4288"/>
    </row>
    <row r="7065" spans="15:15">
      <c r="O7065" s="4288"/>
    </row>
    <row r="7066" spans="15:15">
      <c r="O7066" s="4288"/>
    </row>
    <row r="7067" spans="15:15">
      <c r="O7067" s="4288"/>
    </row>
    <row r="7068" spans="15:15">
      <c r="O7068" s="4288"/>
    </row>
    <row r="7069" spans="15:15">
      <c r="O7069" s="4288"/>
    </row>
    <row r="7070" spans="15:15">
      <c r="O7070" s="4288"/>
    </row>
    <row r="7071" spans="15:15">
      <c r="O7071" s="4288"/>
    </row>
    <row r="7072" spans="15:15">
      <c r="O7072" s="4288"/>
    </row>
    <row r="7073" spans="15:15">
      <c r="O7073" s="4288"/>
    </row>
    <row r="7074" spans="15:15">
      <c r="O7074" s="4288"/>
    </row>
    <row r="7075" spans="15:15">
      <c r="O7075" s="4288"/>
    </row>
    <row r="7076" spans="15:15">
      <c r="O7076" s="4288"/>
    </row>
    <row r="7077" spans="15:15">
      <c r="O7077" s="4288"/>
    </row>
    <row r="7078" spans="15:15">
      <c r="O7078" s="4288"/>
    </row>
    <row r="7079" spans="15:15">
      <c r="O7079" s="4288"/>
    </row>
    <row r="7080" spans="15:15">
      <c r="O7080" s="4288"/>
    </row>
    <row r="7081" spans="15:15">
      <c r="O7081" s="4288"/>
    </row>
    <row r="7082" spans="15:15">
      <c r="O7082" s="4288"/>
    </row>
    <row r="7083" spans="15:15">
      <c r="O7083" s="4288"/>
    </row>
    <row r="7084" spans="15:15">
      <c r="O7084" s="4288"/>
    </row>
    <row r="7085" spans="15:15">
      <c r="O7085" s="4288"/>
    </row>
    <row r="7086" spans="15:15">
      <c r="O7086" s="4288"/>
    </row>
    <row r="7087" spans="15:15">
      <c r="O7087" s="4288"/>
    </row>
    <row r="7088" spans="15:15">
      <c r="O7088" s="4288"/>
    </row>
    <row r="7089" spans="15:15">
      <c r="O7089" s="4288"/>
    </row>
    <row r="7090" spans="15:15">
      <c r="O7090" s="4288"/>
    </row>
    <row r="7091" spans="15:15">
      <c r="O7091" s="4288"/>
    </row>
    <row r="7092" spans="15:15">
      <c r="O7092" s="4288"/>
    </row>
    <row r="7093" spans="15:15">
      <c r="O7093" s="4288"/>
    </row>
    <row r="7094" spans="15:15">
      <c r="O7094" s="4288"/>
    </row>
    <row r="7095" spans="15:15">
      <c r="O7095" s="4288"/>
    </row>
    <row r="7096" spans="15:15">
      <c r="O7096" s="4288"/>
    </row>
    <row r="7097" spans="15:15">
      <c r="O7097" s="4288"/>
    </row>
    <row r="7098" spans="15:15">
      <c r="O7098" s="4288"/>
    </row>
    <row r="7099" spans="15:15">
      <c r="O7099" s="4288"/>
    </row>
    <row r="7100" spans="15:15">
      <c r="O7100" s="4288"/>
    </row>
    <row r="7101" spans="15:15">
      <c r="O7101" s="4288"/>
    </row>
    <row r="7102" spans="15:15">
      <c r="O7102" s="4288"/>
    </row>
    <row r="7103" spans="15:15">
      <c r="O7103" s="4288"/>
    </row>
    <row r="7104" spans="15:15">
      <c r="O7104" s="4288"/>
    </row>
    <row r="7105" spans="15:15">
      <c r="O7105" s="4288"/>
    </row>
    <row r="7106" spans="15:15">
      <c r="O7106" s="4288"/>
    </row>
    <row r="7107" spans="15:15">
      <c r="O7107" s="4288"/>
    </row>
    <row r="7108" spans="15:15">
      <c r="O7108" s="4288"/>
    </row>
    <row r="7109" spans="15:15">
      <c r="O7109" s="4288"/>
    </row>
    <row r="7110" spans="15:15">
      <c r="O7110" s="4288"/>
    </row>
    <row r="7111" spans="15:15">
      <c r="O7111" s="4288"/>
    </row>
    <row r="7112" spans="15:15">
      <c r="O7112" s="4288"/>
    </row>
    <row r="7113" spans="15:15">
      <c r="O7113" s="4288"/>
    </row>
    <row r="7114" spans="15:15">
      <c r="O7114" s="4288"/>
    </row>
    <row r="7115" spans="15:15">
      <c r="O7115" s="4288"/>
    </row>
    <row r="7116" spans="15:15">
      <c r="O7116" s="4288"/>
    </row>
    <row r="7117" spans="15:15">
      <c r="O7117" s="4288"/>
    </row>
    <row r="7118" spans="15:15">
      <c r="O7118" s="4288"/>
    </row>
    <row r="7119" spans="15:15">
      <c r="O7119" s="4288"/>
    </row>
    <row r="7120" spans="15:15">
      <c r="O7120" s="4288"/>
    </row>
    <row r="7121" spans="15:15">
      <c r="O7121" s="4288"/>
    </row>
    <row r="7122" spans="15:15">
      <c r="O7122" s="4288"/>
    </row>
    <row r="7123" spans="15:15">
      <c r="O7123" s="4288"/>
    </row>
    <row r="7124" spans="15:15">
      <c r="O7124" s="4288"/>
    </row>
    <row r="7125" spans="15:15">
      <c r="O7125" s="4288"/>
    </row>
    <row r="7126" spans="15:15">
      <c r="O7126" s="4288"/>
    </row>
    <row r="7127" spans="15:15">
      <c r="O7127" s="4288"/>
    </row>
    <row r="7128" spans="15:15">
      <c r="O7128" s="4288"/>
    </row>
    <row r="7129" spans="15:15">
      <c r="O7129" s="4288"/>
    </row>
    <row r="7130" spans="15:15">
      <c r="O7130" s="4288"/>
    </row>
    <row r="7131" spans="15:15">
      <c r="O7131" s="4288"/>
    </row>
    <row r="7132" spans="15:15">
      <c r="O7132" s="4288"/>
    </row>
    <row r="7133" spans="15:15">
      <c r="O7133" s="4288"/>
    </row>
    <row r="7134" spans="15:15">
      <c r="O7134" s="4288"/>
    </row>
    <row r="7135" spans="15:15">
      <c r="O7135" s="4288"/>
    </row>
    <row r="7136" spans="15:15">
      <c r="O7136" s="4288"/>
    </row>
    <row r="7137" spans="15:15">
      <c r="O7137" s="4288"/>
    </row>
    <row r="7138" spans="15:15">
      <c r="O7138" s="4288"/>
    </row>
    <row r="7139" spans="15:15">
      <c r="O7139" s="4288"/>
    </row>
    <row r="7140" spans="15:15">
      <c r="O7140" s="4288"/>
    </row>
    <row r="7141" spans="15:15">
      <c r="O7141" s="4288"/>
    </row>
    <row r="7142" spans="15:15">
      <c r="O7142" s="4288"/>
    </row>
    <row r="7143" spans="15:15">
      <c r="O7143" s="4288"/>
    </row>
    <row r="7144" spans="15:15">
      <c r="O7144" s="4288"/>
    </row>
    <row r="7145" spans="15:15">
      <c r="O7145" s="4288"/>
    </row>
    <row r="7146" spans="15:15">
      <c r="O7146" s="4288"/>
    </row>
    <row r="7147" spans="15:15">
      <c r="O7147" s="4288"/>
    </row>
    <row r="7148" spans="15:15">
      <c r="O7148" s="4288"/>
    </row>
    <row r="7149" spans="15:15">
      <c r="O7149" s="4288"/>
    </row>
    <row r="7150" spans="15:15">
      <c r="O7150" s="4288"/>
    </row>
    <row r="7151" spans="15:15">
      <c r="O7151" s="4288"/>
    </row>
    <row r="7152" spans="15:15">
      <c r="O7152" s="4288"/>
    </row>
    <row r="7153" spans="15:15">
      <c r="O7153" s="4288"/>
    </row>
    <row r="7154" spans="15:15">
      <c r="O7154" s="4288"/>
    </row>
    <row r="7155" spans="15:15">
      <c r="O7155" s="4288"/>
    </row>
    <row r="7156" spans="15:15">
      <c r="O7156" s="4288"/>
    </row>
    <row r="7157" spans="15:15">
      <c r="O7157" s="4288"/>
    </row>
    <row r="7158" spans="15:15">
      <c r="O7158" s="4288"/>
    </row>
    <row r="7159" spans="15:15">
      <c r="O7159" s="4288"/>
    </row>
    <row r="7160" spans="15:15">
      <c r="O7160" s="4288"/>
    </row>
    <row r="7161" spans="15:15">
      <c r="O7161" s="4288"/>
    </row>
    <row r="7162" spans="15:15">
      <c r="O7162" s="4288"/>
    </row>
    <row r="7163" spans="15:15">
      <c r="O7163" s="4288"/>
    </row>
    <row r="7164" spans="15:15">
      <c r="O7164" s="4288"/>
    </row>
    <row r="7165" spans="15:15">
      <c r="O7165" s="4288"/>
    </row>
    <row r="7166" spans="15:15">
      <c r="O7166" s="4288"/>
    </row>
    <row r="7167" spans="15:15">
      <c r="O7167" s="4288"/>
    </row>
    <row r="7168" spans="15:15">
      <c r="O7168" s="4288"/>
    </row>
    <row r="7169" spans="15:15">
      <c r="O7169" s="4288"/>
    </row>
    <row r="7170" spans="15:15">
      <c r="O7170" s="4288"/>
    </row>
    <row r="7171" spans="15:15">
      <c r="O7171" s="4288"/>
    </row>
    <row r="7172" spans="15:15">
      <c r="O7172" s="4288"/>
    </row>
    <row r="7173" spans="15:15">
      <c r="O7173" s="4288"/>
    </row>
    <row r="7174" spans="15:15">
      <c r="O7174" s="4288"/>
    </row>
    <row r="7175" spans="15:15">
      <c r="O7175" s="4288"/>
    </row>
    <row r="7176" spans="15:15">
      <c r="O7176" s="4288"/>
    </row>
    <row r="7177" spans="15:15">
      <c r="O7177" s="4288"/>
    </row>
    <row r="7178" spans="15:15">
      <c r="O7178" s="4288"/>
    </row>
    <row r="7179" spans="15:15">
      <c r="O7179" s="4288"/>
    </row>
    <row r="7180" spans="15:15">
      <c r="O7180" s="4288"/>
    </row>
    <row r="7181" spans="15:15">
      <c r="O7181" s="4288"/>
    </row>
    <row r="7182" spans="15:15">
      <c r="O7182" s="4288"/>
    </row>
    <row r="7183" spans="15:15">
      <c r="O7183" s="4288"/>
    </row>
    <row r="7184" spans="15:15">
      <c r="O7184" s="4288"/>
    </row>
    <row r="7185" spans="15:15">
      <c r="O7185" s="4288"/>
    </row>
    <row r="7186" spans="15:15">
      <c r="O7186" s="4288"/>
    </row>
    <row r="7187" spans="15:15">
      <c r="O7187" s="4288"/>
    </row>
    <row r="7188" spans="15:15">
      <c r="O7188" s="4288"/>
    </row>
    <row r="7189" spans="15:15">
      <c r="O7189" s="4288"/>
    </row>
    <row r="7190" spans="15:15">
      <c r="O7190" s="4288"/>
    </row>
    <row r="7191" spans="15:15">
      <c r="O7191" s="4288"/>
    </row>
    <row r="7192" spans="15:15">
      <c r="O7192" s="4288"/>
    </row>
    <row r="7193" spans="15:15">
      <c r="O7193" s="4288"/>
    </row>
    <row r="7194" spans="15:15">
      <c r="O7194" s="4288"/>
    </row>
    <row r="7195" spans="15:15">
      <c r="O7195" s="4288"/>
    </row>
    <row r="7196" spans="15:15">
      <c r="O7196" s="4288"/>
    </row>
    <row r="7197" spans="15:15">
      <c r="O7197" s="4288"/>
    </row>
    <row r="7198" spans="15:15">
      <c r="O7198" s="4288"/>
    </row>
    <row r="7199" spans="15:15">
      <c r="O7199" s="4288"/>
    </row>
    <row r="7200" spans="15:15">
      <c r="O7200" s="4288"/>
    </row>
    <row r="7201" spans="15:15">
      <c r="O7201" s="4288"/>
    </row>
    <row r="7202" spans="15:15">
      <c r="O7202" s="4288"/>
    </row>
    <row r="7203" spans="15:15">
      <c r="O7203" s="4288"/>
    </row>
    <row r="7204" spans="15:15">
      <c r="O7204" s="4288"/>
    </row>
    <row r="7205" spans="15:15">
      <c r="O7205" s="4288"/>
    </row>
    <row r="7206" spans="15:15">
      <c r="O7206" s="4288"/>
    </row>
    <row r="7207" spans="15:15">
      <c r="O7207" s="4288"/>
    </row>
    <row r="7208" spans="15:15">
      <c r="O7208" s="4288"/>
    </row>
    <row r="7209" spans="15:15">
      <c r="O7209" s="4288"/>
    </row>
    <row r="7210" spans="15:15">
      <c r="O7210" s="4288"/>
    </row>
    <row r="7211" spans="15:15">
      <c r="O7211" s="4288"/>
    </row>
    <row r="7212" spans="15:15">
      <c r="O7212" s="4288"/>
    </row>
    <row r="7213" spans="15:15">
      <c r="O7213" s="4288"/>
    </row>
    <row r="7214" spans="15:15">
      <c r="O7214" s="4288"/>
    </row>
    <row r="7215" spans="15:15">
      <c r="O7215" s="4288"/>
    </row>
    <row r="7216" spans="15:15">
      <c r="O7216" s="4288"/>
    </row>
    <row r="7217" spans="15:15">
      <c r="O7217" s="4288"/>
    </row>
    <row r="7218" spans="15:15">
      <c r="O7218" s="4288"/>
    </row>
    <row r="7219" spans="15:15">
      <c r="O7219" s="4288"/>
    </row>
    <row r="7220" spans="15:15">
      <c r="O7220" s="4288"/>
    </row>
    <row r="7221" spans="15:15">
      <c r="O7221" s="4288"/>
    </row>
    <row r="7222" spans="15:15">
      <c r="O7222" s="4288"/>
    </row>
    <row r="7223" spans="15:15">
      <c r="O7223" s="4288"/>
    </row>
    <row r="7224" spans="15:15">
      <c r="O7224" s="4288"/>
    </row>
    <row r="7225" spans="15:15">
      <c r="O7225" s="4288"/>
    </row>
    <row r="7226" spans="15:15">
      <c r="O7226" s="4288"/>
    </row>
    <row r="7227" spans="15:15">
      <c r="O7227" s="4288"/>
    </row>
    <row r="7228" spans="15:15">
      <c r="O7228" s="4288"/>
    </row>
    <row r="7229" spans="15:15">
      <c r="O7229" s="4288"/>
    </row>
    <row r="7230" spans="15:15">
      <c r="O7230" s="4288"/>
    </row>
    <row r="7231" spans="15:15">
      <c r="O7231" s="4288"/>
    </row>
    <row r="7232" spans="15:15">
      <c r="O7232" s="4288"/>
    </row>
    <row r="7233" spans="15:15">
      <c r="O7233" s="4288"/>
    </row>
    <row r="7234" spans="15:15">
      <c r="O7234" s="4288"/>
    </row>
    <row r="7235" spans="15:15">
      <c r="O7235" s="4288"/>
    </row>
    <row r="7236" spans="15:15">
      <c r="O7236" s="4288"/>
    </row>
    <row r="7237" spans="15:15">
      <c r="O7237" s="4288"/>
    </row>
    <row r="7238" spans="15:15">
      <c r="O7238" s="4288"/>
    </row>
    <row r="7239" spans="15:15">
      <c r="O7239" s="4288"/>
    </row>
    <row r="7240" spans="15:15">
      <c r="O7240" s="4288"/>
    </row>
    <row r="7241" spans="15:15">
      <c r="O7241" s="4288"/>
    </row>
    <row r="7242" spans="15:15">
      <c r="O7242" s="4288"/>
    </row>
    <row r="7243" spans="15:15">
      <c r="O7243" s="4288"/>
    </row>
    <row r="7244" spans="15:15">
      <c r="O7244" s="4288"/>
    </row>
    <row r="7245" spans="15:15">
      <c r="O7245" s="4288"/>
    </row>
    <row r="7246" spans="15:15">
      <c r="O7246" s="4288"/>
    </row>
    <row r="7247" spans="15:15">
      <c r="O7247" s="4288"/>
    </row>
    <row r="7248" spans="15:15">
      <c r="O7248" s="4288"/>
    </row>
    <row r="7249" spans="15:15">
      <c r="O7249" s="4288"/>
    </row>
    <row r="7250" spans="15:15">
      <c r="O7250" s="4288"/>
    </row>
    <row r="7251" spans="15:15">
      <c r="O7251" s="4288"/>
    </row>
    <row r="7252" spans="15:15">
      <c r="O7252" s="4288"/>
    </row>
    <row r="7253" spans="15:15">
      <c r="O7253" s="4288"/>
    </row>
    <row r="7254" spans="15:15">
      <c r="O7254" s="4288"/>
    </row>
    <row r="7255" spans="15:15">
      <c r="O7255" s="4288"/>
    </row>
    <row r="7256" spans="15:15">
      <c r="O7256" s="4288"/>
    </row>
    <row r="7257" spans="15:15">
      <c r="O7257" s="4288"/>
    </row>
    <row r="7258" spans="15:15">
      <c r="O7258" s="4288"/>
    </row>
    <row r="7259" spans="15:15">
      <c r="O7259" s="4288"/>
    </row>
    <row r="7260" spans="15:15">
      <c r="O7260" s="4288"/>
    </row>
    <row r="7261" spans="15:15">
      <c r="O7261" s="4288"/>
    </row>
    <row r="7262" spans="15:15">
      <c r="O7262" s="4288"/>
    </row>
    <row r="7263" spans="15:15">
      <c r="O7263" s="4288"/>
    </row>
    <row r="7264" spans="15:15">
      <c r="O7264" s="4288"/>
    </row>
    <row r="7265" spans="15:15">
      <c r="O7265" s="4288"/>
    </row>
    <row r="7266" spans="15:15">
      <c r="O7266" s="4288"/>
    </row>
    <row r="7267" spans="15:15">
      <c r="O7267" s="4288"/>
    </row>
    <row r="7268" spans="15:15">
      <c r="O7268" s="4288"/>
    </row>
    <row r="7269" spans="15:15">
      <c r="O7269" s="4288"/>
    </row>
    <row r="7270" spans="15:15">
      <c r="O7270" s="4288"/>
    </row>
    <row r="7271" spans="15:15">
      <c r="O7271" s="4288"/>
    </row>
    <row r="7272" spans="15:15">
      <c r="O7272" s="4288"/>
    </row>
    <row r="7273" spans="15:15">
      <c r="O7273" s="4288"/>
    </row>
    <row r="7274" spans="15:15">
      <c r="O7274" s="4288"/>
    </row>
    <row r="7275" spans="15:15">
      <c r="O7275" s="4288"/>
    </row>
    <row r="7276" spans="15:15">
      <c r="O7276" s="4288"/>
    </row>
    <row r="7277" spans="15:15">
      <c r="O7277" s="4288"/>
    </row>
    <row r="7278" spans="15:15">
      <c r="O7278" s="4288"/>
    </row>
    <row r="7279" spans="15:15">
      <c r="O7279" s="4288"/>
    </row>
    <row r="7280" spans="15:15">
      <c r="O7280" s="4288"/>
    </row>
    <row r="7281" spans="15:15">
      <c r="O7281" s="4288"/>
    </row>
    <row r="7282" spans="15:15">
      <c r="O7282" s="4288"/>
    </row>
    <row r="7283" spans="15:15">
      <c r="O7283" s="4288"/>
    </row>
    <row r="7284" spans="15:15">
      <c r="O7284" s="4288"/>
    </row>
    <row r="7285" spans="15:15">
      <c r="O7285" s="4288"/>
    </row>
    <row r="7286" spans="15:15">
      <c r="O7286" s="4288"/>
    </row>
    <row r="7287" spans="15:15">
      <c r="O7287" s="4288"/>
    </row>
    <row r="7288" spans="15:15">
      <c r="O7288" s="4288"/>
    </row>
    <row r="7289" spans="15:15">
      <c r="O7289" s="4288"/>
    </row>
    <row r="7290" spans="15:15">
      <c r="O7290" s="4288"/>
    </row>
    <row r="7291" spans="15:15">
      <c r="O7291" s="4288"/>
    </row>
    <row r="7292" spans="15:15">
      <c r="O7292" s="4288"/>
    </row>
    <row r="7293" spans="15:15">
      <c r="O7293" s="4288"/>
    </row>
    <row r="7294" spans="15:15">
      <c r="O7294" s="4288"/>
    </row>
    <row r="7295" spans="15:15">
      <c r="O7295" s="4288"/>
    </row>
    <row r="7296" spans="15:15">
      <c r="O7296" s="4288"/>
    </row>
    <row r="7297" spans="15:15">
      <c r="O7297" s="4288"/>
    </row>
    <row r="7298" spans="15:15">
      <c r="O7298" s="4288"/>
    </row>
    <row r="7299" spans="15:15">
      <c r="O7299" s="4288"/>
    </row>
    <row r="7300" spans="15:15">
      <c r="O7300" s="4288"/>
    </row>
    <row r="7301" spans="15:15">
      <c r="O7301" s="4288"/>
    </row>
    <row r="7302" spans="15:15">
      <c r="O7302" s="4288"/>
    </row>
    <row r="7303" spans="15:15">
      <c r="O7303" s="4288"/>
    </row>
    <row r="7304" spans="15:15">
      <c r="O7304" s="4288"/>
    </row>
    <row r="7305" spans="15:15">
      <c r="O7305" s="4288"/>
    </row>
    <row r="7306" spans="15:15">
      <c r="O7306" s="4288"/>
    </row>
    <row r="7307" spans="15:15">
      <c r="O7307" s="4288"/>
    </row>
    <row r="7308" spans="15:15">
      <c r="O7308" s="4288"/>
    </row>
    <row r="7309" spans="15:15">
      <c r="O7309" s="4288"/>
    </row>
    <row r="7310" spans="15:15">
      <c r="O7310" s="4288"/>
    </row>
    <row r="7311" spans="15:15">
      <c r="O7311" s="4288"/>
    </row>
    <row r="7312" spans="15:15">
      <c r="O7312" s="4288"/>
    </row>
    <row r="7313" spans="15:15">
      <c r="O7313" s="4288"/>
    </row>
    <row r="7314" spans="15:15">
      <c r="O7314" s="4288"/>
    </row>
    <row r="7315" spans="15:15">
      <c r="O7315" s="4288"/>
    </row>
    <row r="7316" spans="15:15">
      <c r="O7316" s="4288"/>
    </row>
    <row r="7317" spans="15:15">
      <c r="O7317" s="4288"/>
    </row>
    <row r="7318" spans="15:15">
      <c r="O7318" s="4288"/>
    </row>
    <row r="7319" spans="15:15">
      <c r="O7319" s="4288"/>
    </row>
    <row r="7320" spans="15:15">
      <c r="O7320" s="4288"/>
    </row>
    <row r="7321" spans="15:15">
      <c r="O7321" s="4288"/>
    </row>
    <row r="7322" spans="15:15">
      <c r="O7322" s="4288"/>
    </row>
    <row r="7323" spans="15:15">
      <c r="O7323" s="4288"/>
    </row>
    <row r="7324" spans="15:15">
      <c r="O7324" s="4288"/>
    </row>
    <row r="7325" spans="15:15">
      <c r="O7325" s="4288"/>
    </row>
    <row r="7326" spans="15:15">
      <c r="O7326" s="4288"/>
    </row>
    <row r="7327" spans="15:15">
      <c r="O7327" s="4288"/>
    </row>
    <row r="7328" spans="15:15">
      <c r="O7328" s="4288"/>
    </row>
    <row r="7329" spans="15:15">
      <c r="O7329" s="4288"/>
    </row>
    <row r="7330" spans="15:15">
      <c r="O7330" s="4288"/>
    </row>
    <row r="7331" spans="15:15">
      <c r="O7331" s="4288"/>
    </row>
    <row r="7332" spans="15:15">
      <c r="O7332" s="4288"/>
    </row>
    <row r="7333" spans="15:15">
      <c r="O7333" s="4288"/>
    </row>
    <row r="7334" spans="15:15">
      <c r="O7334" s="4288"/>
    </row>
    <row r="7335" spans="15:15">
      <c r="O7335" s="4288"/>
    </row>
    <row r="7336" spans="15:15">
      <c r="O7336" s="4288"/>
    </row>
    <row r="7337" spans="15:15">
      <c r="O7337" s="4288"/>
    </row>
    <row r="7338" spans="15:15">
      <c r="O7338" s="4288"/>
    </row>
    <row r="7339" spans="15:15">
      <c r="O7339" s="4288"/>
    </row>
    <row r="7340" spans="15:15">
      <c r="O7340" s="4288"/>
    </row>
    <row r="7341" spans="15:15">
      <c r="O7341" s="4288"/>
    </row>
    <row r="7342" spans="15:15">
      <c r="O7342" s="4288"/>
    </row>
    <row r="7343" spans="15:15">
      <c r="O7343" s="4288"/>
    </row>
    <row r="7344" spans="15:15">
      <c r="O7344" s="4288"/>
    </row>
    <row r="7345" spans="15:15">
      <c r="O7345" s="4288"/>
    </row>
    <row r="7346" spans="15:15">
      <c r="O7346" s="4288"/>
    </row>
    <row r="7347" spans="15:15">
      <c r="O7347" s="4288"/>
    </row>
    <row r="7348" spans="15:15">
      <c r="O7348" s="4288"/>
    </row>
    <row r="7349" spans="15:15">
      <c r="O7349" s="4288"/>
    </row>
    <row r="7350" spans="15:15">
      <c r="O7350" s="4288"/>
    </row>
    <row r="7351" spans="15:15">
      <c r="O7351" s="4288"/>
    </row>
    <row r="7352" spans="15:15">
      <c r="O7352" s="4288"/>
    </row>
    <row r="7353" spans="15:15">
      <c r="O7353" s="4288"/>
    </row>
    <row r="7354" spans="15:15">
      <c r="O7354" s="4288"/>
    </row>
    <row r="7355" spans="15:15">
      <c r="O7355" s="4288"/>
    </row>
    <row r="7356" spans="15:15">
      <c r="O7356" s="4288"/>
    </row>
    <row r="7357" spans="15:15">
      <c r="O7357" s="4288"/>
    </row>
    <row r="7358" spans="15:15">
      <c r="O7358" s="4288"/>
    </row>
    <row r="7359" spans="15:15">
      <c r="O7359" s="4288"/>
    </row>
    <row r="7360" spans="15:15">
      <c r="O7360" s="4288"/>
    </row>
    <row r="7361" spans="15:15">
      <c r="O7361" s="4288"/>
    </row>
    <row r="7362" spans="15:15">
      <c r="O7362" s="4288"/>
    </row>
    <row r="7363" spans="15:15">
      <c r="O7363" s="4288"/>
    </row>
    <row r="7364" spans="15:15">
      <c r="O7364" s="4288"/>
    </row>
    <row r="7365" spans="15:15">
      <c r="O7365" s="4288"/>
    </row>
    <row r="7366" spans="15:15">
      <c r="O7366" s="4288"/>
    </row>
    <row r="7367" spans="15:15">
      <c r="O7367" s="4288"/>
    </row>
    <row r="7368" spans="15:15">
      <c r="O7368" s="4288"/>
    </row>
    <row r="7369" spans="15:15">
      <c r="O7369" s="4288"/>
    </row>
    <row r="7370" spans="15:15">
      <c r="O7370" s="4288"/>
    </row>
    <row r="7371" spans="15:15">
      <c r="O7371" s="4288"/>
    </row>
    <row r="7372" spans="15:15">
      <c r="O7372" s="4288"/>
    </row>
    <row r="7373" spans="15:15">
      <c r="O7373" s="4288"/>
    </row>
    <row r="7374" spans="15:15">
      <c r="O7374" s="4288"/>
    </row>
    <row r="7375" spans="15:15">
      <c r="O7375" s="4288"/>
    </row>
    <row r="7376" spans="15:15">
      <c r="O7376" s="4288"/>
    </row>
    <row r="7377" spans="15:15">
      <c r="O7377" s="4288"/>
    </row>
    <row r="7378" spans="15:15">
      <c r="O7378" s="4288"/>
    </row>
    <row r="7379" spans="15:15">
      <c r="O7379" s="4288"/>
    </row>
    <row r="7380" spans="15:15">
      <c r="O7380" s="4288"/>
    </row>
    <row r="7381" spans="15:15">
      <c r="O7381" s="4288"/>
    </row>
    <row r="7382" spans="15:15">
      <c r="O7382" s="4288"/>
    </row>
    <row r="7383" spans="15:15">
      <c r="O7383" s="4288"/>
    </row>
    <row r="7384" spans="15:15">
      <c r="O7384" s="4288"/>
    </row>
    <row r="7385" spans="15:15">
      <c r="O7385" s="4288"/>
    </row>
    <row r="7386" spans="15:15">
      <c r="O7386" s="4288"/>
    </row>
    <row r="7387" spans="15:15">
      <c r="O7387" s="4288"/>
    </row>
    <row r="7388" spans="15:15">
      <c r="O7388" s="4288"/>
    </row>
    <row r="7389" spans="15:15">
      <c r="O7389" s="4288"/>
    </row>
    <row r="7390" spans="15:15">
      <c r="O7390" s="4288"/>
    </row>
    <row r="7391" spans="15:15">
      <c r="O7391" s="4288"/>
    </row>
    <row r="7392" spans="15:15">
      <c r="O7392" s="4288"/>
    </row>
    <row r="7393" spans="15:15">
      <c r="O7393" s="4288"/>
    </row>
    <row r="7394" spans="15:15">
      <c r="O7394" s="4288"/>
    </row>
    <row r="7395" spans="15:15">
      <c r="O7395" s="4288"/>
    </row>
    <row r="7396" spans="15:15">
      <c r="O7396" s="4288"/>
    </row>
    <row r="7397" spans="15:15">
      <c r="O7397" s="4288"/>
    </row>
    <row r="7398" spans="15:15">
      <c r="O7398" s="4288"/>
    </row>
    <row r="7399" spans="15:15">
      <c r="O7399" s="4288"/>
    </row>
    <row r="7400" spans="15:15">
      <c r="O7400" s="4288"/>
    </row>
    <row r="7401" spans="15:15">
      <c r="O7401" s="4288"/>
    </row>
    <row r="7402" spans="15:15">
      <c r="O7402" s="4288"/>
    </row>
    <row r="7403" spans="15:15">
      <c r="O7403" s="4288"/>
    </row>
    <row r="7404" spans="15:15">
      <c r="O7404" s="4288"/>
    </row>
    <row r="7405" spans="15:15">
      <c r="O7405" s="4288"/>
    </row>
    <row r="7406" spans="15:15">
      <c r="O7406" s="4288"/>
    </row>
    <row r="7407" spans="15:15">
      <c r="O7407" s="4288"/>
    </row>
    <row r="7408" spans="15:15">
      <c r="O7408" s="4288"/>
    </row>
    <row r="7409" spans="15:15">
      <c r="O7409" s="4288"/>
    </row>
    <row r="7410" spans="15:15">
      <c r="O7410" s="4288"/>
    </row>
    <row r="7411" spans="15:15">
      <c r="O7411" s="4288"/>
    </row>
    <row r="7412" spans="15:15">
      <c r="O7412" s="4288"/>
    </row>
    <row r="7413" spans="15:15">
      <c r="O7413" s="4288"/>
    </row>
    <row r="7414" spans="15:15">
      <c r="O7414" s="4288"/>
    </row>
    <row r="7415" spans="15:15">
      <c r="O7415" s="4288"/>
    </row>
    <row r="7416" spans="15:15">
      <c r="O7416" s="4288"/>
    </row>
    <row r="7417" spans="15:15">
      <c r="O7417" s="4288"/>
    </row>
    <row r="7418" spans="15:15">
      <c r="O7418" s="4288"/>
    </row>
    <row r="7419" spans="15:15">
      <c r="O7419" s="4288"/>
    </row>
    <row r="7420" spans="15:15">
      <c r="O7420" s="4288"/>
    </row>
    <row r="7421" spans="15:15">
      <c r="O7421" s="4288"/>
    </row>
    <row r="7422" spans="15:15">
      <c r="O7422" s="4288"/>
    </row>
    <row r="7423" spans="15:15">
      <c r="O7423" s="4288"/>
    </row>
    <row r="7424" spans="15:15">
      <c r="O7424" s="4288"/>
    </row>
    <row r="7425" spans="15:15">
      <c r="O7425" s="4288"/>
    </row>
    <row r="7426" spans="15:15">
      <c r="O7426" s="4288"/>
    </row>
    <row r="7427" spans="15:15">
      <c r="O7427" s="4288"/>
    </row>
    <row r="7428" spans="15:15">
      <c r="O7428" s="4288"/>
    </row>
    <row r="7429" spans="15:15">
      <c r="O7429" s="4288"/>
    </row>
    <row r="7430" spans="15:15">
      <c r="O7430" s="4288"/>
    </row>
    <row r="7431" spans="15:15">
      <c r="O7431" s="4288"/>
    </row>
    <row r="7432" spans="15:15">
      <c r="O7432" s="4288"/>
    </row>
    <row r="7433" spans="15:15">
      <c r="O7433" s="4288"/>
    </row>
    <row r="7434" spans="15:15">
      <c r="O7434" s="4288"/>
    </row>
    <row r="7435" spans="15:15">
      <c r="O7435" s="4288"/>
    </row>
    <row r="7436" spans="15:15">
      <c r="O7436" s="4288"/>
    </row>
    <row r="7437" spans="15:15">
      <c r="O7437" s="4288"/>
    </row>
    <row r="7438" spans="15:15">
      <c r="O7438" s="4288"/>
    </row>
    <row r="7439" spans="15:15">
      <c r="O7439" s="4288"/>
    </row>
    <row r="7440" spans="15:15">
      <c r="O7440" s="4288"/>
    </row>
    <row r="7441" spans="15:15">
      <c r="O7441" s="4288"/>
    </row>
    <row r="7442" spans="15:15">
      <c r="O7442" s="4288"/>
    </row>
    <row r="7443" spans="15:15">
      <c r="O7443" s="4288"/>
    </row>
    <row r="7444" spans="15:15">
      <c r="O7444" s="4288"/>
    </row>
    <row r="7445" spans="15:15">
      <c r="O7445" s="4288"/>
    </row>
    <row r="7446" spans="15:15">
      <c r="O7446" s="4288"/>
    </row>
    <row r="7447" spans="15:15">
      <c r="O7447" s="4288"/>
    </row>
    <row r="7448" spans="15:15">
      <c r="O7448" s="4288"/>
    </row>
    <row r="7449" spans="15:15">
      <c r="O7449" s="4288"/>
    </row>
    <row r="7450" spans="15:15">
      <c r="O7450" s="4288"/>
    </row>
    <row r="7451" spans="15:15">
      <c r="O7451" s="4288"/>
    </row>
    <row r="7452" spans="15:15">
      <c r="O7452" s="4288"/>
    </row>
    <row r="7453" spans="15:15">
      <c r="O7453" s="4288"/>
    </row>
    <row r="7454" spans="15:15">
      <c r="O7454" s="4288"/>
    </row>
    <row r="7455" spans="15:15">
      <c r="O7455" s="4288"/>
    </row>
    <row r="7456" spans="15:15">
      <c r="O7456" s="4288"/>
    </row>
    <row r="7457" spans="15:15">
      <c r="O7457" s="4288"/>
    </row>
    <row r="7458" spans="15:15">
      <c r="O7458" s="4288"/>
    </row>
    <row r="7459" spans="15:15">
      <c r="O7459" s="4288"/>
    </row>
    <row r="7460" spans="15:15">
      <c r="O7460" s="4288"/>
    </row>
    <row r="7461" spans="15:15">
      <c r="O7461" s="4288"/>
    </row>
    <row r="7462" spans="15:15">
      <c r="O7462" s="4288"/>
    </row>
    <row r="7463" spans="15:15">
      <c r="O7463" s="4288"/>
    </row>
    <row r="7464" spans="15:15">
      <c r="O7464" s="4288"/>
    </row>
    <row r="7465" spans="15:15">
      <c r="O7465" s="4288"/>
    </row>
    <row r="7466" spans="15:15">
      <c r="O7466" s="4288"/>
    </row>
    <row r="7467" spans="15:15">
      <c r="O7467" s="4288"/>
    </row>
    <row r="7468" spans="15:15">
      <c r="O7468" s="4288"/>
    </row>
    <row r="7469" spans="15:15">
      <c r="O7469" s="4288"/>
    </row>
    <row r="7470" spans="15:15">
      <c r="O7470" s="4288"/>
    </row>
    <row r="7471" spans="15:15">
      <c r="O7471" s="4288"/>
    </row>
    <row r="7472" spans="15:15">
      <c r="O7472" s="4288"/>
    </row>
    <row r="7473" spans="15:15">
      <c r="O7473" s="4288"/>
    </row>
    <row r="7474" spans="15:15">
      <c r="O7474" s="4288"/>
    </row>
    <row r="7475" spans="15:15">
      <c r="O7475" s="4288"/>
    </row>
    <row r="7476" spans="15:15">
      <c r="O7476" s="4288"/>
    </row>
    <row r="7477" spans="15:15">
      <c r="O7477" s="4288"/>
    </row>
    <row r="7478" spans="15:15">
      <c r="O7478" s="4288"/>
    </row>
    <row r="7479" spans="15:15">
      <c r="O7479" s="4288"/>
    </row>
    <row r="7480" spans="15:15">
      <c r="O7480" s="4288"/>
    </row>
    <row r="7481" spans="15:15">
      <c r="O7481" s="4288"/>
    </row>
    <row r="7482" spans="15:15">
      <c r="O7482" s="4288"/>
    </row>
    <row r="7483" spans="15:15">
      <c r="O7483" s="4288"/>
    </row>
    <row r="7484" spans="15:15">
      <c r="O7484" s="4288"/>
    </row>
    <row r="7485" spans="15:15">
      <c r="O7485" s="4288"/>
    </row>
    <row r="7486" spans="15:15">
      <c r="O7486" s="4288"/>
    </row>
    <row r="7487" spans="15:15">
      <c r="O7487" s="4288"/>
    </row>
    <row r="7488" spans="15:15">
      <c r="O7488" s="4288"/>
    </row>
    <row r="7489" spans="15:15">
      <c r="O7489" s="4288"/>
    </row>
    <row r="7490" spans="15:15">
      <c r="O7490" s="4288"/>
    </row>
    <row r="7491" spans="15:15">
      <c r="O7491" s="4288"/>
    </row>
    <row r="7492" spans="15:15">
      <c r="O7492" s="4288"/>
    </row>
    <row r="7493" spans="15:15">
      <c r="O7493" s="4288"/>
    </row>
    <row r="7494" spans="15:15">
      <c r="O7494" s="4288"/>
    </row>
    <row r="7495" spans="15:15">
      <c r="O7495" s="4288"/>
    </row>
    <row r="7496" spans="15:15">
      <c r="O7496" s="4288"/>
    </row>
    <row r="7497" spans="15:15">
      <c r="O7497" s="4288"/>
    </row>
    <row r="7498" spans="15:15">
      <c r="O7498" s="4288"/>
    </row>
    <row r="7499" spans="15:15">
      <c r="O7499" s="4288"/>
    </row>
    <row r="7500" spans="15:15">
      <c r="O7500" s="4288"/>
    </row>
    <row r="7501" spans="15:15">
      <c r="O7501" s="4288"/>
    </row>
    <row r="7502" spans="15:15">
      <c r="O7502" s="4288"/>
    </row>
    <row r="7503" spans="15:15">
      <c r="O7503" s="4288"/>
    </row>
    <row r="7504" spans="15:15">
      <c r="O7504" s="4288"/>
    </row>
    <row r="7505" spans="15:15">
      <c r="O7505" s="4288"/>
    </row>
    <row r="7506" spans="15:15">
      <c r="O7506" s="4288"/>
    </row>
    <row r="7507" spans="15:15">
      <c r="O7507" s="4288"/>
    </row>
    <row r="7508" spans="15:15">
      <c r="O7508" s="4288"/>
    </row>
    <row r="7509" spans="15:15">
      <c r="O7509" s="4288"/>
    </row>
    <row r="7510" spans="15:15">
      <c r="O7510" s="4288"/>
    </row>
    <row r="7511" spans="15:15">
      <c r="O7511" s="4288"/>
    </row>
    <row r="7512" spans="15:15">
      <c r="O7512" s="4288"/>
    </row>
    <row r="7513" spans="15:15">
      <c r="O7513" s="4288"/>
    </row>
    <row r="7514" spans="15:15">
      <c r="O7514" s="4288"/>
    </row>
    <row r="7515" spans="15:15">
      <c r="O7515" s="4288"/>
    </row>
    <row r="7516" spans="15:15">
      <c r="O7516" s="4288"/>
    </row>
    <row r="7517" spans="15:15">
      <c r="O7517" s="4288"/>
    </row>
    <row r="7518" spans="15:15">
      <c r="O7518" s="4288"/>
    </row>
    <row r="7519" spans="15:15">
      <c r="O7519" s="4288"/>
    </row>
    <row r="7520" spans="15:15">
      <c r="O7520" s="4288"/>
    </row>
    <row r="7521" spans="15:15">
      <c r="O7521" s="4288"/>
    </row>
    <row r="7522" spans="15:15">
      <c r="O7522" s="4288"/>
    </row>
    <row r="7523" spans="15:15">
      <c r="O7523" s="4288"/>
    </row>
    <row r="7524" spans="15:15">
      <c r="O7524" s="4288"/>
    </row>
    <row r="7525" spans="15:15">
      <c r="O7525" s="4288"/>
    </row>
    <row r="7526" spans="15:15">
      <c r="O7526" s="4288"/>
    </row>
    <row r="7527" spans="15:15">
      <c r="O7527" s="4288"/>
    </row>
    <row r="7528" spans="15:15">
      <c r="O7528" s="4288"/>
    </row>
    <row r="7529" spans="15:15">
      <c r="O7529" s="4288"/>
    </row>
    <row r="7530" spans="15:15">
      <c r="O7530" s="4288"/>
    </row>
    <row r="7531" spans="15:15">
      <c r="O7531" s="4288"/>
    </row>
    <row r="7532" spans="15:15">
      <c r="O7532" s="4288"/>
    </row>
    <row r="7533" spans="15:15">
      <c r="O7533" s="4288"/>
    </row>
    <row r="7534" spans="15:15">
      <c r="O7534" s="4288"/>
    </row>
    <row r="7535" spans="15:15">
      <c r="O7535" s="4288"/>
    </row>
    <row r="7536" spans="15:15">
      <c r="O7536" s="4288"/>
    </row>
    <row r="7537" spans="15:15">
      <c r="O7537" s="4288"/>
    </row>
    <row r="7538" spans="15:15">
      <c r="O7538" s="4288"/>
    </row>
    <row r="7539" spans="15:15">
      <c r="O7539" s="4288"/>
    </row>
    <row r="7540" spans="15:15">
      <c r="O7540" s="4288"/>
    </row>
    <row r="7541" spans="15:15">
      <c r="O7541" s="4288"/>
    </row>
    <row r="7542" spans="15:15">
      <c r="O7542" s="4288"/>
    </row>
    <row r="7543" spans="15:15">
      <c r="O7543" s="4288"/>
    </row>
    <row r="7544" spans="15:15">
      <c r="O7544" s="4288"/>
    </row>
    <row r="7545" spans="15:15">
      <c r="O7545" s="4288"/>
    </row>
    <row r="7546" spans="15:15">
      <c r="O7546" s="4288"/>
    </row>
    <row r="7547" spans="15:15">
      <c r="O7547" s="4288"/>
    </row>
    <row r="7548" spans="15:15">
      <c r="O7548" s="4288"/>
    </row>
    <row r="7549" spans="15:15">
      <c r="O7549" s="4288"/>
    </row>
    <row r="7550" spans="15:15">
      <c r="O7550" s="4288"/>
    </row>
    <row r="7551" spans="15:15">
      <c r="O7551" s="4288"/>
    </row>
    <row r="7552" spans="15:15">
      <c r="O7552" s="4288"/>
    </row>
    <row r="7553" spans="15:15">
      <c r="O7553" s="4288"/>
    </row>
    <row r="7554" spans="15:15">
      <c r="O7554" s="4288"/>
    </row>
    <row r="7555" spans="15:15">
      <c r="O7555" s="4288"/>
    </row>
    <row r="7556" spans="15:15">
      <c r="O7556" s="4288"/>
    </row>
    <row r="7557" spans="15:15">
      <c r="O7557" s="4288"/>
    </row>
    <row r="7558" spans="15:15">
      <c r="O7558" s="4288"/>
    </row>
    <row r="7559" spans="15:15">
      <c r="O7559" s="4288"/>
    </row>
    <row r="7560" spans="15:15">
      <c r="O7560" s="4288"/>
    </row>
    <row r="7561" spans="15:15">
      <c r="O7561" s="4288"/>
    </row>
    <row r="7562" spans="15:15">
      <c r="O7562" s="4288"/>
    </row>
    <row r="7563" spans="15:15">
      <c r="O7563" s="4288"/>
    </row>
    <row r="7564" spans="15:15">
      <c r="O7564" s="4288"/>
    </row>
    <row r="7565" spans="15:15">
      <c r="O7565" s="4288"/>
    </row>
    <row r="7566" spans="15:15">
      <c r="O7566" s="4288"/>
    </row>
    <row r="7567" spans="15:15">
      <c r="O7567" s="4288"/>
    </row>
    <row r="7568" spans="15:15">
      <c r="O7568" s="4288"/>
    </row>
    <row r="7569" spans="15:15">
      <c r="O7569" s="4288"/>
    </row>
    <row r="7570" spans="15:15">
      <c r="O7570" s="4288"/>
    </row>
    <row r="7571" spans="15:15">
      <c r="O7571" s="4288"/>
    </row>
    <row r="7572" spans="15:15">
      <c r="O7572" s="4288"/>
    </row>
    <row r="7573" spans="15:15">
      <c r="O7573" s="4288"/>
    </row>
    <row r="7574" spans="15:15">
      <c r="O7574" s="4288"/>
    </row>
    <row r="7575" spans="15:15">
      <c r="O7575" s="4288"/>
    </row>
    <row r="7576" spans="15:15">
      <c r="O7576" s="4288"/>
    </row>
    <row r="7577" spans="15:15">
      <c r="O7577" s="4288"/>
    </row>
    <row r="7578" spans="15:15">
      <c r="O7578" s="4288"/>
    </row>
    <row r="7579" spans="15:15">
      <c r="O7579" s="4288"/>
    </row>
    <row r="7580" spans="15:15">
      <c r="O7580" s="4288"/>
    </row>
    <row r="7581" spans="15:15">
      <c r="O7581" s="4288"/>
    </row>
    <row r="7582" spans="15:15">
      <c r="O7582" s="4288"/>
    </row>
    <row r="7583" spans="15:15">
      <c r="O7583" s="4288"/>
    </row>
    <row r="7584" spans="15:15">
      <c r="O7584" s="4288"/>
    </row>
    <row r="7585" spans="15:15">
      <c r="O7585" s="4288"/>
    </row>
    <row r="7586" spans="15:15">
      <c r="O7586" s="4288"/>
    </row>
    <row r="7587" spans="15:15">
      <c r="O7587" s="4288"/>
    </row>
    <row r="7588" spans="15:15">
      <c r="O7588" s="4288"/>
    </row>
    <row r="7589" spans="15:15">
      <c r="O7589" s="4288"/>
    </row>
    <row r="7590" spans="15:15">
      <c r="O7590" s="4288"/>
    </row>
    <row r="7591" spans="15:15">
      <c r="O7591" s="4288"/>
    </row>
    <row r="7592" spans="15:15">
      <c r="O7592" s="4288"/>
    </row>
    <row r="7593" spans="15:15">
      <c r="O7593" s="4288"/>
    </row>
    <row r="7594" spans="15:15">
      <c r="O7594" s="4288"/>
    </row>
    <row r="7595" spans="15:15">
      <c r="O7595" s="4288"/>
    </row>
    <row r="7596" spans="15:15">
      <c r="O7596" s="4288"/>
    </row>
    <row r="7597" spans="15:15">
      <c r="O7597" s="4288"/>
    </row>
    <row r="7598" spans="15:15">
      <c r="O7598" s="4288"/>
    </row>
    <row r="7599" spans="15:15">
      <c r="O7599" s="4288"/>
    </row>
    <row r="7600" spans="15:15">
      <c r="O7600" s="4288"/>
    </row>
    <row r="7601" spans="15:15">
      <c r="O7601" s="4288"/>
    </row>
    <row r="7602" spans="15:15">
      <c r="O7602" s="4288"/>
    </row>
    <row r="7603" spans="15:15">
      <c r="O7603" s="4288"/>
    </row>
    <row r="7604" spans="15:15">
      <c r="O7604" s="4288"/>
    </row>
    <row r="7605" spans="15:15">
      <c r="O7605" s="4288"/>
    </row>
    <row r="7606" spans="15:15">
      <c r="O7606" s="4288"/>
    </row>
    <row r="7607" spans="15:15">
      <c r="O7607" s="4288"/>
    </row>
    <row r="7608" spans="15:15">
      <c r="O7608" s="4288"/>
    </row>
    <row r="7609" spans="15:15">
      <c r="O7609" s="4288"/>
    </row>
    <row r="7610" spans="15:15">
      <c r="O7610" s="4288"/>
    </row>
    <row r="7611" spans="15:15">
      <c r="O7611" s="4288"/>
    </row>
    <row r="7612" spans="15:15">
      <c r="O7612" s="4288"/>
    </row>
    <row r="7613" spans="15:15">
      <c r="O7613" s="4288"/>
    </row>
    <row r="7614" spans="15:15">
      <c r="O7614" s="4288"/>
    </row>
    <row r="7615" spans="15:15">
      <c r="O7615" s="4288"/>
    </row>
    <row r="7616" spans="15:15">
      <c r="O7616" s="4288"/>
    </row>
    <row r="7617" spans="15:15">
      <c r="O7617" s="4288"/>
    </row>
    <row r="7618" spans="15:15">
      <c r="O7618" s="4288"/>
    </row>
    <row r="7619" spans="15:15">
      <c r="O7619" s="4288"/>
    </row>
    <row r="7620" spans="15:15">
      <c r="O7620" s="4288"/>
    </row>
    <row r="7621" spans="15:15">
      <c r="O7621" s="4288"/>
    </row>
    <row r="7622" spans="15:15">
      <c r="O7622" s="4288"/>
    </row>
    <row r="7623" spans="15:15">
      <c r="O7623" s="4288"/>
    </row>
    <row r="7624" spans="15:15">
      <c r="O7624" s="4288"/>
    </row>
    <row r="7625" spans="15:15">
      <c r="O7625" s="4288"/>
    </row>
    <row r="7626" spans="15:15">
      <c r="O7626" s="4288"/>
    </row>
    <row r="7627" spans="15:15">
      <c r="O7627" s="4288"/>
    </row>
    <row r="7628" spans="15:15">
      <c r="O7628" s="4288"/>
    </row>
    <row r="7629" spans="15:15">
      <c r="O7629" s="4288"/>
    </row>
    <row r="7630" spans="15:15">
      <c r="O7630" s="4288"/>
    </row>
    <row r="7631" spans="15:15">
      <c r="O7631" s="4288"/>
    </row>
    <row r="7632" spans="15:15">
      <c r="O7632" s="4288"/>
    </row>
    <row r="7633" spans="15:15">
      <c r="O7633" s="4288"/>
    </row>
    <row r="7634" spans="15:15">
      <c r="O7634" s="4288"/>
    </row>
    <row r="7635" spans="15:15">
      <c r="O7635" s="4288"/>
    </row>
    <row r="7636" spans="15:15">
      <c r="O7636" s="4288"/>
    </row>
    <row r="7637" spans="15:15">
      <c r="O7637" s="4288"/>
    </row>
    <row r="7638" spans="15:15">
      <c r="O7638" s="4288"/>
    </row>
    <row r="7639" spans="15:15">
      <c r="O7639" s="4288"/>
    </row>
    <row r="7640" spans="15:15">
      <c r="O7640" s="4288"/>
    </row>
    <row r="7641" spans="15:15">
      <c r="O7641" s="4288"/>
    </row>
    <row r="7642" spans="15:15">
      <c r="O7642" s="4288"/>
    </row>
    <row r="7643" spans="15:15">
      <c r="O7643" s="4288"/>
    </row>
    <row r="7644" spans="15:15">
      <c r="O7644" s="4288"/>
    </row>
    <row r="7645" spans="15:15">
      <c r="O7645" s="4288"/>
    </row>
    <row r="7646" spans="15:15">
      <c r="O7646" s="4288"/>
    </row>
    <row r="7647" spans="15:15">
      <c r="O7647" s="4288"/>
    </row>
    <row r="7648" spans="15:15">
      <c r="O7648" s="4288"/>
    </row>
    <row r="7649" spans="15:15">
      <c r="O7649" s="4288"/>
    </row>
    <row r="7650" spans="15:15">
      <c r="O7650" s="4288"/>
    </row>
    <row r="7651" spans="15:15">
      <c r="O7651" s="4288"/>
    </row>
    <row r="7652" spans="15:15">
      <c r="O7652" s="4288"/>
    </row>
    <row r="7653" spans="15:15">
      <c r="O7653" s="4288"/>
    </row>
    <row r="7654" spans="15:15">
      <c r="O7654" s="4288"/>
    </row>
    <row r="7655" spans="15:15">
      <c r="O7655" s="4288"/>
    </row>
    <row r="7656" spans="15:15">
      <c r="O7656" s="4288"/>
    </row>
    <row r="7657" spans="15:15">
      <c r="O7657" s="4288"/>
    </row>
    <row r="7658" spans="15:15">
      <c r="O7658" s="4288"/>
    </row>
    <row r="7659" spans="15:15">
      <c r="O7659" s="4288"/>
    </row>
    <row r="7660" spans="15:15">
      <c r="O7660" s="4288"/>
    </row>
    <row r="7661" spans="15:15">
      <c r="O7661" s="4288"/>
    </row>
    <row r="7662" spans="15:15">
      <c r="O7662" s="4288"/>
    </row>
    <row r="7663" spans="15:15">
      <c r="O7663" s="4288"/>
    </row>
    <row r="7664" spans="15:15">
      <c r="O7664" s="4288"/>
    </row>
    <row r="7665" spans="15:15">
      <c r="O7665" s="4288"/>
    </row>
    <row r="7666" spans="15:15">
      <c r="O7666" s="4288"/>
    </row>
    <row r="7667" spans="15:15">
      <c r="O7667" s="4288"/>
    </row>
    <row r="7668" spans="15:15">
      <c r="O7668" s="4288"/>
    </row>
    <row r="7669" spans="15:15">
      <c r="O7669" s="4288"/>
    </row>
    <row r="7670" spans="15:15">
      <c r="O7670" s="4288"/>
    </row>
    <row r="7671" spans="15:15">
      <c r="O7671" s="4288"/>
    </row>
    <row r="7672" spans="15:15">
      <c r="O7672" s="4288"/>
    </row>
    <row r="7673" spans="15:15">
      <c r="O7673" s="4288"/>
    </row>
    <row r="7674" spans="15:15">
      <c r="O7674" s="4288"/>
    </row>
    <row r="7675" spans="15:15">
      <c r="O7675" s="4288"/>
    </row>
    <row r="7676" spans="15:15">
      <c r="O7676" s="4288"/>
    </row>
    <row r="7677" spans="15:15">
      <c r="O7677" s="4288"/>
    </row>
    <row r="7678" spans="15:15">
      <c r="O7678" s="4288"/>
    </row>
    <row r="7679" spans="15:15">
      <c r="O7679" s="4288"/>
    </row>
    <row r="7680" spans="15:15">
      <c r="O7680" s="4288"/>
    </row>
    <row r="7681" spans="15:15">
      <c r="O7681" s="4288"/>
    </row>
    <row r="7682" spans="15:15">
      <c r="O7682" s="4288"/>
    </row>
    <row r="7683" spans="15:15">
      <c r="O7683" s="4288"/>
    </row>
    <row r="7684" spans="15:15">
      <c r="O7684" s="4288"/>
    </row>
    <row r="7685" spans="15:15">
      <c r="O7685" s="4288"/>
    </row>
    <row r="7686" spans="15:15">
      <c r="O7686" s="4288"/>
    </row>
    <row r="7687" spans="15:15">
      <c r="O7687" s="4288"/>
    </row>
    <row r="7688" spans="15:15">
      <c r="O7688" s="4288"/>
    </row>
    <row r="7689" spans="15:15">
      <c r="O7689" s="4288"/>
    </row>
    <row r="7690" spans="15:15">
      <c r="O7690" s="4288"/>
    </row>
    <row r="7691" spans="15:15">
      <c r="O7691" s="4288"/>
    </row>
    <row r="7692" spans="15:15">
      <c r="O7692" s="4288"/>
    </row>
    <row r="7693" spans="15:15">
      <c r="O7693" s="4288"/>
    </row>
    <row r="7694" spans="15:15">
      <c r="O7694" s="4288"/>
    </row>
    <row r="7695" spans="15:15">
      <c r="O7695" s="4288"/>
    </row>
    <row r="7696" spans="15:15">
      <c r="O7696" s="4288"/>
    </row>
    <row r="7697" spans="15:15">
      <c r="O7697" s="4288"/>
    </row>
    <row r="7698" spans="15:15">
      <c r="O7698" s="4288"/>
    </row>
    <row r="7699" spans="15:15">
      <c r="O7699" s="4288"/>
    </row>
    <row r="7700" spans="15:15">
      <c r="O7700" s="4288"/>
    </row>
    <row r="7701" spans="15:15">
      <c r="O7701" s="4288"/>
    </row>
    <row r="7702" spans="15:15">
      <c r="O7702" s="4288"/>
    </row>
    <row r="7703" spans="15:15">
      <c r="O7703" s="4288"/>
    </row>
    <row r="7704" spans="15:15">
      <c r="O7704" s="4288"/>
    </row>
    <row r="7705" spans="15:15">
      <c r="O7705" s="4288"/>
    </row>
    <row r="7706" spans="15:15">
      <c r="O7706" s="4288"/>
    </row>
    <row r="7707" spans="15:15">
      <c r="O7707" s="4288"/>
    </row>
    <row r="7708" spans="15:15">
      <c r="O7708" s="4288"/>
    </row>
    <row r="7709" spans="15:15">
      <c r="O7709" s="4288"/>
    </row>
    <row r="7710" spans="15:15">
      <c r="O7710" s="4288"/>
    </row>
    <row r="7711" spans="15:15">
      <c r="O7711" s="4288"/>
    </row>
    <row r="7712" spans="15:15">
      <c r="O7712" s="4288"/>
    </row>
    <row r="7713" spans="15:15">
      <c r="O7713" s="4288"/>
    </row>
    <row r="7714" spans="15:15">
      <c r="O7714" s="4288"/>
    </row>
    <row r="7715" spans="15:15">
      <c r="O7715" s="4288"/>
    </row>
    <row r="7716" spans="15:15">
      <c r="O7716" s="4288"/>
    </row>
    <row r="7717" spans="15:15">
      <c r="O7717" s="4288"/>
    </row>
    <row r="7718" spans="15:15">
      <c r="O7718" s="4288"/>
    </row>
    <row r="7719" spans="15:15">
      <c r="O7719" s="4288"/>
    </row>
    <row r="7720" spans="15:15">
      <c r="O7720" s="4288"/>
    </row>
    <row r="7721" spans="15:15">
      <c r="O7721" s="4288"/>
    </row>
    <row r="7722" spans="15:15">
      <c r="O7722" s="4288"/>
    </row>
    <row r="7723" spans="15:15">
      <c r="O7723" s="4288"/>
    </row>
    <row r="7724" spans="15:15">
      <c r="O7724" s="4288"/>
    </row>
    <row r="7725" spans="15:15">
      <c r="O7725" s="4288"/>
    </row>
    <row r="7726" spans="15:15">
      <c r="O7726" s="4288"/>
    </row>
    <row r="7727" spans="15:15">
      <c r="O7727" s="4288"/>
    </row>
    <row r="7728" spans="15:15">
      <c r="O7728" s="4288"/>
    </row>
    <row r="7729" spans="15:15">
      <c r="O7729" s="4288"/>
    </row>
    <row r="7730" spans="15:15">
      <c r="O7730" s="4288"/>
    </row>
    <row r="7731" spans="15:15">
      <c r="O7731" s="4288"/>
    </row>
    <row r="7732" spans="15:15">
      <c r="O7732" s="4288"/>
    </row>
    <row r="7733" spans="15:15">
      <c r="O7733" s="4288"/>
    </row>
    <row r="7734" spans="15:15">
      <c r="O7734" s="4288"/>
    </row>
    <row r="7735" spans="15:15">
      <c r="O7735" s="4288"/>
    </row>
    <row r="7736" spans="15:15">
      <c r="O7736" s="4288"/>
    </row>
    <row r="7737" spans="15:15">
      <c r="O7737" s="4288"/>
    </row>
    <row r="7738" spans="15:15">
      <c r="O7738" s="4288"/>
    </row>
    <row r="7739" spans="15:15">
      <c r="O7739" s="4288"/>
    </row>
    <row r="7740" spans="15:15">
      <c r="O7740" s="4288"/>
    </row>
    <row r="7741" spans="15:15">
      <c r="O7741" s="4288"/>
    </row>
    <row r="7742" spans="15:15">
      <c r="O7742" s="4288"/>
    </row>
    <row r="7743" spans="15:15">
      <c r="O7743" s="4288"/>
    </row>
    <row r="7744" spans="15:15">
      <c r="O7744" s="4288"/>
    </row>
    <row r="7745" spans="15:15">
      <c r="O7745" s="4288"/>
    </row>
    <row r="7746" spans="15:15">
      <c r="O7746" s="4288"/>
    </row>
    <row r="7747" spans="15:15">
      <c r="O7747" s="4288"/>
    </row>
    <row r="7748" spans="15:15">
      <c r="O7748" s="4288"/>
    </row>
    <row r="7749" spans="15:15">
      <c r="O7749" s="4288"/>
    </row>
    <row r="7750" spans="15:15">
      <c r="O7750" s="4288"/>
    </row>
    <row r="7751" spans="15:15">
      <c r="O7751" s="4288"/>
    </row>
    <row r="7752" spans="15:15">
      <c r="O7752" s="4288"/>
    </row>
    <row r="7753" spans="15:15">
      <c r="O7753" s="4288"/>
    </row>
    <row r="7754" spans="15:15">
      <c r="O7754" s="4288"/>
    </row>
    <row r="7755" spans="15:15">
      <c r="O7755" s="4288"/>
    </row>
    <row r="7756" spans="15:15">
      <c r="O7756" s="4288"/>
    </row>
    <row r="7757" spans="15:15">
      <c r="O7757" s="4288"/>
    </row>
    <row r="7758" spans="15:15">
      <c r="O7758" s="4288"/>
    </row>
    <row r="7759" spans="15:15">
      <c r="O7759" s="4288"/>
    </row>
    <row r="7760" spans="15:15">
      <c r="O7760" s="4288"/>
    </row>
    <row r="7761" spans="15:15">
      <c r="O7761" s="4288"/>
    </row>
    <row r="7762" spans="15:15">
      <c r="O7762" s="4288"/>
    </row>
    <row r="7763" spans="15:15">
      <c r="O7763" s="4288"/>
    </row>
    <row r="7764" spans="15:15">
      <c r="O7764" s="4288"/>
    </row>
    <row r="7765" spans="15:15">
      <c r="O7765" s="4288"/>
    </row>
    <row r="7766" spans="15:15">
      <c r="O7766" s="4288"/>
    </row>
    <row r="7767" spans="15:15">
      <c r="O7767" s="4288"/>
    </row>
    <row r="7768" spans="15:15">
      <c r="O7768" s="4288"/>
    </row>
    <row r="7769" spans="15:15">
      <c r="O7769" s="4288"/>
    </row>
    <row r="7770" spans="15:15">
      <c r="O7770" s="4288"/>
    </row>
    <row r="7771" spans="15:15">
      <c r="O7771" s="4288"/>
    </row>
    <row r="7772" spans="15:15">
      <c r="O7772" s="4288"/>
    </row>
    <row r="7773" spans="15:15">
      <c r="O7773" s="4288"/>
    </row>
    <row r="7774" spans="15:15">
      <c r="O7774" s="4288"/>
    </row>
    <row r="7775" spans="15:15">
      <c r="O7775" s="4288"/>
    </row>
    <row r="7776" spans="15:15">
      <c r="O7776" s="4288"/>
    </row>
    <row r="7777" spans="15:15">
      <c r="O7777" s="4288"/>
    </row>
    <row r="7778" spans="15:15">
      <c r="O7778" s="4288"/>
    </row>
    <row r="7779" spans="15:15">
      <c r="O7779" s="4288"/>
    </row>
    <row r="7780" spans="15:15">
      <c r="O7780" s="4288"/>
    </row>
    <row r="7781" spans="15:15">
      <c r="O7781" s="4288"/>
    </row>
    <row r="7782" spans="15:15">
      <c r="O7782" s="4288"/>
    </row>
    <row r="7783" spans="15:15">
      <c r="O7783" s="4288"/>
    </row>
    <row r="7784" spans="15:15">
      <c r="O7784" s="4288"/>
    </row>
    <row r="7785" spans="15:15">
      <c r="O7785" s="4288"/>
    </row>
    <row r="7786" spans="15:15">
      <c r="O7786" s="4288"/>
    </row>
    <row r="7787" spans="15:15">
      <c r="O7787" s="4288"/>
    </row>
    <row r="7788" spans="15:15">
      <c r="O7788" s="4288"/>
    </row>
    <row r="7789" spans="15:15">
      <c r="O7789" s="4288"/>
    </row>
    <row r="7790" spans="15:15">
      <c r="O7790" s="4288"/>
    </row>
    <row r="7791" spans="15:15">
      <c r="O7791" s="4288"/>
    </row>
    <row r="7792" spans="15:15">
      <c r="O7792" s="4288"/>
    </row>
    <row r="7793" spans="15:15">
      <c r="O7793" s="4288"/>
    </row>
    <row r="7794" spans="15:15">
      <c r="O7794" s="4288"/>
    </row>
    <row r="7795" spans="15:15">
      <c r="O7795" s="4288"/>
    </row>
    <row r="7796" spans="15:15">
      <c r="O7796" s="4288"/>
    </row>
    <row r="7797" spans="15:15">
      <c r="O7797" s="4288"/>
    </row>
    <row r="7798" spans="15:15">
      <c r="O7798" s="4288"/>
    </row>
    <row r="7799" spans="15:15">
      <c r="O7799" s="4288"/>
    </row>
    <row r="7800" spans="15:15">
      <c r="O7800" s="4288"/>
    </row>
    <row r="7801" spans="15:15">
      <c r="O7801" s="4288"/>
    </row>
    <row r="7802" spans="15:15">
      <c r="O7802" s="4288"/>
    </row>
    <row r="7803" spans="15:15">
      <c r="O7803" s="4288"/>
    </row>
    <row r="7804" spans="15:15">
      <c r="O7804" s="4288"/>
    </row>
    <row r="7805" spans="15:15">
      <c r="O7805" s="4288"/>
    </row>
    <row r="7806" spans="15:15">
      <c r="O7806" s="4288"/>
    </row>
    <row r="7807" spans="15:15">
      <c r="O7807" s="4288"/>
    </row>
    <row r="7808" spans="15:15">
      <c r="O7808" s="4288"/>
    </row>
    <row r="7809" spans="15:15">
      <c r="O7809" s="4288"/>
    </row>
    <row r="7810" spans="15:15">
      <c r="O7810" s="4288"/>
    </row>
    <row r="7811" spans="15:15">
      <c r="O7811" s="4288"/>
    </row>
    <row r="7812" spans="15:15">
      <c r="O7812" s="4288"/>
    </row>
    <row r="7813" spans="15:15">
      <c r="O7813" s="4288"/>
    </row>
    <row r="7814" spans="15:15">
      <c r="O7814" s="4288"/>
    </row>
    <row r="7815" spans="15:15">
      <c r="O7815" s="4288"/>
    </row>
    <row r="7816" spans="15:15">
      <c r="O7816" s="4288"/>
    </row>
    <row r="7817" spans="15:15">
      <c r="O7817" s="4288"/>
    </row>
    <row r="7818" spans="15:15">
      <c r="O7818" s="4288"/>
    </row>
    <row r="7819" spans="15:15">
      <c r="O7819" s="4288"/>
    </row>
    <row r="7820" spans="15:15">
      <c r="O7820" s="4288"/>
    </row>
    <row r="7821" spans="15:15">
      <c r="O7821" s="4288"/>
    </row>
    <row r="7822" spans="15:15">
      <c r="O7822" s="4288"/>
    </row>
    <row r="7823" spans="15:15">
      <c r="O7823" s="4288"/>
    </row>
    <row r="7824" spans="15:15">
      <c r="O7824" s="4288"/>
    </row>
    <row r="7825" spans="15:15">
      <c r="O7825" s="4288"/>
    </row>
    <row r="7826" spans="15:15">
      <c r="O7826" s="4288"/>
    </row>
    <row r="7827" spans="15:15">
      <c r="O7827" s="4288"/>
    </row>
    <row r="7828" spans="15:15">
      <c r="O7828" s="4288"/>
    </row>
    <row r="7829" spans="15:15">
      <c r="O7829" s="4288"/>
    </row>
    <row r="7830" spans="15:15">
      <c r="O7830" s="4288"/>
    </row>
    <row r="7831" spans="15:15">
      <c r="O7831" s="4288"/>
    </row>
    <row r="7832" spans="15:15">
      <c r="O7832" s="4288"/>
    </row>
    <row r="7833" spans="15:15">
      <c r="O7833" s="4288"/>
    </row>
    <row r="7834" spans="15:15">
      <c r="O7834" s="4288"/>
    </row>
    <row r="7835" spans="15:15">
      <c r="O7835" s="4288"/>
    </row>
    <row r="7836" spans="15:15">
      <c r="O7836" s="4288"/>
    </row>
    <row r="7837" spans="15:15">
      <c r="O7837" s="4288"/>
    </row>
    <row r="7838" spans="15:15">
      <c r="O7838" s="4288"/>
    </row>
    <row r="7839" spans="15:15">
      <c r="O7839" s="4288"/>
    </row>
    <row r="7840" spans="15:15">
      <c r="O7840" s="4288"/>
    </row>
    <row r="7841" spans="15:15">
      <c r="O7841" s="4288"/>
    </row>
    <row r="7842" spans="15:15">
      <c r="O7842" s="4288"/>
    </row>
    <row r="7843" spans="15:15">
      <c r="O7843" s="4288"/>
    </row>
    <row r="7844" spans="15:15">
      <c r="O7844" s="4288"/>
    </row>
    <row r="7845" spans="15:15">
      <c r="O7845" s="4288"/>
    </row>
    <row r="7846" spans="15:15">
      <c r="O7846" s="4288"/>
    </row>
    <row r="7847" spans="15:15">
      <c r="O7847" s="4288"/>
    </row>
    <row r="7848" spans="15:15">
      <c r="O7848" s="4288"/>
    </row>
    <row r="7849" spans="15:15">
      <c r="O7849" s="4288"/>
    </row>
    <row r="7850" spans="15:15">
      <c r="O7850" s="4288"/>
    </row>
    <row r="7851" spans="15:15">
      <c r="O7851" s="4288"/>
    </row>
    <row r="7852" spans="15:15">
      <c r="O7852" s="4288"/>
    </row>
    <row r="7853" spans="15:15">
      <c r="O7853" s="4288"/>
    </row>
    <row r="7854" spans="15:15">
      <c r="O7854" s="4288"/>
    </row>
    <row r="7855" spans="15:15">
      <c r="O7855" s="4288"/>
    </row>
    <row r="7856" spans="15:15">
      <c r="O7856" s="4288"/>
    </row>
    <row r="7857" spans="15:15">
      <c r="O7857" s="4288"/>
    </row>
    <row r="7858" spans="15:15">
      <c r="O7858" s="4288"/>
    </row>
    <row r="7859" spans="15:15">
      <c r="O7859" s="4288"/>
    </row>
    <row r="7860" spans="15:15">
      <c r="O7860" s="4288"/>
    </row>
    <row r="7861" spans="15:15">
      <c r="O7861" s="4288"/>
    </row>
    <row r="7862" spans="15:15">
      <c r="O7862" s="4288"/>
    </row>
    <row r="7863" spans="15:15">
      <c r="O7863" s="4288"/>
    </row>
    <row r="7864" spans="15:15">
      <c r="O7864" s="4288"/>
    </row>
    <row r="7865" spans="15:15">
      <c r="O7865" s="4288"/>
    </row>
    <row r="7866" spans="15:15">
      <c r="O7866" s="4288"/>
    </row>
    <row r="7867" spans="15:15">
      <c r="O7867" s="4288"/>
    </row>
    <row r="7868" spans="15:15">
      <c r="O7868" s="4288"/>
    </row>
    <row r="7869" spans="15:15">
      <c r="O7869" s="4288"/>
    </row>
    <row r="7870" spans="15:15">
      <c r="O7870" s="4288"/>
    </row>
    <row r="7871" spans="15:15">
      <c r="O7871" s="4288"/>
    </row>
    <row r="7872" spans="15:15">
      <c r="O7872" s="4288"/>
    </row>
    <row r="7873" spans="15:15">
      <c r="O7873" s="4288"/>
    </row>
    <row r="7874" spans="15:15">
      <c r="O7874" s="4288"/>
    </row>
    <row r="7875" spans="15:15">
      <c r="O7875" s="4288"/>
    </row>
    <row r="7876" spans="15:15">
      <c r="O7876" s="4288"/>
    </row>
    <row r="7877" spans="15:15">
      <c r="O7877" s="4288"/>
    </row>
    <row r="7878" spans="15:15">
      <c r="O7878" s="4288"/>
    </row>
    <row r="7879" spans="15:15">
      <c r="O7879" s="4288"/>
    </row>
    <row r="7880" spans="15:15">
      <c r="O7880" s="4288"/>
    </row>
    <row r="7881" spans="15:15">
      <c r="O7881" s="4288"/>
    </row>
    <row r="7882" spans="15:15">
      <c r="O7882" s="4288"/>
    </row>
    <row r="7883" spans="15:15">
      <c r="O7883" s="4288"/>
    </row>
    <row r="7884" spans="15:15">
      <c r="O7884" s="4288"/>
    </row>
    <row r="7885" spans="15:15">
      <c r="O7885" s="4288"/>
    </row>
    <row r="7886" spans="15:15">
      <c r="O7886" s="4288"/>
    </row>
    <row r="7887" spans="15:15">
      <c r="O7887" s="4288"/>
    </row>
    <row r="7888" spans="15:15">
      <c r="O7888" s="4288"/>
    </row>
    <row r="7889" spans="15:15">
      <c r="O7889" s="4288"/>
    </row>
    <row r="7890" spans="15:15">
      <c r="O7890" s="4288"/>
    </row>
    <row r="7891" spans="15:15">
      <c r="O7891" s="4288"/>
    </row>
    <row r="7892" spans="15:15">
      <c r="O7892" s="4288"/>
    </row>
    <row r="7893" spans="15:15">
      <c r="O7893" s="4288"/>
    </row>
    <row r="7894" spans="15:15">
      <c r="O7894" s="4288"/>
    </row>
    <row r="7895" spans="15:15">
      <c r="O7895" s="4288"/>
    </row>
    <row r="7896" spans="15:15">
      <c r="O7896" s="4288"/>
    </row>
    <row r="7897" spans="15:15">
      <c r="O7897" s="4288"/>
    </row>
    <row r="7898" spans="15:15">
      <c r="O7898" s="4288"/>
    </row>
    <row r="7899" spans="15:15">
      <c r="O7899" s="4288"/>
    </row>
    <row r="7900" spans="15:15">
      <c r="O7900" s="4288"/>
    </row>
    <row r="7901" spans="15:15">
      <c r="O7901" s="4288"/>
    </row>
    <row r="7902" spans="15:15">
      <c r="O7902" s="4288"/>
    </row>
    <row r="7903" spans="15:15">
      <c r="O7903" s="4288"/>
    </row>
    <row r="7904" spans="15:15">
      <c r="O7904" s="4288"/>
    </row>
    <row r="7905" spans="15:15">
      <c r="O7905" s="4288"/>
    </row>
    <row r="7906" spans="15:15">
      <c r="O7906" s="4288"/>
    </row>
    <row r="7907" spans="15:15">
      <c r="O7907" s="4288"/>
    </row>
    <row r="7908" spans="15:15">
      <c r="O7908" s="4288"/>
    </row>
    <row r="7909" spans="15:15">
      <c r="O7909" s="4288"/>
    </row>
    <row r="7910" spans="15:15">
      <c r="O7910" s="4288"/>
    </row>
    <row r="7911" spans="15:15">
      <c r="O7911" s="4288"/>
    </row>
    <row r="7912" spans="15:15">
      <c r="O7912" s="4288"/>
    </row>
    <row r="7913" spans="15:15">
      <c r="O7913" s="4288"/>
    </row>
    <row r="7914" spans="15:15">
      <c r="O7914" s="4288"/>
    </row>
    <row r="7915" spans="15:15">
      <c r="O7915" s="4288"/>
    </row>
    <row r="7916" spans="15:15">
      <c r="O7916" s="4288"/>
    </row>
    <row r="7917" spans="15:15">
      <c r="O7917" s="4288"/>
    </row>
    <row r="7918" spans="15:15">
      <c r="O7918" s="4288"/>
    </row>
    <row r="7919" spans="15:15">
      <c r="O7919" s="4288"/>
    </row>
    <row r="7920" spans="15:15">
      <c r="O7920" s="4288"/>
    </row>
    <row r="7921" spans="15:15">
      <c r="O7921" s="4288"/>
    </row>
    <row r="7922" spans="15:15">
      <c r="O7922" s="4288"/>
    </row>
    <row r="7923" spans="15:15">
      <c r="O7923" s="4288"/>
    </row>
    <row r="7924" spans="15:15">
      <c r="O7924" s="4288"/>
    </row>
    <row r="7925" spans="15:15">
      <c r="O7925" s="4288"/>
    </row>
    <row r="7926" spans="15:15">
      <c r="O7926" s="4288"/>
    </row>
    <row r="7927" spans="15:15">
      <c r="O7927" s="4288"/>
    </row>
    <row r="7928" spans="15:15">
      <c r="O7928" s="4288"/>
    </row>
    <row r="7929" spans="15:15">
      <c r="O7929" s="4288"/>
    </row>
    <row r="7930" spans="15:15">
      <c r="O7930" s="4288"/>
    </row>
    <row r="7931" spans="15:15">
      <c r="O7931" s="4288"/>
    </row>
    <row r="7932" spans="15:15">
      <c r="O7932" s="4288"/>
    </row>
    <row r="7933" spans="15:15">
      <c r="O7933" s="4288"/>
    </row>
    <row r="7934" spans="15:15">
      <c r="O7934" s="4288"/>
    </row>
    <row r="7935" spans="15:15">
      <c r="O7935" s="4288"/>
    </row>
    <row r="7936" spans="15:15">
      <c r="O7936" s="4288"/>
    </row>
    <row r="7937" spans="15:15">
      <c r="O7937" s="4288"/>
    </row>
    <row r="7938" spans="15:15">
      <c r="O7938" s="4288"/>
    </row>
    <row r="7939" spans="15:15">
      <c r="O7939" s="4288"/>
    </row>
    <row r="7940" spans="15:15">
      <c r="O7940" s="4288"/>
    </row>
    <row r="7941" spans="15:15">
      <c r="O7941" s="4288"/>
    </row>
    <row r="7942" spans="15:15">
      <c r="O7942" s="4288"/>
    </row>
    <row r="7943" spans="15:15">
      <c r="O7943" s="4288"/>
    </row>
    <row r="7944" spans="15:15">
      <c r="O7944" s="4288"/>
    </row>
    <row r="7945" spans="15:15">
      <c r="O7945" s="4288"/>
    </row>
    <row r="7946" spans="15:15">
      <c r="O7946" s="4288"/>
    </row>
    <row r="7947" spans="15:15">
      <c r="O7947" s="4288"/>
    </row>
    <row r="7948" spans="15:15">
      <c r="O7948" s="4288"/>
    </row>
    <row r="7949" spans="15:15">
      <c r="O7949" s="4288"/>
    </row>
    <row r="7950" spans="15:15">
      <c r="O7950" s="4288"/>
    </row>
    <row r="7951" spans="15:15">
      <c r="O7951" s="4288"/>
    </row>
    <row r="7952" spans="15:15">
      <c r="O7952" s="4288"/>
    </row>
    <row r="7953" spans="15:15">
      <c r="O7953" s="4288"/>
    </row>
    <row r="7954" spans="15:15">
      <c r="O7954" s="4288"/>
    </row>
    <row r="7955" spans="15:15">
      <c r="O7955" s="4288"/>
    </row>
    <row r="7956" spans="15:15">
      <c r="O7956" s="4288"/>
    </row>
    <row r="7957" spans="15:15">
      <c r="O7957" s="4288"/>
    </row>
    <row r="7958" spans="15:15">
      <c r="O7958" s="4288"/>
    </row>
    <row r="7959" spans="15:15">
      <c r="O7959" s="4288"/>
    </row>
    <row r="7960" spans="15:15">
      <c r="O7960" s="4288"/>
    </row>
    <row r="7961" spans="15:15">
      <c r="O7961" s="4288"/>
    </row>
    <row r="7962" spans="15:15">
      <c r="O7962" s="4288"/>
    </row>
    <row r="7963" spans="15:15">
      <c r="O7963" s="4288"/>
    </row>
    <row r="7964" spans="15:15">
      <c r="O7964" s="4288"/>
    </row>
    <row r="7965" spans="15:15">
      <c r="O7965" s="4288"/>
    </row>
    <row r="7966" spans="15:15">
      <c r="O7966" s="4288"/>
    </row>
    <row r="7967" spans="15:15">
      <c r="O7967" s="4288"/>
    </row>
    <row r="7968" spans="15:15">
      <c r="O7968" s="4288"/>
    </row>
    <row r="7969" spans="15:15">
      <c r="O7969" s="4288"/>
    </row>
    <row r="7970" spans="15:15">
      <c r="O7970" s="4288"/>
    </row>
    <row r="7971" spans="15:15">
      <c r="O7971" s="4288"/>
    </row>
    <row r="7972" spans="15:15">
      <c r="O7972" s="4288"/>
    </row>
    <row r="7973" spans="15:15">
      <c r="O7973" s="4288"/>
    </row>
    <row r="7974" spans="15:15">
      <c r="O7974" s="4288"/>
    </row>
    <row r="7975" spans="15:15">
      <c r="O7975" s="4288"/>
    </row>
    <row r="7976" spans="15:15">
      <c r="O7976" s="4288"/>
    </row>
    <row r="7977" spans="15:15">
      <c r="O7977" s="4288"/>
    </row>
    <row r="7978" spans="15:15">
      <c r="O7978" s="4288"/>
    </row>
    <row r="7979" spans="15:15">
      <c r="O7979" s="4288"/>
    </row>
    <row r="7980" spans="15:15">
      <c r="O7980" s="4288"/>
    </row>
    <row r="7981" spans="15:15">
      <c r="O7981" s="4288"/>
    </row>
    <row r="7982" spans="15:15">
      <c r="O7982" s="4288"/>
    </row>
    <row r="7983" spans="15:15">
      <c r="O7983" s="4288"/>
    </row>
    <row r="7984" spans="15:15">
      <c r="O7984" s="4288"/>
    </row>
    <row r="7985" spans="15:15">
      <c r="O7985" s="4288"/>
    </row>
    <row r="7986" spans="15:15">
      <c r="O7986" s="4288"/>
    </row>
    <row r="7987" spans="15:15">
      <c r="O7987" s="4288"/>
    </row>
    <row r="7988" spans="15:15">
      <c r="O7988" s="4288"/>
    </row>
    <row r="7989" spans="15:15">
      <c r="O7989" s="4288"/>
    </row>
    <row r="7990" spans="15:15">
      <c r="O7990" s="4288"/>
    </row>
    <row r="7991" spans="15:15">
      <c r="O7991" s="4288"/>
    </row>
    <row r="7992" spans="15:15">
      <c r="O7992" s="4288"/>
    </row>
    <row r="7993" spans="15:15">
      <c r="O7993" s="4288"/>
    </row>
    <row r="7994" spans="15:15">
      <c r="O7994" s="4288"/>
    </row>
    <row r="7995" spans="15:15">
      <c r="O7995" s="4288"/>
    </row>
    <row r="7996" spans="15:15">
      <c r="O7996" s="4288"/>
    </row>
    <row r="7997" spans="15:15">
      <c r="O7997" s="4288"/>
    </row>
    <row r="7998" spans="15:15">
      <c r="O7998" s="4288"/>
    </row>
    <row r="7999" spans="15:15">
      <c r="O7999" s="4288"/>
    </row>
    <row r="8000" spans="15:15">
      <c r="O8000" s="4288"/>
    </row>
    <row r="8001" spans="15:15">
      <c r="O8001" s="4288"/>
    </row>
    <row r="8002" spans="15:15">
      <c r="O8002" s="4288"/>
    </row>
    <row r="8003" spans="15:15">
      <c r="O8003" s="4288"/>
    </row>
    <row r="8004" spans="15:15">
      <c r="O8004" s="4288"/>
    </row>
    <row r="8005" spans="15:15">
      <c r="O8005" s="4288"/>
    </row>
    <row r="8006" spans="15:15">
      <c r="O8006" s="4288"/>
    </row>
    <row r="8007" spans="15:15">
      <c r="O8007" s="4288"/>
    </row>
    <row r="8008" spans="15:15">
      <c r="O8008" s="4288"/>
    </row>
    <row r="8009" spans="15:15">
      <c r="O8009" s="4288"/>
    </row>
    <row r="8010" spans="15:15">
      <c r="O8010" s="4288"/>
    </row>
    <row r="8011" spans="15:15">
      <c r="O8011" s="4288"/>
    </row>
    <row r="8012" spans="15:15">
      <c r="O8012" s="4288"/>
    </row>
    <row r="8013" spans="15:15">
      <c r="O8013" s="4288"/>
    </row>
    <row r="8014" spans="15:15">
      <c r="O8014" s="4288"/>
    </row>
    <row r="8015" spans="15:15">
      <c r="O8015" s="4288"/>
    </row>
    <row r="8016" spans="15:15">
      <c r="O8016" s="4288"/>
    </row>
    <row r="8017" spans="15:15">
      <c r="O8017" s="4288"/>
    </row>
    <row r="8018" spans="15:15">
      <c r="O8018" s="4288"/>
    </row>
    <row r="8019" spans="15:15">
      <c r="O8019" s="4288"/>
    </row>
    <row r="8020" spans="15:15">
      <c r="O8020" s="4288"/>
    </row>
    <row r="8021" spans="15:15">
      <c r="O8021" s="4288"/>
    </row>
    <row r="8022" spans="15:15">
      <c r="O8022" s="4288"/>
    </row>
    <row r="8023" spans="15:15">
      <c r="O8023" s="4288"/>
    </row>
    <row r="8024" spans="15:15">
      <c r="O8024" s="4288"/>
    </row>
    <row r="8025" spans="15:15">
      <c r="O8025" s="4288"/>
    </row>
    <row r="8026" spans="15:15">
      <c r="O8026" s="4288"/>
    </row>
    <row r="8027" spans="15:15">
      <c r="O8027" s="4288"/>
    </row>
    <row r="8028" spans="15:15">
      <c r="O8028" s="4288"/>
    </row>
    <row r="8029" spans="15:15">
      <c r="O8029" s="4288"/>
    </row>
    <row r="8030" spans="15:15">
      <c r="O8030" s="4288"/>
    </row>
    <row r="8031" spans="15:15">
      <c r="O8031" s="4288"/>
    </row>
    <row r="8032" spans="15:15">
      <c r="O8032" s="4288"/>
    </row>
    <row r="8033" spans="15:15">
      <c r="O8033" s="4288"/>
    </row>
    <row r="8034" spans="15:15">
      <c r="O8034" s="4288"/>
    </row>
    <row r="8035" spans="15:15">
      <c r="O8035" s="4288"/>
    </row>
    <row r="8036" spans="15:15">
      <c r="O8036" s="4288"/>
    </row>
    <row r="8037" spans="15:15">
      <c r="O8037" s="4288"/>
    </row>
    <row r="8038" spans="15:15">
      <c r="O8038" s="4288"/>
    </row>
    <row r="8039" spans="15:15">
      <c r="O8039" s="4288"/>
    </row>
    <row r="8040" spans="15:15">
      <c r="O8040" s="4288"/>
    </row>
    <row r="8041" spans="15:15">
      <c r="O8041" s="4288"/>
    </row>
    <row r="8042" spans="15:15">
      <c r="O8042" s="4288"/>
    </row>
    <row r="8043" spans="15:15">
      <c r="O8043" s="4288"/>
    </row>
    <row r="8044" spans="15:15">
      <c r="O8044" s="4288"/>
    </row>
    <row r="8045" spans="15:15">
      <c r="O8045" s="4288"/>
    </row>
    <row r="8046" spans="15:15">
      <c r="O8046" s="4288"/>
    </row>
    <row r="8047" spans="15:15">
      <c r="O8047" s="4288"/>
    </row>
    <row r="8048" spans="15:15">
      <c r="O8048" s="4288"/>
    </row>
    <row r="8049" spans="15:15">
      <c r="O8049" s="4288"/>
    </row>
    <row r="8050" spans="15:15">
      <c r="O8050" s="4288"/>
    </row>
    <row r="8051" spans="15:15">
      <c r="O8051" s="4288"/>
    </row>
    <row r="8052" spans="15:15">
      <c r="O8052" s="4288"/>
    </row>
    <row r="8053" spans="15:15">
      <c r="O8053" s="4288"/>
    </row>
    <row r="8054" spans="15:15">
      <c r="O8054" s="4288"/>
    </row>
    <row r="8055" spans="15:15">
      <c r="O8055" s="4288"/>
    </row>
    <row r="8056" spans="15:15">
      <c r="O8056" s="4288"/>
    </row>
    <row r="8057" spans="15:15">
      <c r="O8057" s="4288"/>
    </row>
    <row r="8058" spans="15:15">
      <c r="O8058" s="4288"/>
    </row>
    <row r="8059" spans="15:15">
      <c r="O8059" s="4288"/>
    </row>
    <row r="8060" spans="15:15">
      <c r="O8060" s="4288"/>
    </row>
    <row r="8061" spans="15:15">
      <c r="O8061" s="4288"/>
    </row>
    <row r="8062" spans="15:15">
      <c r="O8062" s="4288"/>
    </row>
    <row r="8063" spans="15:15">
      <c r="O8063" s="4288"/>
    </row>
    <row r="8064" spans="15:15">
      <c r="O8064" s="4288"/>
    </row>
    <row r="8065" spans="15:15">
      <c r="O8065" s="4288"/>
    </row>
    <row r="8066" spans="15:15">
      <c r="O8066" s="4288"/>
    </row>
    <row r="8067" spans="15:15">
      <c r="O8067" s="4288"/>
    </row>
    <row r="8068" spans="15:15">
      <c r="O8068" s="4288"/>
    </row>
    <row r="8069" spans="15:15">
      <c r="O8069" s="4288"/>
    </row>
    <row r="8070" spans="15:15">
      <c r="O8070" s="4288"/>
    </row>
    <row r="8071" spans="15:15">
      <c r="O8071" s="4288"/>
    </row>
    <row r="8072" spans="15:15">
      <c r="O8072" s="4288"/>
    </row>
    <row r="8073" spans="15:15">
      <c r="O8073" s="4288"/>
    </row>
    <row r="8074" spans="15:15">
      <c r="O8074" s="4288"/>
    </row>
    <row r="8075" spans="15:15">
      <c r="O8075" s="4288"/>
    </row>
    <row r="8076" spans="15:15">
      <c r="O8076" s="4288"/>
    </row>
    <row r="8077" spans="15:15">
      <c r="O8077" s="4288"/>
    </row>
    <row r="8078" spans="15:15">
      <c r="O8078" s="4288"/>
    </row>
    <row r="8079" spans="15:15">
      <c r="O8079" s="4288"/>
    </row>
    <row r="8080" spans="15:15">
      <c r="O8080" s="4288"/>
    </row>
    <row r="8081" spans="15:15">
      <c r="O8081" s="4288"/>
    </row>
    <row r="8082" spans="15:15">
      <c r="O8082" s="4288"/>
    </row>
    <row r="8083" spans="15:15">
      <c r="O8083" s="4288"/>
    </row>
    <row r="8084" spans="15:15">
      <c r="O8084" s="4288"/>
    </row>
    <row r="8085" spans="15:15">
      <c r="O8085" s="4288"/>
    </row>
    <row r="8086" spans="15:15">
      <c r="O8086" s="4288"/>
    </row>
    <row r="8087" spans="15:15">
      <c r="O8087" s="4288"/>
    </row>
    <row r="8088" spans="15:15">
      <c r="O8088" s="4288"/>
    </row>
    <row r="8089" spans="15:15">
      <c r="O8089" s="4288"/>
    </row>
    <row r="8090" spans="15:15">
      <c r="O8090" s="4288"/>
    </row>
    <row r="8091" spans="15:15">
      <c r="O8091" s="4288"/>
    </row>
    <row r="8092" spans="15:15">
      <c r="O8092" s="4288"/>
    </row>
    <row r="8093" spans="15:15">
      <c r="O8093" s="4288"/>
    </row>
    <row r="8094" spans="15:15">
      <c r="O8094" s="4288"/>
    </row>
    <row r="8095" spans="15:15">
      <c r="O8095" s="4288"/>
    </row>
    <row r="8096" spans="15:15">
      <c r="O8096" s="4288"/>
    </row>
    <row r="8097" spans="15:15">
      <c r="O8097" s="4288"/>
    </row>
    <row r="8098" spans="15:15">
      <c r="O8098" s="4288"/>
    </row>
    <row r="8099" spans="15:15">
      <c r="O8099" s="4288"/>
    </row>
    <row r="8100" spans="15:15">
      <c r="O8100" s="4288"/>
    </row>
    <row r="8101" spans="15:15">
      <c r="O8101" s="4288"/>
    </row>
    <row r="8102" spans="15:15">
      <c r="O8102" s="4288"/>
    </row>
    <row r="8103" spans="15:15">
      <c r="O8103" s="4288"/>
    </row>
    <row r="8104" spans="15:15">
      <c r="O8104" s="4288"/>
    </row>
    <row r="8105" spans="15:15">
      <c r="O8105" s="4288"/>
    </row>
    <row r="8106" spans="15:15">
      <c r="O8106" s="4288"/>
    </row>
    <row r="8107" spans="15:15">
      <c r="O8107" s="4288"/>
    </row>
    <row r="8108" spans="15:15">
      <c r="O8108" s="4288"/>
    </row>
    <row r="8109" spans="15:15">
      <c r="O8109" s="4288"/>
    </row>
    <row r="8110" spans="15:15">
      <c r="O8110" s="4288"/>
    </row>
    <row r="8111" spans="15:15">
      <c r="O8111" s="4288"/>
    </row>
    <row r="8112" spans="15:15">
      <c r="O8112" s="4288"/>
    </row>
    <row r="8113" spans="15:15">
      <c r="O8113" s="4288"/>
    </row>
    <row r="8114" spans="15:15">
      <c r="O8114" s="4288"/>
    </row>
    <row r="8115" spans="15:15">
      <c r="O8115" s="4288"/>
    </row>
    <row r="8116" spans="15:15">
      <c r="O8116" s="4288"/>
    </row>
    <row r="8117" spans="15:15">
      <c r="O8117" s="4288"/>
    </row>
    <row r="8118" spans="15:15">
      <c r="O8118" s="4288"/>
    </row>
    <row r="8119" spans="15:15">
      <c r="O8119" s="4288"/>
    </row>
    <row r="8120" spans="15:15">
      <c r="O8120" s="4288"/>
    </row>
    <row r="8121" spans="15:15">
      <c r="O8121" s="4288"/>
    </row>
    <row r="8122" spans="15:15">
      <c r="O8122" s="4288"/>
    </row>
    <row r="8123" spans="15:15">
      <c r="O8123" s="4288"/>
    </row>
    <row r="8124" spans="15:15">
      <c r="O8124" s="4288"/>
    </row>
    <row r="8125" spans="15:15">
      <c r="O8125" s="4288"/>
    </row>
    <row r="8126" spans="15:15">
      <c r="O8126" s="4288"/>
    </row>
    <row r="8127" spans="15:15">
      <c r="O8127" s="4288"/>
    </row>
    <row r="8128" spans="15:15">
      <c r="O8128" s="4288"/>
    </row>
    <row r="8129" spans="15:15">
      <c r="O8129" s="4288"/>
    </row>
    <row r="8130" spans="15:15">
      <c r="O8130" s="4288"/>
    </row>
    <row r="8131" spans="15:15">
      <c r="O8131" s="4288"/>
    </row>
    <row r="8132" spans="15:15">
      <c r="O8132" s="4288"/>
    </row>
    <row r="8133" spans="15:15">
      <c r="O8133" s="4288"/>
    </row>
    <row r="8134" spans="15:15">
      <c r="O8134" s="4288"/>
    </row>
    <row r="8135" spans="15:15">
      <c r="O8135" s="4288"/>
    </row>
    <row r="8136" spans="15:15">
      <c r="O8136" s="4288"/>
    </row>
    <row r="8137" spans="15:15">
      <c r="O8137" s="4288"/>
    </row>
    <row r="8138" spans="15:15">
      <c r="O8138" s="4288"/>
    </row>
    <row r="8139" spans="15:15">
      <c r="O8139" s="4288"/>
    </row>
    <row r="8140" spans="15:15">
      <c r="O8140" s="4288"/>
    </row>
    <row r="8141" spans="15:15">
      <c r="O8141" s="4288"/>
    </row>
    <row r="8142" spans="15:15">
      <c r="O8142" s="4288"/>
    </row>
    <row r="8143" spans="15:15">
      <c r="O8143" s="4288"/>
    </row>
    <row r="8144" spans="15:15">
      <c r="O8144" s="4288"/>
    </row>
    <row r="8145" spans="15:15">
      <c r="O8145" s="4288"/>
    </row>
    <row r="8146" spans="15:15">
      <c r="O8146" s="4288"/>
    </row>
    <row r="8147" spans="15:15">
      <c r="O8147" s="4288"/>
    </row>
    <row r="8148" spans="15:15">
      <c r="O8148" s="4288"/>
    </row>
    <row r="8149" spans="15:15">
      <c r="O8149" s="4288"/>
    </row>
    <row r="8150" spans="15:15">
      <c r="O8150" s="4288"/>
    </row>
    <row r="8151" spans="15:15">
      <c r="O8151" s="4288"/>
    </row>
    <row r="8152" spans="15:15">
      <c r="O8152" s="4288"/>
    </row>
    <row r="8153" spans="15:15">
      <c r="O8153" s="4288"/>
    </row>
    <row r="8154" spans="15:15">
      <c r="O8154" s="4288"/>
    </row>
    <row r="8155" spans="15:15">
      <c r="O8155" s="4288"/>
    </row>
    <row r="8156" spans="15:15">
      <c r="O8156" s="4288"/>
    </row>
    <row r="8157" spans="15:15">
      <c r="O8157" s="4288"/>
    </row>
    <row r="8158" spans="15:15">
      <c r="O8158" s="4288"/>
    </row>
    <row r="8159" spans="15:15">
      <c r="O8159" s="4288"/>
    </row>
    <row r="8160" spans="15:15">
      <c r="O8160" s="4288"/>
    </row>
    <row r="8161" spans="15:15">
      <c r="O8161" s="4288"/>
    </row>
    <row r="8162" spans="15:15">
      <c r="O8162" s="4288"/>
    </row>
    <row r="8163" spans="15:15">
      <c r="O8163" s="4288"/>
    </row>
    <row r="8164" spans="15:15">
      <c r="O8164" s="4288"/>
    </row>
    <row r="8165" spans="15:15">
      <c r="O8165" s="4288"/>
    </row>
    <row r="8166" spans="15:15">
      <c r="O8166" s="4288"/>
    </row>
    <row r="8167" spans="15:15">
      <c r="O8167" s="4288"/>
    </row>
    <row r="8168" spans="15:15">
      <c r="O8168" s="4288"/>
    </row>
    <row r="8169" spans="15:15">
      <c r="O8169" s="4288"/>
    </row>
    <row r="8170" spans="15:15">
      <c r="O8170" s="4288"/>
    </row>
    <row r="8171" spans="15:15">
      <c r="O8171" s="4288"/>
    </row>
    <row r="8172" spans="15:15">
      <c r="O8172" s="4288"/>
    </row>
    <row r="8173" spans="15:15">
      <c r="O8173" s="4288"/>
    </row>
    <row r="8174" spans="15:15">
      <c r="O8174" s="4288"/>
    </row>
    <row r="8175" spans="15:15">
      <c r="O8175" s="4288"/>
    </row>
    <row r="8176" spans="15:15">
      <c r="O8176" s="4288"/>
    </row>
    <row r="8177" spans="15:15">
      <c r="O8177" s="4288"/>
    </row>
    <row r="8178" spans="15:15">
      <c r="O8178" s="4288"/>
    </row>
    <row r="8179" spans="15:15">
      <c r="O8179" s="4288"/>
    </row>
    <row r="8180" spans="15:15">
      <c r="O8180" s="4288"/>
    </row>
    <row r="8181" spans="15:15">
      <c r="O8181" s="4288"/>
    </row>
    <row r="8182" spans="15:15">
      <c r="O8182" s="4288"/>
    </row>
    <row r="8183" spans="15:15">
      <c r="O8183" s="4288"/>
    </row>
    <row r="8184" spans="15:15">
      <c r="O8184" s="4288"/>
    </row>
    <row r="8185" spans="15:15">
      <c r="O8185" s="4288"/>
    </row>
    <row r="8186" spans="15:15">
      <c r="O8186" s="4288"/>
    </row>
    <row r="8187" spans="15:15">
      <c r="O8187" s="4288"/>
    </row>
    <row r="8188" spans="15:15">
      <c r="O8188" s="4288"/>
    </row>
    <row r="8189" spans="15:15">
      <c r="O8189" s="4288"/>
    </row>
    <row r="8190" spans="15:15">
      <c r="O8190" s="4288"/>
    </row>
    <row r="8191" spans="15:15">
      <c r="O8191" s="4288"/>
    </row>
    <row r="8192" spans="15:15">
      <c r="O8192" s="4288"/>
    </row>
    <row r="8193" spans="15:15">
      <c r="O8193" s="4288"/>
    </row>
    <row r="8194" spans="15:15">
      <c r="O8194" s="4288"/>
    </row>
    <row r="8195" spans="15:15">
      <c r="O8195" s="4288"/>
    </row>
    <row r="8196" spans="15:15">
      <c r="O8196" s="4288"/>
    </row>
    <row r="8197" spans="15:15">
      <c r="O8197" s="4288"/>
    </row>
    <row r="8198" spans="15:15">
      <c r="O8198" s="4288"/>
    </row>
    <row r="8199" spans="15:15">
      <c r="O8199" s="4288"/>
    </row>
    <row r="8200" spans="15:15">
      <c r="O8200" s="4288"/>
    </row>
    <row r="8201" spans="15:15">
      <c r="O8201" s="4288"/>
    </row>
    <row r="8202" spans="15:15">
      <c r="O8202" s="4288"/>
    </row>
    <row r="8203" spans="15:15">
      <c r="O8203" s="4288"/>
    </row>
    <row r="8204" spans="15:15">
      <c r="O8204" s="4288"/>
    </row>
    <row r="8205" spans="15:15">
      <c r="O8205" s="4288"/>
    </row>
    <row r="8206" spans="15:15">
      <c r="O8206" s="4288"/>
    </row>
    <row r="8207" spans="15:15">
      <c r="O8207" s="4288"/>
    </row>
    <row r="8208" spans="15:15">
      <c r="O8208" s="4288"/>
    </row>
    <row r="8209" spans="15:15">
      <c r="O8209" s="4288"/>
    </row>
    <row r="8210" spans="15:15">
      <c r="O8210" s="4288"/>
    </row>
    <row r="8211" spans="15:15">
      <c r="O8211" s="4288"/>
    </row>
    <row r="8212" spans="15:15">
      <c r="O8212" s="4288"/>
    </row>
    <row r="8213" spans="15:15">
      <c r="O8213" s="4288"/>
    </row>
    <row r="8214" spans="15:15">
      <c r="O8214" s="4288"/>
    </row>
    <row r="8215" spans="15:15">
      <c r="O8215" s="4288"/>
    </row>
    <row r="8216" spans="15:15">
      <c r="O8216" s="4288"/>
    </row>
    <row r="8217" spans="15:15">
      <c r="O8217" s="4288"/>
    </row>
    <row r="8218" spans="15:15">
      <c r="O8218" s="4288"/>
    </row>
    <row r="8219" spans="15:15">
      <c r="O8219" s="4288"/>
    </row>
    <row r="8220" spans="15:15">
      <c r="O8220" s="4288"/>
    </row>
    <row r="8221" spans="15:15">
      <c r="O8221" s="4288"/>
    </row>
    <row r="8222" spans="15:15">
      <c r="O8222" s="4288"/>
    </row>
    <row r="8223" spans="15:15">
      <c r="O8223" s="4288"/>
    </row>
    <row r="8224" spans="15:15">
      <c r="O8224" s="4288"/>
    </row>
    <row r="8225" spans="15:15">
      <c r="O8225" s="4288"/>
    </row>
    <row r="8226" spans="15:15">
      <c r="O8226" s="4288"/>
    </row>
    <row r="8227" spans="15:15">
      <c r="O8227" s="4288"/>
    </row>
    <row r="8228" spans="15:15">
      <c r="O8228" s="4288"/>
    </row>
    <row r="8229" spans="15:15">
      <c r="O8229" s="4288"/>
    </row>
    <row r="8230" spans="15:15">
      <c r="O8230" s="4288"/>
    </row>
    <row r="8231" spans="15:15">
      <c r="O8231" s="4288"/>
    </row>
    <row r="8232" spans="15:15">
      <c r="O8232" s="4288"/>
    </row>
    <row r="8233" spans="15:15">
      <c r="O8233" s="4288"/>
    </row>
    <row r="8234" spans="15:15">
      <c r="O8234" s="4288"/>
    </row>
    <row r="8235" spans="15:15">
      <c r="O8235" s="4288"/>
    </row>
    <row r="8236" spans="15:15">
      <c r="O8236" s="4288"/>
    </row>
    <row r="8237" spans="15:15">
      <c r="O8237" s="4288"/>
    </row>
    <row r="8238" spans="15:15">
      <c r="O8238" s="4288"/>
    </row>
    <row r="8239" spans="15:15">
      <c r="O8239" s="4288"/>
    </row>
    <row r="8240" spans="15:15">
      <c r="O8240" s="4288"/>
    </row>
    <row r="8241" spans="15:15">
      <c r="O8241" s="4288"/>
    </row>
    <row r="8242" spans="15:15">
      <c r="O8242" s="4288"/>
    </row>
    <row r="8243" spans="15:15">
      <c r="O8243" s="4288"/>
    </row>
    <row r="8244" spans="15:15">
      <c r="O8244" s="4288"/>
    </row>
    <row r="8245" spans="15:15">
      <c r="O8245" s="4288"/>
    </row>
    <row r="8246" spans="15:15">
      <c r="O8246" s="4288"/>
    </row>
    <row r="8247" spans="15:15">
      <c r="O8247" s="4288"/>
    </row>
    <row r="8248" spans="15:15">
      <c r="O8248" s="4288"/>
    </row>
    <row r="8249" spans="15:15">
      <c r="O8249" s="4288"/>
    </row>
    <row r="8250" spans="15:15">
      <c r="O8250" s="4288"/>
    </row>
    <row r="8251" spans="15:15">
      <c r="O8251" s="4288"/>
    </row>
    <row r="8252" spans="15:15">
      <c r="O8252" s="4288"/>
    </row>
    <row r="8253" spans="15:15">
      <c r="O8253" s="4288"/>
    </row>
    <row r="8254" spans="15:15">
      <c r="O8254" s="4288"/>
    </row>
    <row r="8255" spans="15:15">
      <c r="O8255" s="4288"/>
    </row>
    <row r="8256" spans="15:15">
      <c r="O8256" s="4288"/>
    </row>
    <row r="8257" spans="15:15">
      <c r="O8257" s="4288"/>
    </row>
    <row r="8258" spans="15:15">
      <c r="O8258" s="4288"/>
    </row>
    <row r="8259" spans="15:15">
      <c r="O8259" s="4288"/>
    </row>
    <row r="8260" spans="15:15">
      <c r="O8260" s="4288"/>
    </row>
    <row r="8261" spans="15:15">
      <c r="O8261" s="4288"/>
    </row>
    <row r="8262" spans="15:15">
      <c r="O8262" s="4288"/>
    </row>
    <row r="8263" spans="15:15">
      <c r="O8263" s="4288"/>
    </row>
    <row r="8264" spans="15:15">
      <c r="O8264" s="4288"/>
    </row>
    <row r="8265" spans="15:15">
      <c r="O8265" s="4288"/>
    </row>
    <row r="8266" spans="15:15">
      <c r="O8266" s="4288"/>
    </row>
    <row r="8267" spans="15:15">
      <c r="O8267" s="4288"/>
    </row>
    <row r="8268" spans="15:15">
      <c r="O8268" s="4288"/>
    </row>
    <row r="8269" spans="15:15">
      <c r="O8269" s="4288"/>
    </row>
    <row r="8270" spans="15:15">
      <c r="O8270" s="4288"/>
    </row>
    <row r="8271" spans="15:15">
      <c r="O8271" s="4288"/>
    </row>
    <row r="8272" spans="15:15">
      <c r="O8272" s="4288"/>
    </row>
    <row r="8273" spans="15:15">
      <c r="O8273" s="4288"/>
    </row>
    <row r="8274" spans="15:15">
      <c r="O8274" s="4288"/>
    </row>
    <row r="8275" spans="15:15">
      <c r="O8275" s="4288"/>
    </row>
    <row r="8276" spans="15:15">
      <c r="O8276" s="4288"/>
    </row>
    <row r="8277" spans="15:15">
      <c r="O8277" s="4288"/>
    </row>
    <row r="8278" spans="15:15">
      <c r="O8278" s="4288"/>
    </row>
    <row r="8279" spans="15:15">
      <c r="O8279" s="4288"/>
    </row>
    <row r="8280" spans="15:15">
      <c r="O8280" s="4288"/>
    </row>
    <row r="8281" spans="15:15">
      <c r="O8281" s="4288"/>
    </row>
    <row r="8282" spans="15:15">
      <c r="O8282" s="4288"/>
    </row>
    <row r="8283" spans="15:15">
      <c r="O8283" s="4288"/>
    </row>
    <row r="8284" spans="15:15">
      <c r="O8284" s="4288"/>
    </row>
    <row r="8285" spans="15:15">
      <c r="O8285" s="4288"/>
    </row>
    <row r="8286" spans="15:15">
      <c r="O8286" s="4288"/>
    </row>
    <row r="8287" spans="15:15">
      <c r="O8287" s="4288"/>
    </row>
    <row r="8288" spans="15:15">
      <c r="O8288" s="4288"/>
    </row>
    <row r="8289" spans="15:15">
      <c r="O8289" s="4288"/>
    </row>
    <row r="8290" spans="15:15">
      <c r="O8290" s="4288"/>
    </row>
    <row r="8291" spans="15:15">
      <c r="O8291" s="4288"/>
    </row>
    <row r="8292" spans="15:15">
      <c r="O8292" s="4288"/>
    </row>
    <row r="8293" spans="15:15">
      <c r="O8293" s="4288"/>
    </row>
    <row r="8294" spans="15:15">
      <c r="O8294" s="4288"/>
    </row>
    <row r="8295" spans="15:15">
      <c r="O8295" s="4288"/>
    </row>
    <row r="8296" spans="15:15">
      <c r="O8296" s="4288"/>
    </row>
    <row r="8297" spans="15:15">
      <c r="O8297" s="4288"/>
    </row>
    <row r="8298" spans="15:15">
      <c r="O8298" s="4288"/>
    </row>
    <row r="8299" spans="15:15">
      <c r="O8299" s="4288"/>
    </row>
    <row r="8300" spans="15:15">
      <c r="O8300" s="4288"/>
    </row>
    <row r="8301" spans="15:15">
      <c r="O8301" s="4288"/>
    </row>
    <row r="8302" spans="15:15">
      <c r="O8302" s="4288"/>
    </row>
    <row r="8303" spans="15:15">
      <c r="O8303" s="4288"/>
    </row>
    <row r="8304" spans="15:15">
      <c r="O8304" s="4288"/>
    </row>
    <row r="8305" spans="15:15">
      <c r="O8305" s="4288"/>
    </row>
    <row r="8306" spans="15:15">
      <c r="O8306" s="4288"/>
    </row>
    <row r="8307" spans="15:15">
      <c r="O8307" s="4288"/>
    </row>
    <row r="8308" spans="15:15">
      <c r="O8308" s="4288"/>
    </row>
    <row r="8309" spans="15:15">
      <c r="O8309" s="4288"/>
    </row>
    <row r="8310" spans="15:15">
      <c r="O8310" s="4288"/>
    </row>
    <row r="8311" spans="15:15">
      <c r="O8311" s="4288"/>
    </row>
    <row r="8312" spans="15:15">
      <c r="O8312" s="4288"/>
    </row>
    <row r="8313" spans="15:15">
      <c r="O8313" s="4288"/>
    </row>
    <row r="8314" spans="15:15">
      <c r="O8314" s="4288"/>
    </row>
    <row r="8315" spans="15:15">
      <c r="O8315" s="4288"/>
    </row>
    <row r="8316" spans="15:15">
      <c r="O8316" s="4288"/>
    </row>
    <row r="8317" spans="15:15">
      <c r="O8317" s="4288"/>
    </row>
    <row r="8318" spans="15:15">
      <c r="O8318" s="4288"/>
    </row>
    <row r="8319" spans="15:15">
      <c r="O8319" s="4288"/>
    </row>
    <row r="8320" spans="15:15">
      <c r="O8320" s="4288"/>
    </row>
    <row r="8321" spans="15:15">
      <c r="O8321" s="4288"/>
    </row>
    <row r="8322" spans="15:15">
      <c r="O8322" s="4288"/>
    </row>
    <row r="8323" spans="15:15">
      <c r="O8323" s="4288"/>
    </row>
    <row r="8324" spans="15:15">
      <c r="O8324" s="4288"/>
    </row>
    <row r="8325" spans="15:15">
      <c r="O8325" s="4288"/>
    </row>
    <row r="8326" spans="15:15">
      <c r="O8326" s="4288"/>
    </row>
    <row r="8327" spans="15:15">
      <c r="O8327" s="4288"/>
    </row>
    <row r="8328" spans="15:15">
      <c r="O8328" s="4288"/>
    </row>
    <row r="8329" spans="15:15">
      <c r="O8329" s="4288"/>
    </row>
    <row r="8330" spans="15:15">
      <c r="O8330" s="4288"/>
    </row>
    <row r="8331" spans="15:15">
      <c r="O8331" s="4288"/>
    </row>
    <row r="8332" spans="15:15">
      <c r="O8332" s="4288"/>
    </row>
    <row r="8333" spans="15:15">
      <c r="O8333" s="4288"/>
    </row>
    <row r="8334" spans="15:15">
      <c r="O8334" s="4288"/>
    </row>
    <row r="8335" spans="15:15">
      <c r="O8335" s="4288"/>
    </row>
    <row r="8336" spans="15:15">
      <c r="O8336" s="4288"/>
    </row>
    <row r="8337" spans="15:15">
      <c r="O8337" s="4288"/>
    </row>
    <row r="8338" spans="15:15">
      <c r="O8338" s="4288"/>
    </row>
    <row r="8339" spans="15:15">
      <c r="O8339" s="4288"/>
    </row>
    <row r="8340" spans="15:15">
      <c r="O8340" s="4288"/>
    </row>
    <row r="8341" spans="15:15">
      <c r="O8341" s="4288"/>
    </row>
    <row r="8342" spans="15:15">
      <c r="O8342" s="4288"/>
    </row>
    <row r="8343" spans="15:15">
      <c r="O8343" s="4288"/>
    </row>
    <row r="8344" spans="15:15">
      <c r="O8344" s="4288"/>
    </row>
    <row r="8345" spans="15:15">
      <c r="O8345" s="4288"/>
    </row>
    <row r="8346" spans="15:15">
      <c r="O8346" s="4288"/>
    </row>
    <row r="8347" spans="15:15">
      <c r="O8347" s="4288"/>
    </row>
    <row r="8348" spans="15:15">
      <c r="O8348" s="4288"/>
    </row>
    <row r="8349" spans="15:15">
      <c r="O8349" s="4288"/>
    </row>
    <row r="8350" spans="15:15">
      <c r="O8350" s="4288"/>
    </row>
    <row r="8351" spans="15:15">
      <c r="O8351" s="4288"/>
    </row>
    <row r="8352" spans="15:15">
      <c r="O8352" s="4288"/>
    </row>
    <row r="8353" spans="15:15">
      <c r="O8353" s="4288"/>
    </row>
    <row r="8354" spans="15:15">
      <c r="O8354" s="4288"/>
    </row>
    <row r="8355" spans="15:15">
      <c r="O8355" s="4288"/>
    </row>
    <row r="8356" spans="15:15">
      <c r="O8356" s="4288"/>
    </row>
    <row r="8357" spans="15:15">
      <c r="O8357" s="4288"/>
    </row>
    <row r="8358" spans="15:15">
      <c r="O8358" s="4288"/>
    </row>
    <row r="8359" spans="15:15">
      <c r="O8359" s="4288"/>
    </row>
    <row r="8360" spans="15:15">
      <c r="O8360" s="4288"/>
    </row>
    <row r="8361" spans="15:15">
      <c r="O8361" s="4288"/>
    </row>
    <row r="8362" spans="15:15">
      <c r="O8362" s="4288"/>
    </row>
    <row r="8363" spans="15:15">
      <c r="O8363" s="4288"/>
    </row>
    <row r="8364" spans="15:15">
      <c r="O8364" s="4288"/>
    </row>
    <row r="8365" spans="15:15">
      <c r="O8365" s="4288"/>
    </row>
    <row r="8366" spans="15:15">
      <c r="O8366" s="4288"/>
    </row>
    <row r="8367" spans="15:15">
      <c r="O8367" s="4288"/>
    </row>
    <row r="8368" spans="15:15">
      <c r="O8368" s="4288"/>
    </row>
    <row r="8369" spans="15:15">
      <c r="O8369" s="4288"/>
    </row>
    <row r="8370" spans="15:15">
      <c r="O8370" s="4288"/>
    </row>
    <row r="8371" spans="15:15">
      <c r="O8371" s="4288"/>
    </row>
    <row r="8372" spans="15:15">
      <c r="O8372" s="4288"/>
    </row>
    <row r="8373" spans="15:15">
      <c r="O8373" s="4288"/>
    </row>
    <row r="8374" spans="15:15">
      <c r="O8374" s="4288"/>
    </row>
    <row r="8375" spans="15:15">
      <c r="O8375" s="4288"/>
    </row>
    <row r="8376" spans="15:15">
      <c r="O8376" s="4288"/>
    </row>
    <row r="8377" spans="15:15">
      <c r="O8377" s="4288"/>
    </row>
    <row r="8378" spans="15:15">
      <c r="O8378" s="4288"/>
    </row>
    <row r="8379" spans="15:15">
      <c r="O8379" s="4288"/>
    </row>
    <row r="8380" spans="15:15">
      <c r="O8380" s="4288"/>
    </row>
    <row r="8381" spans="15:15">
      <c r="O8381" s="4288"/>
    </row>
    <row r="8382" spans="15:15">
      <c r="O8382" s="4288"/>
    </row>
    <row r="8383" spans="15:15">
      <c r="O8383" s="4288"/>
    </row>
    <row r="8384" spans="15:15">
      <c r="O8384" s="4288"/>
    </row>
    <row r="8385" spans="15:15">
      <c r="O8385" s="4288"/>
    </row>
    <row r="8386" spans="15:15">
      <c r="O8386" s="4288"/>
    </row>
    <row r="8387" spans="15:15">
      <c r="O8387" s="4288"/>
    </row>
    <row r="8388" spans="15:15">
      <c r="O8388" s="4288"/>
    </row>
    <row r="8389" spans="15:15">
      <c r="O8389" s="4288"/>
    </row>
    <row r="8390" spans="15:15">
      <c r="O8390" s="4288"/>
    </row>
    <row r="8391" spans="15:15">
      <c r="O8391" s="4288"/>
    </row>
    <row r="8392" spans="15:15">
      <c r="O8392" s="4288"/>
    </row>
    <row r="8393" spans="15:15">
      <c r="O8393" s="4288"/>
    </row>
    <row r="8394" spans="15:15">
      <c r="O8394" s="4288"/>
    </row>
    <row r="8395" spans="15:15">
      <c r="O8395" s="4288"/>
    </row>
    <row r="8396" spans="15:15">
      <c r="O8396" s="4288"/>
    </row>
    <row r="8397" spans="15:15">
      <c r="O8397" s="4288"/>
    </row>
    <row r="8398" spans="15:15">
      <c r="O8398" s="4288"/>
    </row>
    <row r="8399" spans="15:15">
      <c r="O8399" s="4288"/>
    </row>
    <row r="8400" spans="15:15">
      <c r="O8400" s="4288"/>
    </row>
    <row r="8401" spans="15:15">
      <c r="O8401" s="4288"/>
    </row>
    <row r="8402" spans="15:15">
      <c r="O8402" s="4288"/>
    </row>
    <row r="8403" spans="15:15">
      <c r="O8403" s="4288"/>
    </row>
    <row r="8404" spans="15:15">
      <c r="O8404" s="4288"/>
    </row>
    <row r="8405" spans="15:15">
      <c r="O8405" s="4288"/>
    </row>
    <row r="8406" spans="15:15">
      <c r="O8406" s="4288"/>
    </row>
    <row r="8407" spans="15:15">
      <c r="O8407" s="4288"/>
    </row>
    <row r="8408" spans="15:15">
      <c r="O8408" s="4288"/>
    </row>
    <row r="8409" spans="15:15">
      <c r="O8409" s="4288"/>
    </row>
    <row r="8410" spans="15:15">
      <c r="O8410" s="4288"/>
    </row>
    <row r="8411" spans="15:15">
      <c r="O8411" s="4288"/>
    </row>
    <row r="8412" spans="15:15">
      <c r="O8412" s="4288"/>
    </row>
    <row r="8413" spans="15:15">
      <c r="O8413" s="4288"/>
    </row>
    <row r="8414" spans="15:15">
      <c r="O8414" s="4288"/>
    </row>
    <row r="8415" spans="15:15">
      <c r="O8415" s="4288"/>
    </row>
    <row r="8416" spans="15:15">
      <c r="O8416" s="4288"/>
    </row>
    <row r="8417" spans="15:15">
      <c r="O8417" s="4288"/>
    </row>
    <row r="8418" spans="15:15">
      <c r="O8418" s="4288"/>
    </row>
    <row r="8419" spans="15:15">
      <c r="O8419" s="4288"/>
    </row>
    <row r="8420" spans="15:15">
      <c r="O8420" s="4288"/>
    </row>
    <row r="8421" spans="15:15">
      <c r="O8421" s="4288"/>
    </row>
    <row r="8422" spans="15:15">
      <c r="O8422" s="4288"/>
    </row>
    <row r="8423" spans="15:15">
      <c r="O8423" s="4288"/>
    </row>
    <row r="8424" spans="15:15">
      <c r="O8424" s="4288"/>
    </row>
    <row r="8425" spans="15:15">
      <c r="O8425" s="4288"/>
    </row>
    <row r="8426" spans="15:15">
      <c r="O8426" s="4288"/>
    </row>
    <row r="8427" spans="15:15">
      <c r="O8427" s="4288"/>
    </row>
    <row r="8428" spans="15:15">
      <c r="O8428" s="4288"/>
    </row>
    <row r="8429" spans="15:15">
      <c r="O8429" s="4288"/>
    </row>
    <row r="8430" spans="15:15">
      <c r="O8430" s="4288"/>
    </row>
    <row r="8431" spans="15:15">
      <c r="O8431" s="4288"/>
    </row>
    <row r="8432" spans="15:15">
      <c r="O8432" s="4288"/>
    </row>
    <row r="8433" spans="15:15">
      <c r="O8433" s="4288"/>
    </row>
    <row r="8434" spans="15:15">
      <c r="O8434" s="4288"/>
    </row>
    <row r="8435" spans="15:15">
      <c r="O8435" s="4288"/>
    </row>
    <row r="8436" spans="15:15">
      <c r="O8436" s="4288"/>
    </row>
    <row r="8437" spans="15:15">
      <c r="O8437" s="4288"/>
    </row>
    <row r="8438" spans="15:15">
      <c r="O8438" s="4288"/>
    </row>
    <row r="8439" spans="15:15">
      <c r="O8439" s="4288"/>
    </row>
    <row r="8440" spans="15:15">
      <c r="O8440" s="4288"/>
    </row>
    <row r="8441" spans="15:15">
      <c r="O8441" s="4288"/>
    </row>
    <row r="8442" spans="15:15">
      <c r="O8442" s="4288"/>
    </row>
    <row r="8443" spans="15:15">
      <c r="O8443" s="4288"/>
    </row>
    <row r="8444" spans="15:15">
      <c r="O8444" s="4288"/>
    </row>
    <row r="8445" spans="15:15">
      <c r="O8445" s="4288"/>
    </row>
    <row r="8446" spans="15:15">
      <c r="O8446" s="4288"/>
    </row>
    <row r="8447" spans="15:15">
      <c r="O8447" s="4288"/>
    </row>
    <row r="8448" spans="15:15">
      <c r="O8448" s="4288"/>
    </row>
    <row r="8449" spans="15:15">
      <c r="O8449" s="4288"/>
    </row>
    <row r="8450" spans="15:15">
      <c r="O8450" s="4288"/>
    </row>
    <row r="8451" spans="15:15">
      <c r="O8451" s="4288"/>
    </row>
    <row r="8452" spans="15:15">
      <c r="O8452" s="4288"/>
    </row>
    <row r="8453" spans="15:15">
      <c r="O8453" s="4288"/>
    </row>
    <row r="8454" spans="15:15">
      <c r="O8454" s="4288"/>
    </row>
    <row r="8455" spans="15:15">
      <c r="O8455" s="4288"/>
    </row>
    <row r="8456" spans="15:15">
      <c r="O8456" s="4288"/>
    </row>
    <row r="8457" spans="15:15">
      <c r="O8457" s="4288"/>
    </row>
    <row r="8458" spans="15:15">
      <c r="O8458" s="4288"/>
    </row>
    <row r="8459" spans="15:15">
      <c r="O8459" s="4288"/>
    </row>
    <row r="8460" spans="15:15">
      <c r="O8460" s="4288"/>
    </row>
    <row r="8461" spans="15:15">
      <c r="O8461" s="4288"/>
    </row>
    <row r="8462" spans="15:15">
      <c r="O8462" s="4288"/>
    </row>
    <row r="8463" spans="15:15">
      <c r="O8463" s="4288"/>
    </row>
    <row r="8464" spans="15:15">
      <c r="O8464" s="4288"/>
    </row>
    <row r="8465" spans="15:15">
      <c r="O8465" s="4288"/>
    </row>
    <row r="8466" spans="15:15">
      <c r="O8466" s="4288"/>
    </row>
    <row r="8467" spans="15:15">
      <c r="O8467" s="4288"/>
    </row>
    <row r="8468" spans="15:15">
      <c r="O8468" s="4288"/>
    </row>
    <row r="8469" spans="15:15">
      <c r="O8469" s="4288"/>
    </row>
    <row r="8470" spans="15:15">
      <c r="O8470" s="4288"/>
    </row>
    <row r="8471" spans="15:15">
      <c r="O8471" s="4288"/>
    </row>
    <row r="8472" spans="15:15">
      <c r="O8472" s="4288"/>
    </row>
    <row r="8473" spans="15:15">
      <c r="O8473" s="4288"/>
    </row>
    <row r="8474" spans="15:15">
      <c r="O8474" s="4288"/>
    </row>
    <row r="8475" spans="15:15">
      <c r="O8475" s="4288"/>
    </row>
    <row r="8476" spans="15:15">
      <c r="O8476" s="4288"/>
    </row>
    <row r="8477" spans="15:15">
      <c r="O8477" s="4288"/>
    </row>
    <row r="8478" spans="15:15">
      <c r="O8478" s="4288"/>
    </row>
    <row r="8479" spans="15:15">
      <c r="O8479" s="4288"/>
    </row>
    <row r="8480" spans="15:15">
      <c r="O8480" s="4288"/>
    </row>
    <row r="8481" spans="15:15">
      <c r="O8481" s="4288"/>
    </row>
    <row r="8482" spans="15:15">
      <c r="O8482" s="4288"/>
    </row>
    <row r="8483" spans="15:15">
      <c r="O8483" s="4288"/>
    </row>
    <row r="8484" spans="15:15">
      <c r="O8484" s="4288"/>
    </row>
    <row r="8485" spans="15:15">
      <c r="O8485" s="4288"/>
    </row>
    <row r="8486" spans="15:15">
      <c r="O8486" s="4288"/>
    </row>
    <row r="8487" spans="15:15">
      <c r="O8487" s="4288"/>
    </row>
    <row r="8488" spans="15:15">
      <c r="O8488" s="4288"/>
    </row>
    <row r="8489" spans="15:15">
      <c r="O8489" s="4288"/>
    </row>
    <row r="8490" spans="15:15">
      <c r="O8490" s="4288"/>
    </row>
    <row r="8491" spans="15:15">
      <c r="O8491" s="4288"/>
    </row>
    <row r="8492" spans="15:15">
      <c r="O8492" s="4288"/>
    </row>
    <row r="8493" spans="15:15">
      <c r="O8493" s="4288"/>
    </row>
    <row r="8494" spans="15:15">
      <c r="O8494" s="4288"/>
    </row>
    <row r="8495" spans="15:15">
      <c r="O8495" s="4288"/>
    </row>
    <row r="8496" spans="15:15">
      <c r="O8496" s="4288"/>
    </row>
    <row r="8497" spans="15:15">
      <c r="O8497" s="4288"/>
    </row>
    <row r="8498" spans="15:15">
      <c r="O8498" s="4288"/>
    </row>
    <row r="8499" spans="15:15">
      <c r="O8499" s="4288"/>
    </row>
    <row r="8500" spans="15:15">
      <c r="O8500" s="4288"/>
    </row>
    <row r="8501" spans="15:15">
      <c r="O8501" s="4288"/>
    </row>
    <row r="8502" spans="15:15">
      <c r="O8502" s="4288"/>
    </row>
    <row r="8503" spans="15:15">
      <c r="O8503" s="4288"/>
    </row>
    <row r="8504" spans="15:15">
      <c r="O8504" s="4288"/>
    </row>
    <row r="8505" spans="15:15">
      <c r="O8505" s="4288"/>
    </row>
    <row r="8506" spans="15:15">
      <c r="O8506" s="4288"/>
    </row>
    <row r="8507" spans="15:15">
      <c r="O8507" s="4288"/>
    </row>
    <row r="8508" spans="15:15">
      <c r="O8508" s="4288"/>
    </row>
    <row r="8509" spans="15:15">
      <c r="O8509" s="4288"/>
    </row>
    <row r="8510" spans="15:15">
      <c r="O8510" s="4288"/>
    </row>
    <row r="8511" spans="15:15">
      <c r="O8511" s="4288"/>
    </row>
    <row r="8512" spans="15:15">
      <c r="O8512" s="4288"/>
    </row>
    <row r="8513" spans="15:15">
      <c r="O8513" s="4288"/>
    </row>
    <row r="8514" spans="15:15">
      <c r="O8514" s="4288"/>
    </row>
    <row r="8515" spans="15:15">
      <c r="O8515" s="4288"/>
    </row>
    <row r="8516" spans="15:15">
      <c r="O8516" s="4288"/>
    </row>
    <row r="8517" spans="15:15">
      <c r="O8517" s="4288"/>
    </row>
    <row r="8518" spans="15:15">
      <c r="O8518" s="4288"/>
    </row>
    <row r="8519" spans="15:15">
      <c r="O8519" s="4288"/>
    </row>
    <row r="8520" spans="15:15">
      <c r="O8520" s="4288"/>
    </row>
    <row r="8521" spans="15:15">
      <c r="O8521" s="4288"/>
    </row>
    <row r="8522" spans="15:15">
      <c r="O8522" s="4288"/>
    </row>
    <row r="8523" spans="15:15">
      <c r="O8523" s="4288"/>
    </row>
    <row r="8524" spans="15:15">
      <c r="O8524" s="4288"/>
    </row>
    <row r="8525" spans="15:15">
      <c r="O8525" s="4288"/>
    </row>
    <row r="8526" spans="15:15">
      <c r="O8526" s="4288"/>
    </row>
    <row r="8527" spans="15:15">
      <c r="O8527" s="4288"/>
    </row>
    <row r="8528" spans="15:15">
      <c r="O8528" s="4288"/>
    </row>
    <row r="8529" spans="15:15">
      <c r="O8529" s="4288"/>
    </row>
    <row r="8530" spans="15:15">
      <c r="O8530" s="4288"/>
    </row>
    <row r="8531" spans="15:15">
      <c r="O8531" s="4288"/>
    </row>
    <row r="8532" spans="15:15">
      <c r="O8532" s="4288"/>
    </row>
    <row r="8533" spans="15:15">
      <c r="O8533" s="4288"/>
    </row>
    <row r="8534" spans="15:15">
      <c r="O8534" s="4288"/>
    </row>
    <row r="8535" spans="15:15">
      <c r="O8535" s="4288"/>
    </row>
    <row r="8536" spans="15:15">
      <c r="O8536" s="4288"/>
    </row>
    <row r="8537" spans="15:15">
      <c r="O8537" s="4288"/>
    </row>
    <row r="8538" spans="15:15">
      <c r="O8538" s="4288"/>
    </row>
    <row r="8539" spans="15:15">
      <c r="O8539" s="4288"/>
    </row>
    <row r="8540" spans="15:15">
      <c r="O8540" s="4288"/>
    </row>
    <row r="8541" spans="15:15">
      <c r="O8541" s="4288"/>
    </row>
    <row r="8542" spans="15:15">
      <c r="O8542" s="4288"/>
    </row>
    <row r="8543" spans="15:15">
      <c r="O8543" s="4288"/>
    </row>
    <row r="8544" spans="15:15">
      <c r="O8544" s="4288"/>
    </row>
    <row r="8545" spans="15:15">
      <c r="O8545" s="4288"/>
    </row>
    <row r="8546" spans="15:15">
      <c r="O8546" s="4288"/>
    </row>
    <row r="8547" spans="15:15">
      <c r="O8547" s="4288"/>
    </row>
    <row r="8548" spans="15:15">
      <c r="O8548" s="4288"/>
    </row>
    <row r="8549" spans="15:15">
      <c r="O8549" s="4288"/>
    </row>
    <row r="8550" spans="15:15">
      <c r="O8550" s="4288"/>
    </row>
    <row r="8551" spans="15:15">
      <c r="O8551" s="4288"/>
    </row>
    <row r="8552" spans="15:15">
      <c r="O8552" s="4288"/>
    </row>
    <row r="8553" spans="15:15">
      <c r="O8553" s="4288"/>
    </row>
    <row r="8554" spans="15:15">
      <c r="O8554" s="4288"/>
    </row>
    <row r="8555" spans="15:15">
      <c r="O8555" s="4288"/>
    </row>
    <row r="8556" spans="15:15">
      <c r="O8556" s="4288"/>
    </row>
    <row r="8557" spans="15:15">
      <c r="O8557" s="4288"/>
    </row>
    <row r="8558" spans="15:15">
      <c r="O8558" s="4288"/>
    </row>
    <row r="8559" spans="15:15">
      <c r="O8559" s="4288"/>
    </row>
    <row r="8560" spans="15:15">
      <c r="O8560" s="4288"/>
    </row>
    <row r="8561" spans="15:15">
      <c r="O8561" s="4288"/>
    </row>
    <row r="8562" spans="15:15">
      <c r="O8562" s="4288"/>
    </row>
    <row r="8563" spans="15:15">
      <c r="O8563" s="4288"/>
    </row>
    <row r="8564" spans="15:15">
      <c r="O8564" s="4288"/>
    </row>
    <row r="8565" spans="15:15">
      <c r="O8565" s="4288"/>
    </row>
    <row r="8566" spans="15:15">
      <c r="O8566" s="4288"/>
    </row>
    <row r="8567" spans="15:15">
      <c r="O8567" s="4288"/>
    </row>
    <row r="8568" spans="15:15">
      <c r="O8568" s="4288"/>
    </row>
    <row r="8569" spans="15:15">
      <c r="O8569" s="4288"/>
    </row>
    <row r="8570" spans="15:15">
      <c r="O8570" s="4288"/>
    </row>
    <row r="8571" spans="15:15">
      <c r="O8571" s="4288"/>
    </row>
    <row r="8572" spans="15:15">
      <c r="O8572" s="4288"/>
    </row>
    <row r="8573" spans="15:15">
      <c r="O8573" s="4288"/>
    </row>
    <row r="8574" spans="15:15">
      <c r="O8574" s="4288"/>
    </row>
    <row r="8575" spans="15:15">
      <c r="O8575" s="4288"/>
    </row>
    <row r="8576" spans="15:15">
      <c r="O8576" s="4288"/>
    </row>
    <row r="8577" spans="15:15">
      <c r="O8577" s="4288"/>
    </row>
    <row r="8578" spans="15:15">
      <c r="O8578" s="4288"/>
    </row>
    <row r="8579" spans="15:15">
      <c r="O8579" s="4288"/>
    </row>
    <row r="8580" spans="15:15">
      <c r="O8580" s="4288"/>
    </row>
    <row r="8581" spans="15:15">
      <c r="O8581" s="4288"/>
    </row>
    <row r="8582" spans="15:15">
      <c r="O8582" s="4288"/>
    </row>
    <row r="8583" spans="15:15">
      <c r="O8583" s="4288"/>
    </row>
    <row r="8584" spans="15:15">
      <c r="O8584" s="4288"/>
    </row>
    <row r="8585" spans="15:15">
      <c r="O8585" s="4288"/>
    </row>
    <row r="8586" spans="15:15">
      <c r="O8586" s="4288"/>
    </row>
    <row r="8587" spans="15:15">
      <c r="O8587" s="4288"/>
    </row>
    <row r="8588" spans="15:15">
      <c r="O8588" s="4288"/>
    </row>
    <row r="8589" spans="15:15">
      <c r="O8589" s="4288"/>
    </row>
    <row r="8590" spans="15:15">
      <c r="O8590" s="4288"/>
    </row>
    <row r="8591" spans="15:15">
      <c r="O8591" s="4288"/>
    </row>
    <row r="8592" spans="15:15">
      <c r="O8592" s="4288"/>
    </row>
    <row r="8593" spans="15:15">
      <c r="O8593" s="4288"/>
    </row>
    <row r="8594" spans="15:15">
      <c r="O8594" s="4288"/>
    </row>
    <row r="8595" spans="15:15">
      <c r="O8595" s="4288"/>
    </row>
    <row r="8596" spans="15:15">
      <c r="O8596" s="4288"/>
    </row>
    <row r="8597" spans="15:15">
      <c r="O8597" s="4288"/>
    </row>
    <row r="8598" spans="15:15">
      <c r="O8598" s="4288"/>
    </row>
    <row r="8599" spans="15:15">
      <c r="O8599" s="4288"/>
    </row>
    <row r="8600" spans="15:15">
      <c r="O8600" s="4288"/>
    </row>
    <row r="8601" spans="15:15">
      <c r="O8601" s="4288"/>
    </row>
    <row r="8602" spans="15:15">
      <c r="O8602" s="4288"/>
    </row>
    <row r="8603" spans="15:15">
      <c r="O8603" s="4288"/>
    </row>
    <row r="8604" spans="15:15">
      <c r="O8604" s="4288"/>
    </row>
    <row r="8605" spans="15:15">
      <c r="O8605" s="4288"/>
    </row>
    <row r="8606" spans="15:15">
      <c r="O8606" s="4288"/>
    </row>
    <row r="8607" spans="15:15">
      <c r="O8607" s="4288"/>
    </row>
    <row r="8608" spans="15:15">
      <c r="O8608" s="4288"/>
    </row>
    <row r="8609" spans="15:15">
      <c r="O8609" s="4288"/>
    </row>
    <row r="8610" spans="15:15">
      <c r="O8610" s="4288"/>
    </row>
    <row r="8611" spans="15:15">
      <c r="O8611" s="4288"/>
    </row>
    <row r="8612" spans="15:15">
      <c r="O8612" s="4288"/>
    </row>
    <row r="8613" spans="15:15">
      <c r="O8613" s="4288"/>
    </row>
    <row r="8614" spans="15:15">
      <c r="O8614" s="4288"/>
    </row>
    <row r="8615" spans="15:15">
      <c r="O8615" s="4288"/>
    </row>
    <row r="8616" spans="15:15">
      <c r="O8616" s="4288"/>
    </row>
    <row r="8617" spans="15:15">
      <c r="O8617" s="4288"/>
    </row>
    <row r="8618" spans="15:15">
      <c r="O8618" s="4288"/>
    </row>
    <row r="8619" spans="15:15">
      <c r="O8619" s="4288"/>
    </row>
    <row r="8620" spans="15:15">
      <c r="O8620" s="4288"/>
    </row>
    <row r="8621" spans="15:15">
      <c r="O8621" s="4288"/>
    </row>
    <row r="8622" spans="15:15">
      <c r="O8622" s="4288"/>
    </row>
    <row r="8623" spans="15:15">
      <c r="O8623" s="4288"/>
    </row>
    <row r="8624" spans="15:15">
      <c r="O8624" s="4288"/>
    </row>
    <row r="8625" spans="15:15">
      <c r="O8625" s="4288"/>
    </row>
    <row r="8626" spans="15:15">
      <c r="O8626" s="4288"/>
    </row>
    <row r="8627" spans="15:15">
      <c r="O8627" s="4288"/>
    </row>
    <row r="8628" spans="15:15">
      <c r="O8628" s="4288"/>
    </row>
    <row r="8629" spans="15:15">
      <c r="O8629" s="4288"/>
    </row>
    <row r="8630" spans="15:15">
      <c r="O8630" s="4288"/>
    </row>
    <row r="8631" spans="15:15">
      <c r="O8631" s="4288"/>
    </row>
    <row r="8632" spans="15:15">
      <c r="O8632" s="4288"/>
    </row>
    <row r="8633" spans="15:15">
      <c r="O8633" s="4288"/>
    </row>
    <row r="8634" spans="15:15">
      <c r="O8634" s="4288"/>
    </row>
    <row r="8635" spans="15:15">
      <c r="O8635" s="4288"/>
    </row>
    <row r="8636" spans="15:15">
      <c r="O8636" s="4288"/>
    </row>
    <row r="8637" spans="15:15">
      <c r="O8637" s="4288"/>
    </row>
    <row r="8638" spans="15:15">
      <c r="O8638" s="4288"/>
    </row>
    <row r="8639" spans="15:15">
      <c r="O8639" s="4288"/>
    </row>
    <row r="8640" spans="15:15">
      <c r="O8640" s="4288"/>
    </row>
    <row r="8641" spans="15:15">
      <c r="O8641" s="4288"/>
    </row>
    <row r="8642" spans="15:15">
      <c r="O8642" s="4288"/>
    </row>
    <row r="8643" spans="15:15">
      <c r="O8643" s="4288"/>
    </row>
    <row r="8644" spans="15:15">
      <c r="O8644" s="4288"/>
    </row>
    <row r="8645" spans="15:15">
      <c r="O8645" s="4288"/>
    </row>
    <row r="8646" spans="15:15">
      <c r="O8646" s="4288"/>
    </row>
    <row r="8647" spans="15:15">
      <c r="O8647" s="4288"/>
    </row>
    <row r="8648" spans="15:15">
      <c r="O8648" s="4288"/>
    </row>
    <row r="8649" spans="15:15">
      <c r="O8649" s="4288"/>
    </row>
    <row r="8650" spans="15:15">
      <c r="O8650" s="4288"/>
    </row>
    <row r="8651" spans="15:15">
      <c r="O8651" s="4288"/>
    </row>
    <row r="8652" spans="15:15">
      <c r="O8652" s="4288"/>
    </row>
    <row r="8653" spans="15:15">
      <c r="O8653" s="4288"/>
    </row>
    <row r="8654" spans="15:15">
      <c r="O8654" s="4288"/>
    </row>
    <row r="8655" spans="15:15">
      <c r="O8655" s="4288"/>
    </row>
    <row r="8656" spans="15:15">
      <c r="O8656" s="4288"/>
    </row>
    <row r="8657" spans="15:15">
      <c r="O8657" s="4288"/>
    </row>
    <row r="8658" spans="15:15">
      <c r="O8658" s="4288"/>
    </row>
    <row r="8659" spans="15:15">
      <c r="O8659" s="4288"/>
    </row>
    <row r="8660" spans="15:15">
      <c r="O8660" s="4288"/>
    </row>
    <row r="8661" spans="15:15">
      <c r="O8661" s="4288"/>
    </row>
    <row r="8662" spans="15:15">
      <c r="O8662" s="4288"/>
    </row>
    <row r="8663" spans="15:15">
      <c r="O8663" s="4288"/>
    </row>
    <row r="8664" spans="15:15">
      <c r="O8664" s="4288"/>
    </row>
    <row r="8665" spans="15:15">
      <c r="O8665" s="4288"/>
    </row>
    <row r="8666" spans="15:15">
      <c r="O8666" s="4288"/>
    </row>
    <row r="8667" spans="15:15">
      <c r="O8667" s="4288"/>
    </row>
    <row r="8668" spans="15:15">
      <c r="O8668" s="4288"/>
    </row>
    <row r="8669" spans="15:15">
      <c r="O8669" s="4288"/>
    </row>
    <row r="8670" spans="15:15">
      <c r="O8670" s="4288"/>
    </row>
    <row r="8671" spans="15:15">
      <c r="O8671" s="4288"/>
    </row>
    <row r="8672" spans="15:15">
      <c r="O8672" s="4288"/>
    </row>
    <row r="8673" spans="15:15">
      <c r="O8673" s="4288"/>
    </row>
    <row r="8674" spans="15:15">
      <c r="O8674" s="4288"/>
    </row>
    <row r="8675" spans="15:15">
      <c r="O8675" s="4288"/>
    </row>
    <row r="8676" spans="15:15">
      <c r="O8676" s="4288"/>
    </row>
    <row r="8677" spans="15:15">
      <c r="O8677" s="4288"/>
    </row>
    <row r="8678" spans="15:15">
      <c r="O8678" s="4288"/>
    </row>
    <row r="8679" spans="15:15">
      <c r="O8679" s="4288"/>
    </row>
    <row r="8680" spans="15:15">
      <c r="O8680" s="4288"/>
    </row>
    <row r="8681" spans="15:15">
      <c r="O8681" s="4288"/>
    </row>
    <row r="8682" spans="15:15">
      <c r="O8682" s="4288"/>
    </row>
    <row r="8683" spans="15:15">
      <c r="O8683" s="4288"/>
    </row>
    <row r="8684" spans="15:15">
      <c r="O8684" s="4288"/>
    </row>
    <row r="8685" spans="15:15">
      <c r="O8685" s="4288"/>
    </row>
    <row r="8686" spans="15:15">
      <c r="O8686" s="4288"/>
    </row>
    <row r="8687" spans="15:15">
      <c r="O8687" s="4288"/>
    </row>
    <row r="8688" spans="15:15">
      <c r="O8688" s="4288"/>
    </row>
    <row r="8689" spans="15:15">
      <c r="O8689" s="4288"/>
    </row>
    <row r="8690" spans="15:15">
      <c r="O8690" s="4288"/>
    </row>
    <row r="8691" spans="15:15">
      <c r="O8691" s="4288"/>
    </row>
    <row r="8692" spans="15:15">
      <c r="O8692" s="4288"/>
    </row>
    <row r="8693" spans="15:15">
      <c r="O8693" s="4288"/>
    </row>
    <row r="8694" spans="15:15">
      <c r="O8694" s="4288"/>
    </row>
    <row r="8695" spans="15:15">
      <c r="O8695" s="4288"/>
    </row>
    <row r="8696" spans="15:15">
      <c r="O8696" s="4288"/>
    </row>
    <row r="8697" spans="15:15">
      <c r="O8697" s="4288"/>
    </row>
    <row r="8698" spans="15:15">
      <c r="O8698" s="4288"/>
    </row>
    <row r="8699" spans="15:15">
      <c r="O8699" s="4288"/>
    </row>
    <row r="8700" spans="15:15">
      <c r="O8700" s="4288"/>
    </row>
    <row r="8701" spans="15:15">
      <c r="O8701" s="4288"/>
    </row>
    <row r="8702" spans="15:15">
      <c r="O8702" s="4288"/>
    </row>
    <row r="8703" spans="15:15">
      <c r="O8703" s="4288"/>
    </row>
    <row r="8704" spans="15:15">
      <c r="O8704" s="4288"/>
    </row>
    <row r="8705" spans="15:15">
      <c r="O8705" s="4288"/>
    </row>
    <row r="8706" spans="15:15">
      <c r="O8706" s="4288"/>
    </row>
    <row r="8707" spans="15:15">
      <c r="O8707" s="4288"/>
    </row>
    <row r="8708" spans="15:15">
      <c r="O8708" s="4288"/>
    </row>
    <row r="8709" spans="15:15">
      <c r="O8709" s="4288"/>
    </row>
    <row r="8710" spans="15:15">
      <c r="O8710" s="4288"/>
    </row>
    <row r="8711" spans="15:15">
      <c r="O8711" s="4288"/>
    </row>
    <row r="8712" spans="15:15">
      <c r="O8712" s="4288"/>
    </row>
    <row r="8713" spans="15:15">
      <c r="O8713" s="4288"/>
    </row>
    <row r="8714" spans="15:15">
      <c r="O8714" s="4288"/>
    </row>
    <row r="8715" spans="15:15">
      <c r="O8715" s="4288"/>
    </row>
    <row r="8716" spans="15:15">
      <c r="O8716" s="4288"/>
    </row>
    <row r="8717" spans="15:15">
      <c r="O8717" s="4288"/>
    </row>
    <row r="8718" spans="15:15">
      <c r="O8718" s="4288"/>
    </row>
    <row r="8719" spans="15:15">
      <c r="O8719" s="4288"/>
    </row>
    <row r="8720" spans="15:15">
      <c r="O8720" s="4288"/>
    </row>
    <row r="8721" spans="15:15">
      <c r="O8721" s="4288"/>
    </row>
    <row r="8722" spans="15:15">
      <c r="O8722" s="4288"/>
    </row>
    <row r="8723" spans="15:15">
      <c r="O8723" s="4288"/>
    </row>
    <row r="8724" spans="15:15">
      <c r="O8724" s="4288"/>
    </row>
    <row r="8725" spans="15:15">
      <c r="O8725" s="4288"/>
    </row>
    <row r="8726" spans="15:15">
      <c r="O8726" s="4288"/>
    </row>
    <row r="8727" spans="15:15">
      <c r="O8727" s="4288"/>
    </row>
    <row r="8728" spans="15:15">
      <c r="O8728" s="4288"/>
    </row>
    <row r="8729" spans="15:15">
      <c r="O8729" s="4288"/>
    </row>
    <row r="8730" spans="15:15">
      <c r="O8730" s="4288"/>
    </row>
    <row r="8731" spans="15:15">
      <c r="O8731" s="4288"/>
    </row>
    <row r="8732" spans="15:15">
      <c r="O8732" s="4288"/>
    </row>
    <row r="8733" spans="15:15">
      <c r="O8733" s="4288"/>
    </row>
    <row r="8734" spans="15:15">
      <c r="O8734" s="4288"/>
    </row>
    <row r="8735" spans="15:15">
      <c r="O8735" s="4288"/>
    </row>
    <row r="8736" spans="15:15">
      <c r="O8736" s="4288"/>
    </row>
    <row r="8737" spans="15:15">
      <c r="O8737" s="4288"/>
    </row>
    <row r="8738" spans="15:15">
      <c r="O8738" s="4288"/>
    </row>
    <row r="8739" spans="15:15">
      <c r="O8739" s="4288"/>
    </row>
    <row r="8740" spans="15:15">
      <c r="O8740" s="4288"/>
    </row>
    <row r="8741" spans="15:15">
      <c r="O8741" s="4288"/>
    </row>
    <row r="8742" spans="15:15">
      <c r="O8742" s="4288"/>
    </row>
    <row r="8743" spans="15:15">
      <c r="O8743" s="4288"/>
    </row>
    <row r="8744" spans="15:15">
      <c r="O8744" s="4288"/>
    </row>
    <row r="8745" spans="15:15">
      <c r="O8745" s="4288"/>
    </row>
    <row r="8746" spans="15:15">
      <c r="O8746" s="4288"/>
    </row>
    <row r="8747" spans="15:15">
      <c r="O8747" s="4288"/>
    </row>
    <row r="8748" spans="15:15">
      <c r="O8748" s="4288"/>
    </row>
    <row r="8749" spans="15:15">
      <c r="O8749" s="4288"/>
    </row>
    <row r="8750" spans="15:15">
      <c r="O8750" s="4288"/>
    </row>
    <row r="8751" spans="15:15">
      <c r="O8751" s="4288"/>
    </row>
    <row r="8752" spans="15:15">
      <c r="O8752" s="4288"/>
    </row>
    <row r="8753" spans="15:15">
      <c r="O8753" s="4288"/>
    </row>
    <row r="8754" spans="15:15">
      <c r="O8754" s="4288"/>
    </row>
    <row r="8755" spans="15:15">
      <c r="O8755" s="4288"/>
    </row>
    <row r="8756" spans="15:15">
      <c r="O8756" s="4288"/>
    </row>
    <row r="8757" spans="15:15">
      <c r="O8757" s="4288"/>
    </row>
    <row r="8758" spans="15:15">
      <c r="O8758" s="4288"/>
    </row>
    <row r="8759" spans="15:15">
      <c r="O8759" s="4288"/>
    </row>
    <row r="8760" spans="15:15">
      <c r="O8760" s="4288"/>
    </row>
    <row r="8761" spans="15:15">
      <c r="O8761" s="4288"/>
    </row>
    <row r="8762" spans="15:15">
      <c r="O8762" s="4288"/>
    </row>
    <row r="8763" spans="15:15">
      <c r="O8763" s="4288"/>
    </row>
    <row r="8764" spans="15:15">
      <c r="O8764" s="4288"/>
    </row>
    <row r="8765" spans="15:15">
      <c r="O8765" s="4288"/>
    </row>
    <row r="8766" spans="15:15">
      <c r="O8766" s="4288"/>
    </row>
    <row r="8767" spans="15:15">
      <c r="O8767" s="4288"/>
    </row>
    <row r="8768" spans="15:15">
      <c r="O8768" s="4288"/>
    </row>
    <row r="8769" spans="15:15">
      <c r="O8769" s="4288"/>
    </row>
    <row r="8770" spans="15:15">
      <c r="O8770" s="4288"/>
    </row>
    <row r="8771" spans="15:15">
      <c r="O8771" s="4288"/>
    </row>
    <row r="8772" spans="15:15">
      <c r="O8772" s="4288"/>
    </row>
    <row r="8773" spans="15:15">
      <c r="O8773" s="4288"/>
    </row>
    <row r="8774" spans="15:15">
      <c r="O8774" s="4288"/>
    </row>
    <row r="8775" spans="15:15">
      <c r="O8775" s="4288"/>
    </row>
    <row r="8776" spans="15:15">
      <c r="O8776" s="4288"/>
    </row>
    <row r="8777" spans="15:15">
      <c r="O8777" s="4288"/>
    </row>
    <row r="8778" spans="15:15">
      <c r="O8778" s="4288"/>
    </row>
    <row r="8779" spans="15:15">
      <c r="O8779" s="4288"/>
    </row>
    <row r="8780" spans="15:15">
      <c r="O8780" s="4288"/>
    </row>
    <row r="8781" spans="15:15">
      <c r="O8781" s="4288"/>
    </row>
    <row r="8782" spans="15:15">
      <c r="O8782" s="4288"/>
    </row>
    <row r="8783" spans="15:15">
      <c r="O8783" s="4288"/>
    </row>
    <row r="8784" spans="15:15">
      <c r="O8784" s="4288"/>
    </row>
    <row r="8785" spans="15:15">
      <c r="O8785" s="4288"/>
    </row>
    <row r="8786" spans="15:15">
      <c r="O8786" s="4288"/>
    </row>
    <row r="8787" spans="15:15">
      <c r="O8787" s="4288"/>
    </row>
    <row r="8788" spans="15:15">
      <c r="O8788" s="4288"/>
    </row>
    <row r="8789" spans="15:15">
      <c r="O8789" s="4288"/>
    </row>
    <row r="8790" spans="15:15">
      <c r="O8790" s="4288"/>
    </row>
    <row r="8791" spans="15:15">
      <c r="O8791" s="4288"/>
    </row>
    <row r="8792" spans="15:15">
      <c r="O8792" s="4288"/>
    </row>
    <row r="8793" spans="15:15">
      <c r="O8793" s="4288"/>
    </row>
    <row r="8794" spans="15:15">
      <c r="O8794" s="4288"/>
    </row>
    <row r="8795" spans="15:15">
      <c r="O8795" s="4288"/>
    </row>
    <row r="8796" spans="15:15">
      <c r="O8796" s="4288"/>
    </row>
    <row r="8797" spans="15:15">
      <c r="O8797" s="4288"/>
    </row>
    <row r="8798" spans="15:15">
      <c r="O8798" s="4288"/>
    </row>
    <row r="8799" spans="15:15">
      <c r="O8799" s="4288"/>
    </row>
    <row r="8800" spans="15:15">
      <c r="O8800" s="4288"/>
    </row>
    <row r="8801" spans="15:15">
      <c r="O8801" s="4288"/>
    </row>
    <row r="8802" spans="15:15">
      <c r="O8802" s="4288"/>
    </row>
    <row r="8803" spans="15:15">
      <c r="O8803" s="4288"/>
    </row>
    <row r="8804" spans="15:15">
      <c r="O8804" s="4288"/>
    </row>
    <row r="8805" spans="15:15">
      <c r="O8805" s="4288"/>
    </row>
    <row r="8806" spans="15:15">
      <c r="O8806" s="4288"/>
    </row>
    <row r="8807" spans="15:15">
      <c r="O8807" s="4288"/>
    </row>
    <row r="8808" spans="15:15">
      <c r="O8808" s="4288"/>
    </row>
    <row r="8809" spans="15:15">
      <c r="O8809" s="4288"/>
    </row>
    <row r="8810" spans="15:15">
      <c r="O8810" s="4288"/>
    </row>
    <row r="8811" spans="15:15">
      <c r="O8811" s="4288"/>
    </row>
    <row r="8812" spans="15:15">
      <c r="O8812" s="4288"/>
    </row>
    <row r="8813" spans="15:15">
      <c r="O8813" s="4288"/>
    </row>
    <row r="8814" spans="15:15">
      <c r="O8814" s="4288"/>
    </row>
    <row r="8815" spans="15:15">
      <c r="O8815" s="4288"/>
    </row>
    <row r="8816" spans="15:15">
      <c r="O8816" s="4288"/>
    </row>
    <row r="8817" spans="15:15">
      <c r="O8817" s="4288"/>
    </row>
    <row r="8818" spans="15:15">
      <c r="O8818" s="4288"/>
    </row>
    <row r="8819" spans="15:15">
      <c r="O8819" s="4288"/>
    </row>
    <row r="8820" spans="15:15">
      <c r="O8820" s="4288"/>
    </row>
    <row r="8821" spans="15:15">
      <c r="O8821" s="4288"/>
    </row>
    <row r="8822" spans="15:15">
      <c r="O8822" s="4288"/>
    </row>
    <row r="8823" spans="15:15">
      <c r="O8823" s="4288"/>
    </row>
    <row r="8824" spans="15:15">
      <c r="O8824" s="4288"/>
    </row>
    <row r="8825" spans="15:15">
      <c r="O8825" s="4288"/>
    </row>
    <row r="8826" spans="15:15">
      <c r="O8826" s="4288"/>
    </row>
    <row r="8827" spans="15:15">
      <c r="O8827" s="4288"/>
    </row>
    <row r="8828" spans="15:15">
      <c r="O8828" s="4288"/>
    </row>
    <row r="8829" spans="15:15">
      <c r="O8829" s="4288"/>
    </row>
    <row r="8830" spans="15:15">
      <c r="O8830" s="4288"/>
    </row>
    <row r="8831" spans="15:15">
      <c r="O8831" s="4288"/>
    </row>
    <row r="8832" spans="15:15">
      <c r="O8832" s="4288"/>
    </row>
    <row r="8833" spans="15:15">
      <c r="O8833" s="4288"/>
    </row>
    <row r="8834" spans="15:15">
      <c r="O8834" s="4288"/>
    </row>
    <row r="8835" spans="15:15">
      <c r="O8835" s="4288"/>
    </row>
    <row r="8836" spans="15:15">
      <c r="O8836" s="4288"/>
    </row>
    <row r="8837" spans="15:15">
      <c r="O8837" s="4288"/>
    </row>
    <row r="8838" spans="15:15">
      <c r="O8838" s="4288"/>
    </row>
    <row r="8839" spans="15:15">
      <c r="O8839" s="4288"/>
    </row>
    <row r="8840" spans="15:15">
      <c r="O8840" s="4288"/>
    </row>
    <row r="8841" spans="15:15">
      <c r="O8841" s="4288"/>
    </row>
    <row r="8842" spans="15:15">
      <c r="O8842" s="4288"/>
    </row>
    <row r="8843" spans="15:15">
      <c r="O8843" s="4288"/>
    </row>
    <row r="8844" spans="15:15">
      <c r="O8844" s="4288"/>
    </row>
    <row r="8845" spans="15:15">
      <c r="O8845" s="4288"/>
    </row>
    <row r="8846" spans="15:15">
      <c r="O8846" s="4288"/>
    </row>
    <row r="8847" spans="15:15">
      <c r="O8847" s="4288"/>
    </row>
    <row r="8848" spans="15:15">
      <c r="O8848" s="4288"/>
    </row>
    <row r="8849" spans="15:15">
      <c r="O8849" s="4288"/>
    </row>
    <row r="8850" spans="15:15">
      <c r="O8850" s="4288"/>
    </row>
    <row r="8851" spans="15:15">
      <c r="O8851" s="4288"/>
    </row>
    <row r="8852" spans="15:15">
      <c r="O8852" s="4288"/>
    </row>
    <row r="8853" spans="15:15">
      <c r="O8853" s="4288"/>
    </row>
    <row r="8854" spans="15:15">
      <c r="O8854" s="4288"/>
    </row>
    <row r="8855" spans="15:15">
      <c r="O8855" s="4288"/>
    </row>
    <row r="8856" spans="15:15">
      <c r="O8856" s="4288"/>
    </row>
    <row r="8857" spans="15:15">
      <c r="O8857" s="4288"/>
    </row>
    <row r="8858" spans="15:15">
      <c r="O8858" s="4288"/>
    </row>
    <row r="8859" spans="15:15">
      <c r="O8859" s="4288"/>
    </row>
    <row r="8860" spans="15:15">
      <c r="O8860" s="4288"/>
    </row>
    <row r="8861" spans="15:15">
      <c r="O8861" s="4288"/>
    </row>
    <row r="8862" spans="15:15">
      <c r="O8862" s="4288"/>
    </row>
    <row r="8863" spans="15:15">
      <c r="O8863" s="4288"/>
    </row>
    <row r="8864" spans="15:15">
      <c r="O8864" s="4288"/>
    </row>
    <row r="8865" spans="15:15">
      <c r="O8865" s="4288"/>
    </row>
    <row r="8866" spans="15:15">
      <c r="O8866" s="4288"/>
    </row>
    <row r="8867" spans="15:15">
      <c r="O8867" s="4288"/>
    </row>
    <row r="8868" spans="15:15">
      <c r="O8868" s="4288"/>
    </row>
    <row r="8869" spans="15:15">
      <c r="O8869" s="4288"/>
    </row>
    <row r="8870" spans="15:15">
      <c r="O8870" s="4288"/>
    </row>
    <row r="8871" spans="15:15">
      <c r="O8871" s="4288"/>
    </row>
    <row r="8872" spans="15:15">
      <c r="O8872" s="4288"/>
    </row>
    <row r="8873" spans="15:15">
      <c r="O8873" s="4288"/>
    </row>
    <row r="8874" spans="15:15">
      <c r="O8874" s="4288"/>
    </row>
    <row r="8875" spans="15:15">
      <c r="O8875" s="4288"/>
    </row>
    <row r="8876" spans="15:15">
      <c r="O8876" s="4288"/>
    </row>
    <row r="8877" spans="15:15">
      <c r="O8877" s="4288"/>
    </row>
    <row r="8878" spans="15:15">
      <c r="O8878" s="4288"/>
    </row>
    <row r="8879" spans="15:15">
      <c r="O8879" s="4288"/>
    </row>
    <row r="8880" spans="15:15">
      <c r="O8880" s="4288"/>
    </row>
    <row r="8881" spans="15:15">
      <c r="O8881" s="4288"/>
    </row>
    <row r="8882" spans="15:15">
      <c r="O8882" s="4288"/>
    </row>
    <row r="8883" spans="15:15">
      <c r="O8883" s="4288"/>
    </row>
    <row r="8884" spans="15:15">
      <c r="O8884" s="4288"/>
    </row>
    <row r="8885" spans="15:15">
      <c r="O8885" s="4288"/>
    </row>
    <row r="8886" spans="15:15">
      <c r="O8886" s="4288"/>
    </row>
    <row r="8887" spans="15:15">
      <c r="O8887" s="4288"/>
    </row>
    <row r="8888" spans="15:15">
      <c r="O8888" s="4288"/>
    </row>
    <row r="8889" spans="15:15">
      <c r="O8889" s="4288"/>
    </row>
    <row r="8890" spans="15:15">
      <c r="O8890" s="4288"/>
    </row>
    <row r="8891" spans="15:15">
      <c r="O8891" s="4288"/>
    </row>
    <row r="8892" spans="15:15">
      <c r="O8892" s="4288"/>
    </row>
    <row r="8893" spans="15:15">
      <c r="O8893" s="4288"/>
    </row>
    <row r="8894" spans="15:15">
      <c r="O8894" s="4288"/>
    </row>
    <row r="8895" spans="15:15">
      <c r="O8895" s="4288"/>
    </row>
    <row r="8896" spans="15:15">
      <c r="O8896" s="4288"/>
    </row>
    <row r="8897" spans="15:15">
      <c r="O8897" s="4288"/>
    </row>
    <row r="8898" spans="15:15">
      <c r="O8898" s="4288"/>
    </row>
    <row r="8899" spans="15:15">
      <c r="O8899" s="4288"/>
    </row>
    <row r="8900" spans="15:15">
      <c r="O8900" s="4288"/>
    </row>
    <row r="8901" spans="15:15">
      <c r="O8901" s="4288"/>
    </row>
    <row r="8902" spans="15:15">
      <c r="O8902" s="4288"/>
    </row>
    <row r="8903" spans="15:15">
      <c r="O8903" s="4288"/>
    </row>
    <row r="8904" spans="15:15">
      <c r="O8904" s="4288"/>
    </row>
    <row r="8905" spans="15:15">
      <c r="O8905" s="4288"/>
    </row>
    <row r="8906" spans="15:15">
      <c r="O8906" s="4288"/>
    </row>
    <row r="8907" spans="15:15">
      <c r="O8907" s="4288"/>
    </row>
    <row r="8908" spans="15:15">
      <c r="O8908" s="4288"/>
    </row>
    <row r="8909" spans="15:15">
      <c r="O8909" s="4288"/>
    </row>
    <row r="8910" spans="15:15">
      <c r="O8910" s="4288"/>
    </row>
    <row r="8911" spans="15:15">
      <c r="O8911" s="4288"/>
    </row>
    <row r="8912" spans="15:15">
      <c r="O8912" s="4288"/>
    </row>
    <row r="8913" spans="15:15">
      <c r="O8913" s="4288"/>
    </row>
    <row r="8914" spans="15:15">
      <c r="O8914" s="4288"/>
    </row>
    <row r="8915" spans="15:15">
      <c r="O8915" s="4288"/>
    </row>
    <row r="8916" spans="15:15">
      <c r="O8916" s="4288"/>
    </row>
    <row r="8917" spans="15:15">
      <c r="O8917" s="4288"/>
    </row>
    <row r="8918" spans="15:15">
      <c r="O8918" s="4288"/>
    </row>
    <row r="8919" spans="15:15">
      <c r="O8919" s="4288"/>
    </row>
    <row r="8920" spans="15:15">
      <c r="O8920" s="4288"/>
    </row>
    <row r="8921" spans="15:15">
      <c r="O8921" s="4288"/>
    </row>
    <row r="8922" spans="15:15">
      <c r="O8922" s="4288"/>
    </row>
    <row r="8923" spans="15:15">
      <c r="O8923" s="4288"/>
    </row>
    <row r="8924" spans="15:15">
      <c r="O8924" s="4288"/>
    </row>
    <row r="8925" spans="15:15">
      <c r="O8925" s="4288"/>
    </row>
    <row r="8926" spans="15:15">
      <c r="O8926" s="4288"/>
    </row>
    <row r="8927" spans="15:15">
      <c r="O8927" s="4288"/>
    </row>
    <row r="8928" spans="15:15">
      <c r="O8928" s="4288"/>
    </row>
    <row r="8929" spans="15:15">
      <c r="O8929" s="4288"/>
    </row>
    <row r="8930" spans="15:15">
      <c r="O8930" s="4288"/>
    </row>
    <row r="8931" spans="15:15">
      <c r="O8931" s="4288"/>
    </row>
    <row r="8932" spans="15:15">
      <c r="O8932" s="4288"/>
    </row>
    <row r="8933" spans="15:15">
      <c r="O8933" s="4288"/>
    </row>
    <row r="8934" spans="15:15">
      <c r="O8934" s="4288"/>
    </row>
    <row r="8935" spans="15:15">
      <c r="O8935" s="4288"/>
    </row>
    <row r="8936" spans="15:15">
      <c r="O8936" s="4288"/>
    </row>
    <row r="8937" spans="15:15">
      <c r="O8937" s="4288"/>
    </row>
    <row r="8938" spans="15:15">
      <c r="O8938" s="4288"/>
    </row>
    <row r="8939" spans="15:15">
      <c r="O8939" s="4288"/>
    </row>
    <row r="8940" spans="15:15">
      <c r="O8940" s="4288"/>
    </row>
    <row r="8941" spans="15:15">
      <c r="O8941" s="4288"/>
    </row>
    <row r="8942" spans="15:15">
      <c r="O8942" s="4288"/>
    </row>
    <row r="8943" spans="15:15">
      <c r="O8943" s="4288"/>
    </row>
    <row r="8944" spans="15:15">
      <c r="O8944" s="4288"/>
    </row>
    <row r="8945" spans="15:15">
      <c r="O8945" s="4288"/>
    </row>
    <row r="8946" spans="15:15">
      <c r="O8946" s="4288"/>
    </row>
    <row r="8947" spans="15:15">
      <c r="O8947" s="4288"/>
    </row>
    <row r="8948" spans="15:15">
      <c r="O8948" s="4288"/>
    </row>
    <row r="8949" spans="15:15">
      <c r="O8949" s="4288"/>
    </row>
    <row r="8950" spans="15:15">
      <c r="O8950" s="4288"/>
    </row>
    <row r="8951" spans="15:15">
      <c r="O8951" s="4288"/>
    </row>
    <row r="8952" spans="15:15">
      <c r="O8952" s="4288"/>
    </row>
    <row r="8953" spans="15:15">
      <c r="O8953" s="4288"/>
    </row>
    <row r="8954" spans="15:15">
      <c r="O8954" s="4288"/>
    </row>
    <row r="8955" spans="15:15">
      <c r="O8955" s="4288"/>
    </row>
    <row r="8956" spans="15:15">
      <c r="O8956" s="4288"/>
    </row>
    <row r="8957" spans="15:15">
      <c r="O8957" s="4288"/>
    </row>
    <row r="8958" spans="15:15">
      <c r="O8958" s="4288"/>
    </row>
    <row r="8959" spans="15:15">
      <c r="O8959" s="4288"/>
    </row>
    <row r="8960" spans="15:15">
      <c r="O8960" s="4288"/>
    </row>
    <row r="8961" spans="15:15">
      <c r="O8961" s="4288"/>
    </row>
    <row r="8962" spans="15:15">
      <c r="O8962" s="4288"/>
    </row>
    <row r="8963" spans="15:15">
      <c r="O8963" s="4288"/>
    </row>
    <row r="8964" spans="15:15">
      <c r="O8964" s="4288"/>
    </row>
    <row r="8965" spans="15:15">
      <c r="O8965" s="4288"/>
    </row>
    <row r="8966" spans="15:15">
      <c r="O8966" s="4288"/>
    </row>
    <row r="8967" spans="15:15">
      <c r="O8967" s="4288"/>
    </row>
    <row r="8968" spans="15:15">
      <c r="O8968" s="4288"/>
    </row>
    <row r="8969" spans="15:15">
      <c r="O8969" s="4288"/>
    </row>
    <row r="8970" spans="15:15">
      <c r="O8970" s="4288"/>
    </row>
    <row r="8971" spans="15:15">
      <c r="O8971" s="4288"/>
    </row>
    <row r="8972" spans="15:15">
      <c r="O8972" s="4288"/>
    </row>
    <row r="8973" spans="15:15">
      <c r="O8973" s="4288"/>
    </row>
    <row r="8974" spans="15:15">
      <c r="O8974" s="4288"/>
    </row>
    <row r="8975" spans="15:15">
      <c r="O8975" s="4288"/>
    </row>
    <row r="8976" spans="15:15">
      <c r="O8976" s="4288"/>
    </row>
    <row r="8977" spans="15:15">
      <c r="O8977" s="4288"/>
    </row>
    <row r="8978" spans="15:15">
      <c r="O8978" s="4288"/>
    </row>
    <row r="8979" spans="15:15">
      <c r="O8979" s="4288"/>
    </row>
    <row r="8980" spans="15:15">
      <c r="O8980" s="4288"/>
    </row>
    <row r="8981" spans="15:15">
      <c r="O8981" s="4288"/>
    </row>
    <row r="8982" spans="15:15">
      <c r="O8982" s="4288"/>
    </row>
    <row r="8983" spans="15:15">
      <c r="O8983" s="4288"/>
    </row>
    <row r="8984" spans="15:15">
      <c r="O8984" s="4288"/>
    </row>
    <row r="8985" spans="15:15">
      <c r="O8985" s="4288"/>
    </row>
    <row r="8986" spans="15:15">
      <c r="O8986" s="4288"/>
    </row>
    <row r="8987" spans="15:15">
      <c r="O8987" s="4288"/>
    </row>
    <row r="8988" spans="15:15">
      <c r="O8988" s="4288"/>
    </row>
    <row r="8989" spans="15:15">
      <c r="O8989" s="4288"/>
    </row>
    <row r="8990" spans="15:15">
      <c r="O8990" s="4288"/>
    </row>
    <row r="8991" spans="15:15">
      <c r="O8991" s="4288"/>
    </row>
    <row r="8992" spans="15:15">
      <c r="O8992" s="4288"/>
    </row>
    <row r="8993" spans="15:15">
      <c r="O8993" s="4288"/>
    </row>
    <row r="8994" spans="15:15">
      <c r="O8994" s="4288"/>
    </row>
    <row r="8995" spans="15:15">
      <c r="O8995" s="4288"/>
    </row>
    <row r="8996" spans="15:15">
      <c r="O8996" s="4288"/>
    </row>
    <row r="8997" spans="15:15">
      <c r="O8997" s="4288"/>
    </row>
    <row r="8998" spans="15:15">
      <c r="O8998" s="4288"/>
    </row>
    <row r="8999" spans="15:15">
      <c r="O8999" s="4288"/>
    </row>
    <row r="9000" spans="15:15">
      <c r="O9000" s="4288"/>
    </row>
    <row r="9001" spans="15:15">
      <c r="O9001" s="4288"/>
    </row>
    <row r="9002" spans="15:15">
      <c r="O9002" s="4288"/>
    </row>
    <row r="9003" spans="15:15">
      <c r="O9003" s="4288"/>
    </row>
    <row r="9004" spans="15:15">
      <c r="O9004" s="4288"/>
    </row>
    <row r="9005" spans="15:15">
      <c r="O9005" s="4288"/>
    </row>
    <row r="9006" spans="15:15">
      <c r="O9006" s="4288"/>
    </row>
    <row r="9007" spans="15:15">
      <c r="O9007" s="4288"/>
    </row>
    <row r="9008" spans="15:15">
      <c r="O9008" s="4288"/>
    </row>
    <row r="9009" spans="15:15">
      <c r="O9009" s="4288"/>
    </row>
    <row r="9010" spans="15:15">
      <c r="O9010" s="4288"/>
    </row>
    <row r="9011" spans="15:15">
      <c r="O9011" s="4288"/>
    </row>
    <row r="9012" spans="15:15">
      <c r="O9012" s="4288"/>
    </row>
    <row r="9013" spans="15:15">
      <c r="O9013" s="4288"/>
    </row>
    <row r="9014" spans="15:15">
      <c r="O9014" s="4288"/>
    </row>
    <row r="9015" spans="15:15">
      <c r="O9015" s="4288"/>
    </row>
    <row r="9016" spans="15:15">
      <c r="O9016" s="4288"/>
    </row>
    <row r="9017" spans="15:15">
      <c r="O9017" s="4288"/>
    </row>
    <row r="9018" spans="15:15">
      <c r="O9018" s="4288"/>
    </row>
    <row r="9019" spans="15:15">
      <c r="O9019" s="4288"/>
    </row>
    <row r="9020" spans="15:15">
      <c r="O9020" s="4288"/>
    </row>
    <row r="9021" spans="15:15">
      <c r="O9021" s="4288"/>
    </row>
    <row r="9022" spans="15:15">
      <c r="O9022" s="4288"/>
    </row>
    <row r="9023" spans="15:15">
      <c r="O9023" s="4288"/>
    </row>
    <row r="9024" spans="15:15">
      <c r="O9024" s="4288"/>
    </row>
    <row r="9025" spans="15:15">
      <c r="O9025" s="4288"/>
    </row>
    <row r="9026" spans="15:15">
      <c r="O9026" s="4288"/>
    </row>
    <row r="9027" spans="15:15">
      <c r="O9027" s="4288"/>
    </row>
    <row r="9028" spans="15:15">
      <c r="O9028" s="4288"/>
    </row>
    <row r="9029" spans="15:15">
      <c r="O9029" s="4288"/>
    </row>
    <row r="9030" spans="15:15">
      <c r="O9030" s="4288"/>
    </row>
    <row r="9031" spans="15:15">
      <c r="O9031" s="4288"/>
    </row>
    <row r="9032" spans="15:15">
      <c r="O9032" s="4288"/>
    </row>
    <row r="9033" spans="15:15">
      <c r="O9033" s="4288"/>
    </row>
    <row r="9034" spans="15:15">
      <c r="O9034" s="4288"/>
    </row>
    <row r="9035" spans="15:15">
      <c r="O9035" s="4288"/>
    </row>
    <row r="9036" spans="15:15">
      <c r="O9036" s="4288"/>
    </row>
    <row r="9037" spans="15:15">
      <c r="O9037" s="4288"/>
    </row>
    <row r="9038" spans="15:15">
      <c r="O9038" s="4288"/>
    </row>
    <row r="9039" spans="15:15">
      <c r="O9039" s="4288"/>
    </row>
    <row r="9040" spans="15:15">
      <c r="O9040" s="4288"/>
    </row>
    <row r="9041" spans="15:15">
      <c r="O9041" s="4288"/>
    </row>
    <row r="9042" spans="15:15">
      <c r="O9042" s="4288"/>
    </row>
    <row r="9043" spans="15:15">
      <c r="O9043" s="4288"/>
    </row>
    <row r="9044" spans="15:15">
      <c r="O9044" s="4288"/>
    </row>
    <row r="9045" spans="15:15">
      <c r="O9045" s="4288"/>
    </row>
    <row r="9046" spans="15:15">
      <c r="O9046" s="4288"/>
    </row>
    <row r="9047" spans="15:15">
      <c r="O9047" s="4288"/>
    </row>
    <row r="9048" spans="15:15">
      <c r="O9048" s="4288"/>
    </row>
    <row r="9049" spans="15:15">
      <c r="O9049" s="4288"/>
    </row>
    <row r="9050" spans="15:15">
      <c r="O9050" s="4288"/>
    </row>
    <row r="9051" spans="15:15">
      <c r="O9051" s="4288"/>
    </row>
    <row r="9052" spans="15:15">
      <c r="O9052" s="4288"/>
    </row>
    <row r="9053" spans="15:15">
      <c r="O9053" s="4288"/>
    </row>
    <row r="9054" spans="15:15">
      <c r="O9054" s="4288"/>
    </row>
    <row r="9055" spans="15:15">
      <c r="O9055" s="4288"/>
    </row>
    <row r="9056" spans="15:15">
      <c r="O9056" s="4288"/>
    </row>
    <row r="9057" spans="15:15">
      <c r="O9057" s="4288"/>
    </row>
    <row r="9058" spans="15:15">
      <c r="O9058" s="4288"/>
    </row>
    <row r="9059" spans="15:15">
      <c r="O9059" s="4288"/>
    </row>
    <row r="9060" spans="15:15">
      <c r="O9060" s="4288"/>
    </row>
    <row r="9061" spans="15:15">
      <c r="O9061" s="4288"/>
    </row>
    <row r="9062" spans="15:15">
      <c r="O9062" s="4288"/>
    </row>
    <row r="9063" spans="15:15">
      <c r="O9063" s="4288"/>
    </row>
    <row r="9064" spans="15:15">
      <c r="O9064" s="4288"/>
    </row>
    <row r="9065" spans="15:15">
      <c r="O9065" s="4288"/>
    </row>
    <row r="9066" spans="15:15">
      <c r="O9066" s="4288"/>
    </row>
    <row r="9067" spans="15:15">
      <c r="O9067" s="4288"/>
    </row>
    <row r="9068" spans="15:15">
      <c r="O9068" s="4288"/>
    </row>
    <row r="9069" spans="15:15">
      <c r="O9069" s="4288"/>
    </row>
    <row r="9070" spans="15:15">
      <c r="O9070" s="4288"/>
    </row>
    <row r="9071" spans="15:15">
      <c r="O9071" s="4288"/>
    </row>
    <row r="9072" spans="15:15">
      <c r="O9072" s="4288"/>
    </row>
    <row r="9073" spans="15:15">
      <c r="O9073" s="4288"/>
    </row>
    <row r="9074" spans="15:15">
      <c r="O9074" s="4288"/>
    </row>
    <row r="9075" spans="15:15">
      <c r="O9075" s="4288"/>
    </row>
    <row r="9076" spans="15:15">
      <c r="O9076" s="4288"/>
    </row>
    <row r="9077" spans="15:15">
      <c r="O9077" s="4288"/>
    </row>
    <row r="9078" spans="15:15">
      <c r="O9078" s="4288"/>
    </row>
    <row r="9079" spans="15:15">
      <c r="O9079" s="4288"/>
    </row>
    <row r="9080" spans="15:15">
      <c r="O9080" s="4288"/>
    </row>
    <row r="9081" spans="15:15">
      <c r="O9081" s="4288"/>
    </row>
    <row r="9082" spans="15:15">
      <c r="O9082" s="4288"/>
    </row>
    <row r="9083" spans="15:15">
      <c r="O9083" s="4288"/>
    </row>
    <row r="9084" spans="15:15">
      <c r="O9084" s="4288"/>
    </row>
    <row r="9085" spans="15:15">
      <c r="O9085" s="4288"/>
    </row>
    <row r="9086" spans="15:15">
      <c r="O9086" s="4288"/>
    </row>
    <row r="9087" spans="15:15">
      <c r="O9087" s="4288"/>
    </row>
    <row r="9088" spans="15:15">
      <c r="O9088" s="4288"/>
    </row>
    <row r="9089" spans="15:15">
      <c r="O9089" s="4288"/>
    </row>
    <row r="9090" spans="15:15">
      <c r="O9090" s="4288"/>
    </row>
    <row r="9091" spans="15:15">
      <c r="O9091" s="4288"/>
    </row>
    <row r="9092" spans="15:15">
      <c r="O9092" s="4288"/>
    </row>
    <row r="9093" spans="15:15">
      <c r="O9093" s="4288"/>
    </row>
    <row r="9094" spans="15:15">
      <c r="O9094" s="4288"/>
    </row>
    <row r="9095" spans="15:15">
      <c r="O9095" s="4288"/>
    </row>
    <row r="9096" spans="15:15">
      <c r="O9096" s="4288"/>
    </row>
    <row r="9097" spans="15:15">
      <c r="O9097" s="4288"/>
    </row>
    <row r="9098" spans="15:15">
      <c r="O9098" s="4288"/>
    </row>
    <row r="9099" spans="15:15">
      <c r="O9099" s="4288"/>
    </row>
    <row r="9100" spans="15:15">
      <c r="O9100" s="4288"/>
    </row>
    <row r="9101" spans="15:15">
      <c r="O9101" s="4288"/>
    </row>
    <row r="9102" spans="15:15">
      <c r="O9102" s="4288"/>
    </row>
    <row r="9103" spans="15:15">
      <c r="O9103" s="4288"/>
    </row>
    <row r="9104" spans="15:15">
      <c r="O9104" s="4288"/>
    </row>
    <row r="9105" spans="15:15">
      <c r="O9105" s="4288"/>
    </row>
    <row r="9106" spans="15:15">
      <c r="O9106" s="4288"/>
    </row>
    <row r="9107" spans="15:15">
      <c r="O9107" s="4288"/>
    </row>
    <row r="9108" spans="15:15">
      <c r="O9108" s="4288"/>
    </row>
    <row r="9109" spans="15:15">
      <c r="O9109" s="4288"/>
    </row>
    <row r="9110" spans="15:15">
      <c r="O9110" s="4288"/>
    </row>
    <row r="9111" spans="15:15">
      <c r="O9111" s="4288"/>
    </row>
    <row r="9112" spans="15:15">
      <c r="O9112" s="4288"/>
    </row>
    <row r="9113" spans="15:15">
      <c r="O9113" s="4288"/>
    </row>
    <row r="9114" spans="15:15">
      <c r="O9114" s="4288"/>
    </row>
    <row r="9115" spans="15:15">
      <c r="O9115" s="4288"/>
    </row>
    <row r="9116" spans="15:15">
      <c r="O9116" s="4288"/>
    </row>
    <row r="9117" spans="15:15">
      <c r="O9117" s="4288"/>
    </row>
    <row r="9118" spans="15:15">
      <c r="O9118" s="4288"/>
    </row>
    <row r="9119" spans="15:15">
      <c r="O9119" s="4288"/>
    </row>
    <row r="9120" spans="15:15">
      <c r="O9120" s="4288"/>
    </row>
    <row r="9121" spans="15:15">
      <c r="O9121" s="4288"/>
    </row>
    <row r="9122" spans="15:15">
      <c r="O9122" s="4288"/>
    </row>
    <row r="9123" spans="15:15">
      <c r="O9123" s="4288"/>
    </row>
    <row r="9124" spans="15:15">
      <c r="O9124" s="4288"/>
    </row>
    <row r="9125" spans="15:15">
      <c r="O9125" s="4288"/>
    </row>
    <row r="9126" spans="15:15">
      <c r="O9126" s="4288"/>
    </row>
    <row r="9127" spans="15:15">
      <c r="O9127" s="4288"/>
    </row>
    <row r="9128" spans="15:15">
      <c r="O9128" s="4288"/>
    </row>
    <row r="9129" spans="15:15">
      <c r="O9129" s="4288"/>
    </row>
    <row r="9130" spans="15:15">
      <c r="O9130" s="4288"/>
    </row>
    <row r="9131" spans="15:15">
      <c r="O9131" s="4288"/>
    </row>
    <row r="9132" spans="15:15">
      <c r="O9132" s="4288"/>
    </row>
    <row r="9133" spans="15:15">
      <c r="O9133" s="4288"/>
    </row>
    <row r="9134" spans="15:15">
      <c r="O9134" s="4288"/>
    </row>
    <row r="9135" spans="15:15">
      <c r="O9135" s="4288"/>
    </row>
    <row r="9136" spans="15:15">
      <c r="O9136" s="4288"/>
    </row>
    <row r="9137" spans="15:15">
      <c r="O9137" s="4288"/>
    </row>
    <row r="9138" spans="15:15">
      <c r="O9138" s="4288"/>
    </row>
    <row r="9139" spans="15:15">
      <c r="O9139" s="4288"/>
    </row>
    <row r="9140" spans="15:15">
      <c r="O9140" s="4288"/>
    </row>
    <row r="9141" spans="15:15">
      <c r="O9141" s="4288"/>
    </row>
    <row r="9142" spans="15:15">
      <c r="O9142" s="4288"/>
    </row>
    <row r="9143" spans="15:15">
      <c r="O9143" s="4288"/>
    </row>
    <row r="9144" spans="15:15">
      <c r="O9144" s="4288"/>
    </row>
    <row r="9145" spans="15:15">
      <c r="O9145" s="4288"/>
    </row>
    <row r="9146" spans="15:15">
      <c r="O9146" s="4288"/>
    </row>
    <row r="9147" spans="15:15">
      <c r="O9147" s="4288"/>
    </row>
    <row r="9148" spans="15:15">
      <c r="O9148" s="4288"/>
    </row>
    <row r="9149" spans="15:15">
      <c r="O9149" s="4288"/>
    </row>
    <row r="9150" spans="15:15">
      <c r="O9150" s="4288"/>
    </row>
    <row r="9151" spans="15:15">
      <c r="O9151" s="4288"/>
    </row>
    <row r="9152" spans="15:15">
      <c r="O9152" s="4288"/>
    </row>
    <row r="9153" spans="15:15">
      <c r="O9153" s="4288"/>
    </row>
    <row r="9154" spans="15:15">
      <c r="O9154" s="4288"/>
    </row>
    <row r="9155" spans="15:15">
      <c r="O9155" s="4288"/>
    </row>
    <row r="9156" spans="15:15">
      <c r="O9156" s="4288"/>
    </row>
    <row r="9157" spans="15:15">
      <c r="O9157" s="4288"/>
    </row>
    <row r="9158" spans="15:15">
      <c r="O9158" s="4288"/>
    </row>
    <row r="9159" spans="15:15">
      <c r="O9159" s="4288"/>
    </row>
    <row r="9160" spans="15:15">
      <c r="O9160" s="4288"/>
    </row>
    <row r="9161" spans="15:15">
      <c r="O9161" s="4288"/>
    </row>
    <row r="9162" spans="15:15">
      <c r="O9162" s="4288"/>
    </row>
    <row r="9163" spans="15:15">
      <c r="O9163" s="4288"/>
    </row>
    <row r="9164" spans="15:15">
      <c r="O9164" s="4288"/>
    </row>
    <row r="9165" spans="15:15">
      <c r="O9165" s="4288"/>
    </row>
    <row r="9166" spans="15:15">
      <c r="O9166" s="4288"/>
    </row>
    <row r="9167" spans="15:15">
      <c r="O9167" s="4288"/>
    </row>
    <row r="9168" spans="15:15">
      <c r="O9168" s="4288"/>
    </row>
    <row r="9169" spans="15:15">
      <c r="O9169" s="4288"/>
    </row>
    <row r="9170" spans="15:15">
      <c r="O9170" s="4288"/>
    </row>
    <row r="9171" spans="15:15">
      <c r="O9171" s="4288"/>
    </row>
    <row r="9172" spans="15:15">
      <c r="O9172" s="4288"/>
    </row>
    <row r="9173" spans="15:15">
      <c r="O9173" s="4288"/>
    </row>
    <row r="9174" spans="15:15">
      <c r="O9174" s="4288"/>
    </row>
    <row r="9175" spans="15:15">
      <c r="O9175" s="4288"/>
    </row>
    <row r="9176" spans="15:15">
      <c r="O9176" s="4288"/>
    </row>
    <row r="9177" spans="15:15">
      <c r="O9177" s="4288"/>
    </row>
    <row r="9178" spans="15:15">
      <c r="O9178" s="4288"/>
    </row>
    <row r="9179" spans="15:15">
      <c r="O9179" s="4288"/>
    </row>
    <row r="9180" spans="15:15">
      <c r="O9180" s="4288"/>
    </row>
    <row r="9181" spans="15:15">
      <c r="O9181" s="4288"/>
    </row>
    <row r="9182" spans="15:15">
      <c r="O9182" s="4288"/>
    </row>
    <row r="9183" spans="15:15">
      <c r="O9183" s="4288"/>
    </row>
    <row r="9184" spans="15:15">
      <c r="O9184" s="4288"/>
    </row>
    <row r="9185" spans="15:15">
      <c r="O9185" s="4288"/>
    </row>
    <row r="9186" spans="15:15">
      <c r="O9186" s="4288"/>
    </row>
    <row r="9187" spans="15:15">
      <c r="O9187" s="4288"/>
    </row>
    <row r="9188" spans="15:15">
      <c r="O9188" s="4288"/>
    </row>
    <row r="9189" spans="15:15">
      <c r="O9189" s="4288"/>
    </row>
    <row r="9190" spans="15:15">
      <c r="O9190" s="4288"/>
    </row>
    <row r="9191" spans="15:15">
      <c r="O9191" s="4288"/>
    </row>
    <row r="9192" spans="15:15">
      <c r="O9192" s="4288"/>
    </row>
    <row r="9193" spans="15:15">
      <c r="O9193" s="4288"/>
    </row>
    <row r="9194" spans="15:15">
      <c r="O9194" s="4288"/>
    </row>
    <row r="9195" spans="15:15">
      <c r="O9195" s="4288"/>
    </row>
    <row r="9196" spans="15:15">
      <c r="O9196" s="4288"/>
    </row>
    <row r="9197" spans="15:15">
      <c r="O9197" s="4288"/>
    </row>
    <row r="9198" spans="15:15">
      <c r="O9198" s="4288"/>
    </row>
    <row r="9199" spans="15:15">
      <c r="O9199" s="4288"/>
    </row>
    <row r="9200" spans="15:15">
      <c r="O9200" s="4288"/>
    </row>
    <row r="9201" spans="15:15">
      <c r="O9201" s="4288"/>
    </row>
    <row r="9202" spans="15:15">
      <c r="O9202" s="4288"/>
    </row>
    <row r="9203" spans="15:15">
      <c r="O9203" s="4288"/>
    </row>
    <row r="9204" spans="15:15">
      <c r="O9204" s="4288"/>
    </row>
    <row r="9205" spans="15:15">
      <c r="O9205" s="4288"/>
    </row>
    <row r="9206" spans="15:15">
      <c r="O9206" s="4288"/>
    </row>
    <row r="9207" spans="15:15">
      <c r="O9207" s="4288"/>
    </row>
    <row r="9208" spans="15:15">
      <c r="O9208" s="4288"/>
    </row>
    <row r="9209" spans="15:15">
      <c r="O9209" s="4288"/>
    </row>
    <row r="9210" spans="15:15">
      <c r="O9210" s="4288"/>
    </row>
    <row r="9211" spans="15:15">
      <c r="O9211" s="4288"/>
    </row>
    <row r="9212" spans="15:15">
      <c r="O9212" s="4288"/>
    </row>
    <row r="9213" spans="15:15">
      <c r="O9213" s="4288"/>
    </row>
    <row r="9214" spans="15:15">
      <c r="O9214" s="4288"/>
    </row>
    <row r="9215" spans="15:15">
      <c r="O9215" s="4288"/>
    </row>
    <row r="9216" spans="15:15">
      <c r="O9216" s="4288"/>
    </row>
    <row r="9217" spans="15:15">
      <c r="O9217" s="4288"/>
    </row>
    <row r="9218" spans="15:15">
      <c r="O9218" s="4288"/>
    </row>
    <row r="9219" spans="15:15">
      <c r="O9219" s="4288"/>
    </row>
    <row r="9220" spans="15:15">
      <c r="O9220" s="4288"/>
    </row>
    <row r="9221" spans="15:15">
      <c r="O9221" s="4288"/>
    </row>
    <row r="9222" spans="15:15">
      <c r="O9222" s="4288"/>
    </row>
    <row r="9223" spans="15:15">
      <c r="O9223" s="4288"/>
    </row>
    <row r="9224" spans="15:15">
      <c r="O9224" s="4288"/>
    </row>
    <row r="9225" spans="15:15">
      <c r="O9225" s="4288"/>
    </row>
    <row r="9226" spans="15:15">
      <c r="O9226" s="4288"/>
    </row>
    <row r="9227" spans="15:15">
      <c r="O9227" s="4288"/>
    </row>
    <row r="9228" spans="15:15">
      <c r="O9228" s="4288"/>
    </row>
    <row r="9229" spans="15:15">
      <c r="O9229" s="4288"/>
    </row>
    <row r="9230" spans="15:15">
      <c r="O9230" s="4288"/>
    </row>
    <row r="9231" spans="15:15">
      <c r="O9231" s="4288"/>
    </row>
    <row r="9232" spans="15:15">
      <c r="O9232" s="4288"/>
    </row>
    <row r="9233" spans="15:15">
      <c r="O9233" s="4288"/>
    </row>
    <row r="9234" spans="15:15">
      <c r="O9234" s="4288"/>
    </row>
    <row r="9235" spans="15:15">
      <c r="O9235" s="4288"/>
    </row>
    <row r="9236" spans="15:15">
      <c r="O9236" s="4288"/>
    </row>
    <row r="9237" spans="15:15">
      <c r="O9237" s="4288"/>
    </row>
    <row r="9238" spans="15:15">
      <c r="O9238" s="4288"/>
    </row>
    <row r="9239" spans="15:15">
      <c r="O9239" s="4288"/>
    </row>
    <row r="9240" spans="15:15">
      <c r="O9240" s="4288"/>
    </row>
    <row r="9241" spans="15:15">
      <c r="O9241" s="4288"/>
    </row>
    <row r="9242" spans="15:15">
      <c r="O9242" s="4288"/>
    </row>
    <row r="9243" spans="15:15">
      <c r="O9243" s="4288"/>
    </row>
    <row r="9244" spans="15:15">
      <c r="O9244" s="4288"/>
    </row>
    <row r="9245" spans="15:15">
      <c r="O9245" s="4288"/>
    </row>
    <row r="9246" spans="15:15">
      <c r="O9246" s="4288"/>
    </row>
    <row r="9247" spans="15:15">
      <c r="O9247" s="4288"/>
    </row>
    <row r="9248" spans="15:15">
      <c r="O9248" s="4288"/>
    </row>
    <row r="9249" spans="15:15">
      <c r="O9249" s="4288"/>
    </row>
    <row r="9250" spans="15:15">
      <c r="O9250" s="4288"/>
    </row>
    <row r="9251" spans="15:15">
      <c r="O9251" s="4288"/>
    </row>
    <row r="9252" spans="15:15">
      <c r="O9252" s="4288"/>
    </row>
    <row r="9253" spans="15:15">
      <c r="O9253" s="4288"/>
    </row>
    <row r="9254" spans="15:15">
      <c r="O9254" s="4288"/>
    </row>
    <row r="9255" spans="15:15">
      <c r="O9255" s="4288"/>
    </row>
    <row r="9256" spans="15:15">
      <c r="O9256" s="4288"/>
    </row>
    <row r="9257" spans="15:15">
      <c r="O9257" s="4288"/>
    </row>
    <row r="9258" spans="15:15">
      <c r="O9258" s="4288"/>
    </row>
    <row r="9259" spans="15:15">
      <c r="O9259" s="4288"/>
    </row>
    <row r="9260" spans="15:15">
      <c r="O9260" s="4288"/>
    </row>
    <row r="9261" spans="15:15">
      <c r="O9261" s="4288"/>
    </row>
    <row r="9262" spans="15:15">
      <c r="O9262" s="4288"/>
    </row>
    <row r="9263" spans="15:15">
      <c r="O9263" s="4288"/>
    </row>
    <row r="9264" spans="15:15">
      <c r="O9264" s="4288"/>
    </row>
    <row r="9265" spans="15:15">
      <c r="O9265" s="4288"/>
    </row>
    <row r="9266" spans="15:15">
      <c r="O9266" s="4288"/>
    </row>
    <row r="9267" spans="15:15">
      <c r="O9267" s="4288"/>
    </row>
    <row r="9268" spans="15:15">
      <c r="O9268" s="4288"/>
    </row>
    <row r="9269" spans="15:15">
      <c r="O9269" s="4288"/>
    </row>
    <row r="9270" spans="15:15">
      <c r="O9270" s="4288"/>
    </row>
    <row r="9271" spans="15:15">
      <c r="O9271" s="4288"/>
    </row>
    <row r="9272" spans="15:15">
      <c r="O9272" s="4288"/>
    </row>
    <row r="9273" spans="15:15">
      <c r="O9273" s="4288"/>
    </row>
    <row r="9274" spans="15:15">
      <c r="O9274" s="4288"/>
    </row>
    <row r="9275" spans="15:15">
      <c r="O9275" s="4288"/>
    </row>
    <row r="9276" spans="15:15">
      <c r="O9276" s="4288"/>
    </row>
    <row r="9277" spans="15:15">
      <c r="O9277" s="4288"/>
    </row>
    <row r="9278" spans="15:15">
      <c r="O9278" s="4288"/>
    </row>
    <row r="9279" spans="15:15">
      <c r="O9279" s="4288"/>
    </row>
    <row r="9280" spans="15:15">
      <c r="O9280" s="4288"/>
    </row>
    <row r="9281" spans="15:15">
      <c r="O9281" s="4288"/>
    </row>
    <row r="9282" spans="15:15">
      <c r="O9282" s="4288"/>
    </row>
    <row r="9283" spans="15:15">
      <c r="O9283" s="4288"/>
    </row>
    <row r="9284" spans="15:15">
      <c r="O9284" s="4288"/>
    </row>
    <row r="9285" spans="15:15">
      <c r="O9285" s="4288"/>
    </row>
    <row r="9286" spans="15:15">
      <c r="O9286" s="4288"/>
    </row>
    <row r="9287" spans="15:15">
      <c r="O9287" s="4288"/>
    </row>
    <row r="9288" spans="15:15">
      <c r="O9288" s="4288"/>
    </row>
    <row r="9289" spans="15:15">
      <c r="O9289" s="4288"/>
    </row>
    <row r="9290" spans="15:15">
      <c r="O9290" s="4288"/>
    </row>
    <row r="9291" spans="15:15">
      <c r="O9291" s="4288"/>
    </row>
    <row r="9292" spans="15:15">
      <c r="O9292" s="4288"/>
    </row>
    <row r="9293" spans="15:15">
      <c r="O9293" s="4288"/>
    </row>
    <row r="9294" spans="15:15">
      <c r="O9294" s="4288"/>
    </row>
    <row r="9295" spans="15:15">
      <c r="O9295" s="4288"/>
    </row>
    <row r="9296" spans="15:15">
      <c r="O9296" s="4288"/>
    </row>
    <row r="9297" spans="15:15">
      <c r="O9297" s="4288"/>
    </row>
    <row r="9298" spans="15:15">
      <c r="O9298" s="4288"/>
    </row>
    <row r="9299" spans="15:15">
      <c r="O9299" s="4288"/>
    </row>
    <row r="9300" spans="15:15">
      <c r="O9300" s="4288"/>
    </row>
    <row r="9301" spans="15:15">
      <c r="O9301" s="4288"/>
    </row>
    <row r="9302" spans="15:15">
      <c r="O9302" s="4288"/>
    </row>
    <row r="9303" spans="15:15">
      <c r="O9303" s="4288"/>
    </row>
    <row r="9304" spans="15:15">
      <c r="O9304" s="4288"/>
    </row>
    <row r="9305" spans="15:15">
      <c r="O9305" s="4288"/>
    </row>
    <row r="9306" spans="15:15">
      <c r="O9306" s="4288"/>
    </row>
    <row r="9307" spans="15:15">
      <c r="O9307" s="4288"/>
    </row>
    <row r="9308" spans="15:15">
      <c r="O9308" s="4288"/>
    </row>
    <row r="9309" spans="15:15">
      <c r="O9309" s="4288"/>
    </row>
    <row r="9310" spans="15:15">
      <c r="O9310" s="4288"/>
    </row>
    <row r="9311" spans="15:15">
      <c r="O9311" s="4288"/>
    </row>
    <row r="9312" spans="15:15">
      <c r="O9312" s="4288"/>
    </row>
    <row r="9313" spans="15:15">
      <c r="O9313" s="4288"/>
    </row>
    <row r="9314" spans="15:15">
      <c r="O9314" s="4288"/>
    </row>
    <row r="9315" spans="15:15">
      <c r="O9315" s="4288"/>
    </row>
    <row r="9316" spans="15:15">
      <c r="O9316" s="4288"/>
    </row>
    <row r="9317" spans="15:15">
      <c r="O9317" s="4288"/>
    </row>
    <row r="9318" spans="15:15">
      <c r="O9318" s="4288"/>
    </row>
    <row r="9319" spans="15:15">
      <c r="O9319" s="4288"/>
    </row>
    <row r="9320" spans="15:15">
      <c r="O9320" s="4288"/>
    </row>
    <row r="9321" spans="15:15">
      <c r="O9321" s="4288"/>
    </row>
    <row r="9322" spans="15:15">
      <c r="O9322" s="4288"/>
    </row>
    <row r="9323" spans="15:15">
      <c r="O9323" s="4288"/>
    </row>
    <row r="9324" spans="15:15">
      <c r="O9324" s="4288"/>
    </row>
    <row r="9325" spans="15:15">
      <c r="O9325" s="4288"/>
    </row>
    <row r="9326" spans="15:15">
      <c r="O9326" s="4288"/>
    </row>
    <row r="9327" spans="15:15">
      <c r="O9327" s="4288"/>
    </row>
    <row r="9328" spans="15:15">
      <c r="O9328" s="4288"/>
    </row>
    <row r="9329" spans="15:15">
      <c r="O9329" s="4288"/>
    </row>
    <row r="9330" spans="15:15">
      <c r="O9330" s="4288"/>
    </row>
    <row r="9331" spans="15:15">
      <c r="O9331" s="4288"/>
    </row>
    <row r="9332" spans="15:15">
      <c r="O9332" s="4288"/>
    </row>
    <row r="9333" spans="15:15">
      <c r="O9333" s="4288"/>
    </row>
    <row r="9334" spans="15:15">
      <c r="O9334" s="4288"/>
    </row>
    <row r="9335" spans="15:15">
      <c r="O9335" s="4288"/>
    </row>
    <row r="9336" spans="15:15">
      <c r="O9336" s="4288"/>
    </row>
    <row r="9337" spans="15:15">
      <c r="O9337" s="4288"/>
    </row>
    <row r="9338" spans="15:15">
      <c r="O9338" s="4288"/>
    </row>
    <row r="9339" spans="15:15">
      <c r="O9339" s="4288"/>
    </row>
    <row r="9340" spans="15:15">
      <c r="O9340" s="4288"/>
    </row>
    <row r="9341" spans="15:15">
      <c r="O9341" s="4288"/>
    </row>
    <row r="9342" spans="15:15">
      <c r="O9342" s="4288"/>
    </row>
    <row r="9343" spans="15:15">
      <c r="O9343" s="4288"/>
    </row>
    <row r="9344" spans="15:15">
      <c r="O9344" s="4288"/>
    </row>
    <row r="9345" spans="15:15">
      <c r="O9345" s="4288"/>
    </row>
    <row r="9346" spans="15:15">
      <c r="O9346" s="4288"/>
    </row>
    <row r="9347" spans="15:15">
      <c r="O9347" s="4288"/>
    </row>
    <row r="9348" spans="15:15">
      <c r="O9348" s="4288"/>
    </row>
    <row r="9349" spans="15:15">
      <c r="O9349" s="4288"/>
    </row>
    <row r="9350" spans="15:15">
      <c r="O9350" s="4288"/>
    </row>
    <row r="9351" spans="15:15">
      <c r="O9351" s="4288"/>
    </row>
    <row r="9352" spans="15:15">
      <c r="O9352" s="4288"/>
    </row>
    <row r="9353" spans="15:15">
      <c r="O9353" s="4288"/>
    </row>
    <row r="9354" spans="15:15">
      <c r="O9354" s="4288"/>
    </row>
    <row r="9355" spans="15:15">
      <c r="O9355" s="4288"/>
    </row>
    <row r="9356" spans="15:15">
      <c r="O9356" s="4288"/>
    </row>
    <row r="9357" spans="15:15">
      <c r="O9357" s="4288"/>
    </row>
    <row r="9358" spans="15:15">
      <c r="O9358" s="4288"/>
    </row>
    <row r="9359" spans="15:15">
      <c r="O9359" s="4288"/>
    </row>
    <row r="9360" spans="15:15">
      <c r="O9360" s="4288"/>
    </row>
    <row r="9361" spans="15:15">
      <c r="O9361" s="4288"/>
    </row>
    <row r="9362" spans="15:15">
      <c r="O9362" s="4288"/>
    </row>
    <row r="9363" spans="15:15">
      <c r="O9363" s="4288"/>
    </row>
    <row r="9364" spans="15:15">
      <c r="O9364" s="4288"/>
    </row>
    <row r="9365" spans="15:15">
      <c r="O9365" s="4288"/>
    </row>
    <row r="9366" spans="15:15">
      <c r="O9366" s="4288"/>
    </row>
    <row r="9367" spans="15:15">
      <c r="O9367" s="4288"/>
    </row>
    <row r="9368" spans="15:15">
      <c r="O9368" s="4288"/>
    </row>
    <row r="9369" spans="15:15">
      <c r="O9369" s="4288"/>
    </row>
    <row r="9370" spans="15:15">
      <c r="O9370" s="4288"/>
    </row>
    <row r="9371" spans="15:15">
      <c r="O9371" s="4288"/>
    </row>
    <row r="9372" spans="15:15">
      <c r="O9372" s="4288"/>
    </row>
    <row r="9373" spans="15:15">
      <c r="O9373" s="4288"/>
    </row>
    <row r="9374" spans="15:15">
      <c r="O9374" s="4288"/>
    </row>
    <row r="9375" spans="15:15">
      <c r="O9375" s="4288"/>
    </row>
    <row r="9376" spans="15:15">
      <c r="O9376" s="4288"/>
    </row>
    <row r="9377" spans="15:15">
      <c r="O9377" s="4288"/>
    </row>
    <row r="9378" spans="15:15">
      <c r="O9378" s="4288"/>
    </row>
    <row r="9379" spans="15:15">
      <c r="O9379" s="4288"/>
    </row>
    <row r="9380" spans="15:15">
      <c r="O9380" s="4288"/>
    </row>
    <row r="9381" spans="15:15">
      <c r="O9381" s="4288"/>
    </row>
    <row r="9382" spans="15:15">
      <c r="O9382" s="4288"/>
    </row>
    <row r="9383" spans="15:15">
      <c r="O9383" s="4288"/>
    </row>
    <row r="9384" spans="15:15">
      <c r="O9384" s="4288"/>
    </row>
    <row r="9385" spans="15:15">
      <c r="O9385" s="4288"/>
    </row>
    <row r="9386" spans="15:15">
      <c r="O9386" s="4288"/>
    </row>
    <row r="9387" spans="15:15">
      <c r="O9387" s="4288"/>
    </row>
    <row r="9388" spans="15:15">
      <c r="O9388" s="4288"/>
    </row>
    <row r="9389" spans="15:15">
      <c r="O9389" s="4288"/>
    </row>
    <row r="9390" spans="15:15">
      <c r="O9390" s="4288"/>
    </row>
    <row r="9391" spans="15:15">
      <c r="O9391" s="4288"/>
    </row>
    <row r="9392" spans="15:15">
      <c r="O9392" s="4288"/>
    </row>
    <row r="9393" spans="15:15">
      <c r="O9393" s="4288"/>
    </row>
    <row r="9394" spans="15:15">
      <c r="O9394" s="4288"/>
    </row>
    <row r="9395" spans="15:15">
      <c r="O9395" s="4288"/>
    </row>
    <row r="9396" spans="15:15">
      <c r="O9396" s="4288"/>
    </row>
    <row r="9397" spans="15:15">
      <c r="O9397" s="4288"/>
    </row>
    <row r="9398" spans="15:15">
      <c r="O9398" s="4288"/>
    </row>
    <row r="9399" spans="15:15">
      <c r="O9399" s="4288"/>
    </row>
    <row r="9400" spans="15:15">
      <c r="O9400" s="4288"/>
    </row>
    <row r="9401" spans="15:15">
      <c r="O9401" s="4288"/>
    </row>
    <row r="9402" spans="15:15">
      <c r="O9402" s="4288"/>
    </row>
    <row r="9403" spans="15:15">
      <c r="O9403" s="4288"/>
    </row>
    <row r="9404" spans="15:15">
      <c r="O9404" s="4288"/>
    </row>
    <row r="9405" spans="15:15">
      <c r="O9405" s="4288"/>
    </row>
    <row r="9406" spans="15:15">
      <c r="O9406" s="4288"/>
    </row>
    <row r="9407" spans="15:15">
      <c r="O9407" s="4288"/>
    </row>
    <row r="9408" spans="15:15">
      <c r="O9408" s="4288"/>
    </row>
    <row r="9409" spans="15:15">
      <c r="O9409" s="4288"/>
    </row>
    <row r="9410" spans="15:15">
      <c r="O9410" s="4288"/>
    </row>
    <row r="9411" spans="15:15">
      <c r="O9411" s="4288"/>
    </row>
    <row r="9412" spans="15:15">
      <c r="O9412" s="4288"/>
    </row>
    <row r="9413" spans="15:15">
      <c r="O9413" s="4288"/>
    </row>
    <row r="9414" spans="15:15">
      <c r="O9414" s="4288"/>
    </row>
    <row r="9415" spans="15:15">
      <c r="O9415" s="4288"/>
    </row>
    <row r="9416" spans="15:15">
      <c r="O9416" s="4288"/>
    </row>
    <row r="9417" spans="15:15">
      <c r="O9417" s="4288"/>
    </row>
    <row r="9418" spans="15:15">
      <c r="O9418" s="4288"/>
    </row>
    <row r="9419" spans="15:15">
      <c r="O9419" s="4288"/>
    </row>
    <row r="9420" spans="15:15">
      <c r="O9420" s="4288"/>
    </row>
    <row r="9421" spans="15:15">
      <c r="O9421" s="4288"/>
    </row>
    <row r="9422" spans="15:15">
      <c r="O9422" s="4288"/>
    </row>
    <row r="9423" spans="15:15">
      <c r="O9423" s="4288"/>
    </row>
    <row r="9424" spans="15:15">
      <c r="O9424" s="4288"/>
    </row>
    <row r="9425" spans="15:15">
      <c r="O9425" s="4288"/>
    </row>
    <row r="9426" spans="15:15">
      <c r="O9426" s="4288"/>
    </row>
    <row r="9427" spans="15:15">
      <c r="O9427" s="4288"/>
    </row>
    <row r="9428" spans="15:15">
      <c r="O9428" s="4288"/>
    </row>
    <row r="9429" spans="15:15">
      <c r="O9429" s="4288"/>
    </row>
    <row r="9430" spans="15:15">
      <c r="O9430" s="4288"/>
    </row>
    <row r="9431" spans="15:15">
      <c r="O9431" s="4288"/>
    </row>
    <row r="9432" spans="15:15">
      <c r="O9432" s="4288"/>
    </row>
    <row r="9433" spans="15:15">
      <c r="O9433" s="4288"/>
    </row>
    <row r="9434" spans="15:15">
      <c r="O9434" s="4288"/>
    </row>
    <row r="9435" spans="15:15">
      <c r="O9435" s="4288"/>
    </row>
    <row r="9436" spans="15:15">
      <c r="O9436" s="4288"/>
    </row>
    <row r="9437" spans="15:15">
      <c r="O9437" s="4288"/>
    </row>
    <row r="9438" spans="15:15">
      <c r="O9438" s="4288"/>
    </row>
    <row r="9439" spans="15:15">
      <c r="O9439" s="4288"/>
    </row>
    <row r="9440" spans="15:15">
      <c r="O9440" s="4288"/>
    </row>
    <row r="9441" spans="15:15">
      <c r="O9441" s="4288"/>
    </row>
    <row r="9442" spans="15:15">
      <c r="O9442" s="4288"/>
    </row>
    <row r="9443" spans="15:15">
      <c r="O9443" s="4288"/>
    </row>
    <row r="9444" spans="15:15">
      <c r="O9444" s="4288"/>
    </row>
    <row r="9445" spans="15:15">
      <c r="O9445" s="4288"/>
    </row>
    <row r="9446" spans="15:15">
      <c r="O9446" s="4288"/>
    </row>
    <row r="9447" spans="15:15">
      <c r="O9447" s="4288"/>
    </row>
    <row r="9448" spans="15:15">
      <c r="O9448" s="4288"/>
    </row>
    <row r="9449" spans="15:15">
      <c r="O9449" s="4288"/>
    </row>
    <row r="9450" spans="15:15">
      <c r="O9450" s="4288"/>
    </row>
    <row r="9451" spans="15:15">
      <c r="O9451" s="4288"/>
    </row>
    <row r="9452" spans="15:15">
      <c r="O9452" s="4288"/>
    </row>
    <row r="9453" spans="15:15">
      <c r="O9453" s="4288"/>
    </row>
    <row r="9454" spans="15:15">
      <c r="O9454" s="4288"/>
    </row>
    <row r="9455" spans="15:15">
      <c r="O9455" s="4288"/>
    </row>
    <row r="9456" spans="15:15">
      <c r="O9456" s="4288"/>
    </row>
    <row r="9457" spans="15:15">
      <c r="O9457" s="4288"/>
    </row>
    <row r="9458" spans="15:15">
      <c r="O9458" s="4288"/>
    </row>
    <row r="9459" spans="15:15">
      <c r="O9459" s="4288"/>
    </row>
    <row r="9460" spans="15:15">
      <c r="O9460" s="4288"/>
    </row>
    <row r="9461" spans="15:15">
      <c r="O9461" s="4288"/>
    </row>
    <row r="9462" spans="15:15">
      <c r="O9462" s="4288"/>
    </row>
    <row r="9463" spans="15:15">
      <c r="O9463" s="4288"/>
    </row>
    <row r="9464" spans="15:15">
      <c r="O9464" s="4288"/>
    </row>
    <row r="9465" spans="15:15">
      <c r="O9465" s="4288"/>
    </row>
    <row r="9466" spans="15:15">
      <c r="O9466" s="4288"/>
    </row>
    <row r="9467" spans="15:15">
      <c r="O9467" s="4288"/>
    </row>
    <row r="9468" spans="15:15">
      <c r="O9468" s="4288"/>
    </row>
    <row r="9469" spans="15:15">
      <c r="O9469" s="4288"/>
    </row>
    <row r="9470" spans="15:15">
      <c r="O9470" s="4288"/>
    </row>
    <row r="9471" spans="15:15">
      <c r="O9471" s="4288"/>
    </row>
    <row r="9472" spans="15:15">
      <c r="O9472" s="4288"/>
    </row>
    <row r="9473" spans="15:15">
      <c r="O9473" s="4288"/>
    </row>
    <row r="9474" spans="15:15">
      <c r="O9474" s="4288"/>
    </row>
    <row r="9475" spans="15:15">
      <c r="O9475" s="4288"/>
    </row>
    <row r="9476" spans="15:15">
      <c r="O9476" s="4288"/>
    </row>
    <row r="9477" spans="15:15">
      <c r="O9477" s="4288"/>
    </row>
    <row r="9478" spans="15:15">
      <c r="O9478" s="4288"/>
    </row>
    <row r="9479" spans="15:15">
      <c r="O9479" s="4288"/>
    </row>
    <row r="9480" spans="15:15">
      <c r="O9480" s="4288"/>
    </row>
    <row r="9481" spans="15:15">
      <c r="O9481" s="4288"/>
    </row>
    <row r="9482" spans="15:15">
      <c r="O9482" s="4288"/>
    </row>
    <row r="9483" spans="15:15">
      <c r="O9483" s="4288"/>
    </row>
    <row r="9484" spans="15:15">
      <c r="O9484" s="4288"/>
    </row>
    <row r="9485" spans="15:15">
      <c r="O9485" s="4288"/>
    </row>
    <row r="9486" spans="15:15">
      <c r="O9486" s="4288"/>
    </row>
    <row r="9487" spans="15:15">
      <c r="O9487" s="4288"/>
    </row>
    <row r="9488" spans="15:15">
      <c r="O9488" s="4288"/>
    </row>
    <row r="9489" spans="15:15">
      <c r="O9489" s="4288"/>
    </row>
    <row r="9490" spans="15:15">
      <c r="O9490" s="4288"/>
    </row>
    <row r="9491" spans="15:15">
      <c r="O9491" s="4288"/>
    </row>
    <row r="9492" spans="15:15">
      <c r="O9492" s="4288"/>
    </row>
    <row r="9493" spans="15:15">
      <c r="O9493" s="4288"/>
    </row>
    <row r="9494" spans="15:15">
      <c r="O9494" s="4288"/>
    </row>
    <row r="9495" spans="15:15">
      <c r="O9495" s="4288"/>
    </row>
    <row r="9496" spans="15:15">
      <c r="O9496" s="4288"/>
    </row>
    <row r="9497" spans="15:15">
      <c r="O9497" s="4288"/>
    </row>
    <row r="9498" spans="15:15">
      <c r="O9498" s="4288"/>
    </row>
    <row r="9499" spans="15:15">
      <c r="O9499" s="4288"/>
    </row>
    <row r="9500" spans="15:15">
      <c r="O9500" s="4288"/>
    </row>
    <row r="9501" spans="15:15">
      <c r="O9501" s="4288"/>
    </row>
    <row r="9502" spans="15:15">
      <c r="O9502" s="4288"/>
    </row>
    <row r="9503" spans="15:15">
      <c r="O9503" s="4288"/>
    </row>
    <row r="9504" spans="15:15">
      <c r="O9504" s="4288"/>
    </row>
    <row r="9505" spans="15:15">
      <c r="O9505" s="4288"/>
    </row>
    <row r="9506" spans="15:15">
      <c r="O9506" s="4288"/>
    </row>
    <row r="9507" spans="15:15">
      <c r="O9507" s="4288"/>
    </row>
    <row r="9508" spans="15:15">
      <c r="O9508" s="4288"/>
    </row>
    <row r="9509" spans="15:15">
      <c r="O9509" s="4288"/>
    </row>
    <row r="9510" spans="15:15">
      <c r="O9510" s="4288"/>
    </row>
    <row r="9511" spans="15:15">
      <c r="O9511" s="4288"/>
    </row>
    <row r="9512" spans="15:15">
      <c r="O9512" s="4288"/>
    </row>
    <row r="9513" spans="15:15">
      <c r="O9513" s="4288"/>
    </row>
    <row r="9514" spans="15:15">
      <c r="O9514" s="4288"/>
    </row>
    <row r="9515" spans="15:15">
      <c r="O9515" s="4288"/>
    </row>
    <row r="9516" spans="15:15">
      <c r="O9516" s="4288"/>
    </row>
    <row r="9517" spans="15:15">
      <c r="O9517" s="4288"/>
    </row>
    <row r="9518" spans="15:15">
      <c r="O9518" s="4288"/>
    </row>
    <row r="9519" spans="15:15">
      <c r="O9519" s="4288"/>
    </row>
    <row r="9520" spans="15:15">
      <c r="O9520" s="4288"/>
    </row>
    <row r="9521" spans="15:15">
      <c r="O9521" s="4288"/>
    </row>
    <row r="9522" spans="15:15">
      <c r="O9522" s="4288"/>
    </row>
    <row r="9523" spans="15:15">
      <c r="O9523" s="4288"/>
    </row>
    <row r="9524" spans="15:15">
      <c r="O9524" s="4288"/>
    </row>
    <row r="9525" spans="15:15">
      <c r="O9525" s="4288"/>
    </row>
    <row r="9526" spans="15:15">
      <c r="O9526" s="4288"/>
    </row>
    <row r="9527" spans="15:15">
      <c r="O9527" s="4288"/>
    </row>
    <row r="9528" spans="15:15">
      <c r="O9528" s="4288"/>
    </row>
    <row r="9529" spans="15:15">
      <c r="O9529" s="4288"/>
    </row>
    <row r="9530" spans="15:15">
      <c r="O9530" s="4288"/>
    </row>
    <row r="9531" spans="15:15">
      <c r="O9531" s="4288"/>
    </row>
    <row r="9532" spans="15:15">
      <c r="O9532" s="4288"/>
    </row>
    <row r="9533" spans="15:15">
      <c r="O9533" s="4288"/>
    </row>
    <row r="9534" spans="15:15">
      <c r="O9534" s="4288"/>
    </row>
    <row r="9535" spans="15:15">
      <c r="O9535" s="4288"/>
    </row>
    <row r="9536" spans="15:15">
      <c r="O9536" s="4288"/>
    </row>
    <row r="9537" spans="15:15">
      <c r="O9537" s="4288"/>
    </row>
    <row r="9538" spans="15:15">
      <c r="O9538" s="4288"/>
    </row>
    <row r="9539" spans="15:15">
      <c r="O9539" s="4288"/>
    </row>
    <row r="9540" spans="15:15">
      <c r="O9540" s="4288"/>
    </row>
    <row r="9541" spans="15:15">
      <c r="O9541" s="4288"/>
    </row>
    <row r="9542" spans="15:15">
      <c r="O9542" s="4288"/>
    </row>
    <row r="9543" spans="15:15">
      <c r="O9543" s="4288"/>
    </row>
    <row r="9544" spans="15:15">
      <c r="O9544" s="4288"/>
    </row>
    <row r="9545" spans="15:15">
      <c r="O9545" s="4288"/>
    </row>
    <row r="9546" spans="15:15">
      <c r="O9546" s="4288"/>
    </row>
    <row r="9547" spans="15:15">
      <c r="O9547" s="4288"/>
    </row>
    <row r="9548" spans="15:15">
      <c r="O9548" s="4288"/>
    </row>
    <row r="9549" spans="15:15">
      <c r="O9549" s="4288"/>
    </row>
    <row r="9550" spans="15:15">
      <c r="O9550" s="4288"/>
    </row>
    <row r="9551" spans="15:15">
      <c r="O9551" s="4288"/>
    </row>
    <row r="9552" spans="15:15">
      <c r="O9552" s="4288"/>
    </row>
    <row r="9553" spans="15:15">
      <c r="O9553" s="4288"/>
    </row>
    <row r="9554" spans="15:15">
      <c r="O9554" s="4288"/>
    </row>
    <row r="9555" spans="15:15">
      <c r="O9555" s="4288"/>
    </row>
    <row r="9556" spans="15:15">
      <c r="O9556" s="4288"/>
    </row>
    <row r="9557" spans="15:15">
      <c r="O9557" s="4288"/>
    </row>
    <row r="9558" spans="15:15">
      <c r="O9558" s="4288"/>
    </row>
    <row r="9559" spans="15:15">
      <c r="O9559" s="4288"/>
    </row>
    <row r="9560" spans="15:15">
      <c r="O9560" s="4288"/>
    </row>
    <row r="9561" spans="15:15">
      <c r="O9561" s="4288"/>
    </row>
    <row r="9562" spans="15:15">
      <c r="O9562" s="4288"/>
    </row>
    <row r="9563" spans="15:15">
      <c r="O9563" s="4288"/>
    </row>
    <row r="9564" spans="15:15">
      <c r="O9564" s="4288"/>
    </row>
    <row r="9565" spans="15:15">
      <c r="O9565" s="4288"/>
    </row>
    <row r="9566" spans="15:15">
      <c r="O9566" s="4288"/>
    </row>
    <row r="9567" spans="15:15">
      <c r="O9567" s="4288"/>
    </row>
    <row r="9568" spans="15:15">
      <c r="O9568" s="4288"/>
    </row>
    <row r="9569" spans="15:15">
      <c r="O9569" s="4288"/>
    </row>
    <row r="9570" spans="15:15">
      <c r="O9570" s="4288"/>
    </row>
    <row r="9571" spans="15:15">
      <c r="O9571" s="4288"/>
    </row>
    <row r="9572" spans="15:15">
      <c r="O9572" s="4288"/>
    </row>
    <row r="9573" spans="15:15">
      <c r="O9573" s="4288"/>
    </row>
    <row r="9574" spans="15:15">
      <c r="O9574" s="4288"/>
    </row>
    <row r="9575" spans="15:15">
      <c r="O9575" s="4288"/>
    </row>
    <row r="9576" spans="15:15">
      <c r="O9576" s="4288"/>
    </row>
    <row r="9577" spans="15:15">
      <c r="O9577" s="4288"/>
    </row>
    <row r="9578" spans="15:15">
      <c r="O9578" s="4288"/>
    </row>
    <row r="9579" spans="15:15">
      <c r="O9579" s="4288"/>
    </row>
    <row r="9580" spans="15:15">
      <c r="O9580" s="4288"/>
    </row>
    <row r="9581" spans="15:15">
      <c r="O9581" s="4288"/>
    </row>
    <row r="9582" spans="15:15">
      <c r="O9582" s="4288"/>
    </row>
    <row r="9583" spans="15:15">
      <c r="O9583" s="4288"/>
    </row>
    <row r="9584" spans="15:15">
      <c r="O9584" s="4288"/>
    </row>
    <row r="9585" spans="15:15">
      <c r="O9585" s="4288"/>
    </row>
    <row r="9586" spans="15:15">
      <c r="O9586" s="4288"/>
    </row>
    <row r="9587" spans="15:15">
      <c r="O9587" s="4288"/>
    </row>
    <row r="9588" spans="15:15">
      <c r="O9588" s="4288"/>
    </row>
    <row r="9589" spans="15:15">
      <c r="O9589" s="4288"/>
    </row>
    <row r="9590" spans="15:15">
      <c r="O9590" s="4288"/>
    </row>
    <row r="9591" spans="15:15">
      <c r="O9591" s="4288"/>
    </row>
    <row r="9592" spans="15:15">
      <c r="O9592" s="4288"/>
    </row>
    <row r="9593" spans="15:15">
      <c r="O9593" s="4288"/>
    </row>
    <row r="9594" spans="15:15">
      <c r="O9594" s="4288"/>
    </row>
    <row r="9595" spans="15:15">
      <c r="O9595" s="4288"/>
    </row>
    <row r="9596" spans="15:15">
      <c r="O9596" s="4288"/>
    </row>
    <row r="9597" spans="15:15">
      <c r="O9597" s="4288"/>
    </row>
    <row r="9598" spans="15:15">
      <c r="O9598" s="4288"/>
    </row>
    <row r="9599" spans="15:15">
      <c r="O9599" s="4288"/>
    </row>
    <row r="9600" spans="15:15">
      <c r="O9600" s="4288"/>
    </row>
    <row r="9601" spans="15:15">
      <c r="O9601" s="4288"/>
    </row>
    <row r="9602" spans="15:15">
      <c r="O9602" s="4288"/>
    </row>
    <row r="9603" spans="15:15">
      <c r="O9603" s="4288"/>
    </row>
    <row r="9604" spans="15:15">
      <c r="O9604" s="4288"/>
    </row>
    <row r="9605" spans="15:15">
      <c r="O9605" s="4288"/>
    </row>
    <row r="9606" spans="15:15">
      <c r="O9606" s="4288"/>
    </row>
    <row r="9607" spans="15:15">
      <c r="O9607" s="4288"/>
    </row>
    <row r="9608" spans="15:15">
      <c r="O9608" s="4288"/>
    </row>
    <row r="9609" spans="15:15">
      <c r="O9609" s="4288"/>
    </row>
    <row r="9610" spans="15:15">
      <c r="O9610" s="4288"/>
    </row>
    <row r="9611" spans="15:15">
      <c r="O9611" s="4288"/>
    </row>
    <row r="9612" spans="15:15">
      <c r="O9612" s="4288"/>
    </row>
    <row r="9613" spans="15:15">
      <c r="O9613" s="4288"/>
    </row>
    <row r="9614" spans="15:15">
      <c r="O9614" s="4288"/>
    </row>
    <row r="9615" spans="15:15">
      <c r="O9615" s="4288"/>
    </row>
    <row r="9616" spans="15:15">
      <c r="O9616" s="4288"/>
    </row>
    <row r="9617" spans="15:15">
      <c r="O9617" s="4288"/>
    </row>
    <row r="9618" spans="15:15">
      <c r="O9618" s="4288"/>
    </row>
    <row r="9619" spans="15:15">
      <c r="O9619" s="4288"/>
    </row>
    <row r="9620" spans="15:15">
      <c r="O9620" s="4288"/>
    </row>
    <row r="9621" spans="15:15">
      <c r="O9621" s="4288"/>
    </row>
    <row r="9622" spans="15:15">
      <c r="O9622" s="4288"/>
    </row>
    <row r="9623" spans="15:15">
      <c r="O9623" s="4288"/>
    </row>
    <row r="9624" spans="15:15">
      <c r="O9624" s="4288"/>
    </row>
    <row r="9625" spans="15:15">
      <c r="O9625" s="4288"/>
    </row>
    <row r="9626" spans="15:15">
      <c r="O9626" s="4288"/>
    </row>
    <row r="9627" spans="15:15">
      <c r="O9627" s="4288"/>
    </row>
    <row r="9628" spans="15:15">
      <c r="O9628" s="4288"/>
    </row>
    <row r="9629" spans="15:15">
      <c r="O9629" s="4288"/>
    </row>
    <row r="9630" spans="15:15">
      <c r="O9630" s="4288"/>
    </row>
    <row r="9631" spans="15:15">
      <c r="O9631" s="4288"/>
    </row>
    <row r="9632" spans="15:15">
      <c r="O9632" s="4288"/>
    </row>
    <row r="9633" spans="15:15">
      <c r="O9633" s="4288"/>
    </row>
    <row r="9634" spans="15:15">
      <c r="O9634" s="4288"/>
    </row>
    <row r="9635" spans="15:15">
      <c r="O9635" s="4288"/>
    </row>
    <row r="9636" spans="15:15">
      <c r="O9636" s="4288"/>
    </row>
    <row r="9637" spans="15:15">
      <c r="O9637" s="4288"/>
    </row>
    <row r="9638" spans="15:15">
      <c r="O9638" s="4288"/>
    </row>
    <row r="9639" spans="15:15">
      <c r="O9639" s="4288"/>
    </row>
    <row r="9640" spans="15:15">
      <c r="O9640" s="4288"/>
    </row>
    <row r="9641" spans="15:15">
      <c r="O9641" s="4288"/>
    </row>
    <row r="9642" spans="15:15">
      <c r="O9642" s="4288"/>
    </row>
    <row r="9643" spans="15:15">
      <c r="O9643" s="4288"/>
    </row>
    <row r="9644" spans="15:15">
      <c r="O9644" s="4288"/>
    </row>
    <row r="9645" spans="15:15">
      <c r="O9645" s="4288"/>
    </row>
    <row r="9646" spans="15:15">
      <c r="O9646" s="4288"/>
    </row>
    <row r="9647" spans="15:15">
      <c r="O9647" s="4288"/>
    </row>
    <row r="9648" spans="15:15">
      <c r="O9648" s="4288"/>
    </row>
    <row r="9649" spans="15:15">
      <c r="O9649" s="4288"/>
    </row>
    <row r="9650" spans="15:15">
      <c r="O9650" s="4288"/>
    </row>
    <row r="9651" spans="15:15">
      <c r="O9651" s="4288"/>
    </row>
    <row r="9652" spans="15:15">
      <c r="O9652" s="4288"/>
    </row>
    <row r="9653" spans="15:15">
      <c r="O9653" s="4288"/>
    </row>
    <row r="9654" spans="15:15">
      <c r="O9654" s="4288"/>
    </row>
    <row r="9655" spans="15:15">
      <c r="O9655" s="4288"/>
    </row>
    <row r="9656" spans="15:15">
      <c r="O9656" s="4288"/>
    </row>
    <row r="9657" spans="15:15">
      <c r="O9657" s="4288"/>
    </row>
    <row r="9658" spans="15:15">
      <c r="O9658" s="4288"/>
    </row>
    <row r="9659" spans="15:15">
      <c r="O9659" s="4288"/>
    </row>
    <row r="9660" spans="15:15">
      <c r="O9660" s="4288"/>
    </row>
    <row r="9661" spans="15:15">
      <c r="O9661" s="4288"/>
    </row>
    <row r="9662" spans="15:15">
      <c r="O9662" s="4288"/>
    </row>
    <row r="9663" spans="15:15">
      <c r="O9663" s="4288"/>
    </row>
    <row r="9664" spans="15:15">
      <c r="O9664" s="4288"/>
    </row>
    <row r="9665" spans="15:15">
      <c r="O9665" s="4288"/>
    </row>
    <row r="9666" spans="15:15">
      <c r="O9666" s="4288"/>
    </row>
    <row r="9667" spans="15:15">
      <c r="O9667" s="4288"/>
    </row>
    <row r="9668" spans="15:15">
      <c r="O9668" s="4288"/>
    </row>
    <row r="9669" spans="15:15">
      <c r="O9669" s="4288"/>
    </row>
    <row r="9670" spans="15:15">
      <c r="O9670" s="4288"/>
    </row>
    <row r="9671" spans="15:15">
      <c r="O9671" s="4288"/>
    </row>
    <row r="9672" spans="15:15">
      <c r="O9672" s="4288"/>
    </row>
    <row r="9673" spans="15:15">
      <c r="O9673" s="4288"/>
    </row>
    <row r="9674" spans="15:15">
      <c r="O9674" s="4288"/>
    </row>
    <row r="9675" spans="15:15">
      <c r="O9675" s="4288"/>
    </row>
    <row r="9676" spans="15:15">
      <c r="O9676" s="4288"/>
    </row>
    <row r="9677" spans="15:15">
      <c r="O9677" s="4288"/>
    </row>
    <row r="9678" spans="15:15">
      <c r="O9678" s="4288"/>
    </row>
    <row r="9679" spans="15:15">
      <c r="O9679" s="4288"/>
    </row>
    <row r="9680" spans="15:15">
      <c r="O9680" s="4288"/>
    </row>
    <row r="9681" spans="15:15">
      <c r="O9681" s="4288"/>
    </row>
    <row r="9682" spans="15:15">
      <c r="O9682" s="4288"/>
    </row>
    <row r="9683" spans="15:15">
      <c r="O9683" s="4288"/>
    </row>
    <row r="9684" spans="15:15">
      <c r="O9684" s="4288"/>
    </row>
    <row r="9685" spans="15:15">
      <c r="O9685" s="4288"/>
    </row>
    <row r="9686" spans="15:15">
      <c r="O9686" s="4288"/>
    </row>
    <row r="9687" spans="15:15">
      <c r="O9687" s="4288"/>
    </row>
    <row r="9688" spans="15:15">
      <c r="O9688" s="4288"/>
    </row>
    <row r="9689" spans="15:15">
      <c r="O9689" s="4288"/>
    </row>
    <row r="9690" spans="15:15">
      <c r="O9690" s="4288"/>
    </row>
    <row r="9691" spans="15:15">
      <c r="O9691" s="4288"/>
    </row>
    <row r="9692" spans="15:15">
      <c r="O9692" s="4288"/>
    </row>
    <row r="9693" spans="15:15">
      <c r="O9693" s="4288"/>
    </row>
    <row r="9694" spans="15:15">
      <c r="O9694" s="4288"/>
    </row>
    <row r="9695" spans="15:15">
      <c r="O9695" s="4288"/>
    </row>
    <row r="9696" spans="15:15">
      <c r="O9696" s="4288"/>
    </row>
    <row r="9697" spans="15:15">
      <c r="O9697" s="4288"/>
    </row>
    <row r="9698" spans="15:15">
      <c r="O9698" s="4288"/>
    </row>
    <row r="9699" spans="15:15">
      <c r="O9699" s="4288"/>
    </row>
    <row r="9700" spans="15:15">
      <c r="O9700" s="4288"/>
    </row>
    <row r="9701" spans="15:15">
      <c r="O9701" s="4288"/>
    </row>
    <row r="9702" spans="15:15">
      <c r="O9702" s="4288"/>
    </row>
    <row r="9703" spans="15:15">
      <c r="O9703" s="4288"/>
    </row>
    <row r="9704" spans="15:15">
      <c r="O9704" s="4288"/>
    </row>
    <row r="9705" spans="15:15">
      <c r="O9705" s="4288"/>
    </row>
    <row r="9706" spans="15:15">
      <c r="O9706" s="4288"/>
    </row>
    <row r="9707" spans="15:15">
      <c r="O9707" s="4288"/>
    </row>
    <row r="9708" spans="15:15">
      <c r="O9708" s="4288"/>
    </row>
    <row r="9709" spans="15:15">
      <c r="O9709" s="4288"/>
    </row>
    <row r="9710" spans="15:15">
      <c r="O9710" s="4288"/>
    </row>
    <row r="9711" spans="15:15">
      <c r="O9711" s="4288"/>
    </row>
    <row r="9712" spans="15:15">
      <c r="O9712" s="4288"/>
    </row>
    <row r="9713" spans="15:15">
      <c r="O9713" s="4288"/>
    </row>
    <row r="9714" spans="15:15">
      <c r="O9714" s="4288"/>
    </row>
    <row r="9715" spans="15:15">
      <c r="O9715" s="4288"/>
    </row>
    <row r="9716" spans="15:15">
      <c r="O9716" s="4288"/>
    </row>
    <row r="9717" spans="15:15">
      <c r="O9717" s="4288"/>
    </row>
    <row r="9718" spans="15:15">
      <c r="O9718" s="4288"/>
    </row>
    <row r="9719" spans="15:15">
      <c r="O9719" s="4288"/>
    </row>
    <row r="9720" spans="15:15">
      <c r="O9720" s="4288"/>
    </row>
    <row r="9721" spans="15:15">
      <c r="O9721" s="4288"/>
    </row>
    <row r="9722" spans="15:15">
      <c r="O9722" s="4288"/>
    </row>
    <row r="9723" spans="15:15">
      <c r="O9723" s="4288"/>
    </row>
    <row r="9724" spans="15:15">
      <c r="O9724" s="4288"/>
    </row>
    <row r="9725" spans="15:15">
      <c r="O9725" s="4288"/>
    </row>
    <row r="9726" spans="15:15">
      <c r="O9726" s="4288"/>
    </row>
    <row r="9727" spans="15:15">
      <c r="O9727" s="4288"/>
    </row>
    <row r="9728" spans="15:15">
      <c r="O9728" s="4288"/>
    </row>
    <row r="9729" spans="15:15">
      <c r="O9729" s="4288"/>
    </row>
    <row r="9730" spans="15:15">
      <c r="O9730" s="4288"/>
    </row>
    <row r="9731" spans="15:15">
      <c r="O9731" s="4288"/>
    </row>
    <row r="9732" spans="15:15">
      <c r="O9732" s="4288"/>
    </row>
    <row r="9733" spans="15:15">
      <c r="O9733" s="4288"/>
    </row>
    <row r="9734" spans="15:15">
      <c r="O9734" s="4288"/>
    </row>
    <row r="9735" spans="15:15">
      <c r="O9735" s="4288"/>
    </row>
    <row r="9736" spans="15:15">
      <c r="O9736" s="4288"/>
    </row>
    <row r="9737" spans="15:15">
      <c r="O9737" s="4288"/>
    </row>
    <row r="9738" spans="15:15">
      <c r="O9738" s="4288"/>
    </row>
    <row r="9739" spans="15:15">
      <c r="O9739" s="4288"/>
    </row>
    <row r="9740" spans="15:15">
      <c r="O9740" s="4288"/>
    </row>
    <row r="9741" spans="15:15">
      <c r="O9741" s="4288"/>
    </row>
    <row r="9742" spans="15:15">
      <c r="O9742" s="4288"/>
    </row>
    <row r="9743" spans="15:15">
      <c r="O9743" s="4288"/>
    </row>
    <row r="9744" spans="15:15">
      <c r="O9744" s="4288"/>
    </row>
    <row r="9745" spans="15:15">
      <c r="O9745" s="4288"/>
    </row>
    <row r="9746" spans="15:15">
      <c r="O9746" s="4288"/>
    </row>
    <row r="9747" spans="15:15">
      <c r="O9747" s="4288"/>
    </row>
    <row r="9748" spans="15:15">
      <c r="O9748" s="4288"/>
    </row>
    <row r="9749" spans="15:15">
      <c r="O9749" s="4288"/>
    </row>
    <row r="9750" spans="15:15">
      <c r="O9750" s="4288"/>
    </row>
    <row r="9751" spans="15:15">
      <c r="O9751" s="4288"/>
    </row>
    <row r="9752" spans="15:15">
      <c r="O9752" s="4288"/>
    </row>
    <row r="9753" spans="15:15">
      <c r="O9753" s="4288"/>
    </row>
    <row r="9754" spans="15:15">
      <c r="O9754" s="4288"/>
    </row>
    <row r="9755" spans="15:15">
      <c r="O9755" s="4288"/>
    </row>
    <row r="9756" spans="15:15">
      <c r="O9756" s="4288"/>
    </row>
    <row r="9757" spans="15:15">
      <c r="O9757" s="4288"/>
    </row>
    <row r="9758" spans="15:15">
      <c r="O9758" s="4288"/>
    </row>
    <row r="9759" spans="15:15">
      <c r="O9759" s="4288"/>
    </row>
    <row r="9760" spans="15:15">
      <c r="O9760" s="4288"/>
    </row>
    <row r="9761" spans="15:15">
      <c r="O9761" s="4288"/>
    </row>
    <row r="9762" spans="15:15">
      <c r="O9762" s="4288"/>
    </row>
    <row r="9763" spans="15:15">
      <c r="O9763" s="4288"/>
    </row>
    <row r="9764" spans="15:15">
      <c r="O9764" s="4288"/>
    </row>
    <row r="9765" spans="15:15">
      <c r="O9765" s="4288"/>
    </row>
    <row r="9766" spans="15:15">
      <c r="O9766" s="4288"/>
    </row>
    <row r="9767" spans="15:15">
      <c r="O9767" s="4288"/>
    </row>
    <row r="9768" spans="15:15">
      <c r="O9768" s="4288"/>
    </row>
    <row r="9769" spans="15:15">
      <c r="O9769" s="4288"/>
    </row>
    <row r="9770" spans="15:15">
      <c r="O9770" s="4288"/>
    </row>
    <row r="9771" spans="15:15">
      <c r="O9771" s="4288"/>
    </row>
    <row r="9772" spans="15:15">
      <c r="O9772" s="4288"/>
    </row>
    <row r="9773" spans="15:15">
      <c r="O9773" s="4288"/>
    </row>
    <row r="9774" spans="15:15">
      <c r="O9774" s="4288"/>
    </row>
    <row r="9775" spans="15:15">
      <c r="O9775" s="4288"/>
    </row>
    <row r="9776" spans="15:15">
      <c r="O9776" s="4288"/>
    </row>
    <row r="9777" spans="15:15">
      <c r="O9777" s="4288"/>
    </row>
    <row r="9778" spans="15:15">
      <c r="O9778" s="4288"/>
    </row>
    <row r="9779" spans="15:15">
      <c r="O9779" s="4288"/>
    </row>
    <row r="9780" spans="15:15">
      <c r="O9780" s="4288"/>
    </row>
    <row r="9781" spans="15:15">
      <c r="O9781" s="4288"/>
    </row>
    <row r="9782" spans="15:15">
      <c r="O9782" s="4288"/>
    </row>
    <row r="9783" spans="15:15">
      <c r="O9783" s="4288"/>
    </row>
    <row r="9784" spans="15:15">
      <c r="O9784" s="4288"/>
    </row>
    <row r="9785" spans="15:15">
      <c r="O9785" s="4288"/>
    </row>
    <row r="9786" spans="15:15">
      <c r="O9786" s="4288"/>
    </row>
    <row r="9787" spans="15:15">
      <c r="O9787" s="4288"/>
    </row>
    <row r="9788" spans="15:15">
      <c r="O9788" s="4288"/>
    </row>
    <row r="9789" spans="15:15">
      <c r="O9789" s="4288"/>
    </row>
    <row r="9790" spans="15:15">
      <c r="O9790" s="4288"/>
    </row>
    <row r="9791" spans="15:15">
      <c r="O9791" s="4288"/>
    </row>
    <row r="9792" spans="15:15">
      <c r="O9792" s="4288"/>
    </row>
    <row r="9793" spans="15:15">
      <c r="O9793" s="4288"/>
    </row>
    <row r="9794" spans="15:15">
      <c r="O9794" s="4288"/>
    </row>
    <row r="9795" spans="15:15">
      <c r="O9795" s="4288"/>
    </row>
    <row r="9796" spans="15:15">
      <c r="O9796" s="4288"/>
    </row>
    <row r="9797" spans="15:15">
      <c r="O9797" s="4288"/>
    </row>
    <row r="9798" spans="15:15">
      <c r="O9798" s="4288"/>
    </row>
    <row r="9799" spans="15:15">
      <c r="O9799" s="4288"/>
    </row>
    <row r="9800" spans="15:15">
      <c r="O9800" s="4288"/>
    </row>
    <row r="9801" spans="15:15">
      <c r="O9801" s="4288"/>
    </row>
    <row r="9802" spans="15:15">
      <c r="O9802" s="4288"/>
    </row>
    <row r="9803" spans="15:15">
      <c r="O9803" s="4288"/>
    </row>
    <row r="9804" spans="15:15">
      <c r="O9804" s="4288"/>
    </row>
    <row r="9805" spans="15:15">
      <c r="O9805" s="4288"/>
    </row>
    <row r="9806" spans="15:15">
      <c r="O9806" s="4288"/>
    </row>
    <row r="9807" spans="15:15">
      <c r="O9807" s="4288"/>
    </row>
    <row r="9808" spans="15:15">
      <c r="O9808" s="4288"/>
    </row>
    <row r="9809" spans="15:15">
      <c r="O9809" s="4288"/>
    </row>
    <row r="9810" spans="15:15">
      <c r="O9810" s="4288"/>
    </row>
    <row r="9811" spans="15:15">
      <c r="O9811" s="4288"/>
    </row>
    <row r="9812" spans="15:15">
      <c r="O9812" s="4288"/>
    </row>
    <row r="9813" spans="15:15">
      <c r="O9813" s="4288"/>
    </row>
    <row r="9814" spans="15:15">
      <c r="O9814" s="4288"/>
    </row>
    <row r="9815" spans="15:15">
      <c r="O9815" s="4288"/>
    </row>
    <row r="9816" spans="15:15">
      <c r="O9816" s="4288"/>
    </row>
    <row r="9817" spans="15:15">
      <c r="O9817" s="4288"/>
    </row>
    <row r="9818" spans="15:15">
      <c r="O9818" s="4288"/>
    </row>
    <row r="9819" spans="15:15">
      <c r="O9819" s="4288"/>
    </row>
    <row r="9820" spans="15:15">
      <c r="O9820" s="4288"/>
    </row>
    <row r="9821" spans="15:15">
      <c r="O9821" s="4288"/>
    </row>
    <row r="9822" spans="15:15">
      <c r="O9822" s="4288"/>
    </row>
    <row r="9823" spans="15:15">
      <c r="O9823" s="4288"/>
    </row>
    <row r="9824" spans="15:15">
      <c r="O9824" s="4288"/>
    </row>
    <row r="9825" spans="15:15">
      <c r="O9825" s="4288"/>
    </row>
    <row r="9826" spans="15:15">
      <c r="O9826" s="4288"/>
    </row>
    <row r="9827" spans="15:15">
      <c r="O9827" s="4288"/>
    </row>
    <row r="9828" spans="15:15">
      <c r="O9828" s="4288"/>
    </row>
    <row r="9829" spans="15:15">
      <c r="O9829" s="4288"/>
    </row>
    <row r="9830" spans="15:15">
      <c r="O9830" s="4288"/>
    </row>
    <row r="9831" spans="15:15">
      <c r="O9831" s="4288"/>
    </row>
    <row r="9832" spans="15:15">
      <c r="O9832" s="4288"/>
    </row>
    <row r="9833" spans="15:15">
      <c r="O9833" s="4288"/>
    </row>
    <row r="9834" spans="15:15">
      <c r="O9834" s="4288"/>
    </row>
    <row r="9835" spans="15:15">
      <c r="O9835" s="4288"/>
    </row>
    <row r="9836" spans="15:15">
      <c r="O9836" s="4288"/>
    </row>
    <row r="9837" spans="15:15">
      <c r="O9837" s="4288"/>
    </row>
    <row r="9838" spans="15:15">
      <c r="O9838" s="4288"/>
    </row>
    <row r="9839" spans="15:15">
      <c r="O9839" s="4288"/>
    </row>
    <row r="9840" spans="15:15">
      <c r="O9840" s="4288"/>
    </row>
    <row r="9841" spans="15:15">
      <c r="O9841" s="4288"/>
    </row>
    <row r="9842" spans="15:15">
      <c r="O9842" s="4288"/>
    </row>
    <row r="9843" spans="15:15">
      <c r="O9843" s="4288"/>
    </row>
    <row r="9844" spans="15:15">
      <c r="O9844" s="4288"/>
    </row>
    <row r="9845" spans="15:15">
      <c r="O9845" s="4288"/>
    </row>
    <row r="9846" spans="15:15">
      <c r="O9846" s="4288"/>
    </row>
    <row r="9847" spans="15:15">
      <c r="O9847" s="4288"/>
    </row>
    <row r="9848" spans="15:15">
      <c r="O9848" s="4288"/>
    </row>
    <row r="9849" spans="15:15">
      <c r="O9849" s="4288"/>
    </row>
    <row r="9850" spans="15:15">
      <c r="O9850" s="4288"/>
    </row>
    <row r="9851" spans="15:15">
      <c r="O9851" s="4288"/>
    </row>
    <row r="9852" spans="15:15">
      <c r="O9852" s="4288"/>
    </row>
    <row r="9853" spans="15:15">
      <c r="O9853" s="4288"/>
    </row>
    <row r="9854" spans="15:15">
      <c r="O9854" s="4288"/>
    </row>
    <row r="9855" spans="15:15">
      <c r="O9855" s="4288"/>
    </row>
    <row r="9856" spans="15:15">
      <c r="O9856" s="4288"/>
    </row>
    <row r="9857" spans="15:15">
      <c r="O9857" s="4288"/>
    </row>
    <row r="9858" spans="15:15">
      <c r="O9858" s="4288"/>
    </row>
    <row r="9859" spans="15:15">
      <c r="O9859" s="4288"/>
    </row>
    <row r="9860" spans="15:15">
      <c r="O9860" s="4288"/>
    </row>
    <row r="9861" spans="15:15">
      <c r="O9861" s="4288"/>
    </row>
    <row r="9862" spans="15:15">
      <c r="O9862" s="4288"/>
    </row>
    <row r="9863" spans="15:15">
      <c r="O9863" s="4288"/>
    </row>
    <row r="9864" spans="15:15">
      <c r="O9864" s="4288"/>
    </row>
    <row r="9865" spans="15:15">
      <c r="O9865" s="4288"/>
    </row>
    <row r="9866" spans="15:15">
      <c r="O9866" s="4288"/>
    </row>
    <row r="9867" spans="15:15">
      <c r="O9867" s="4288"/>
    </row>
    <row r="9868" spans="15:15">
      <c r="O9868" s="4288"/>
    </row>
    <row r="9869" spans="15:15">
      <c r="O9869" s="4288"/>
    </row>
    <row r="9870" spans="15:15">
      <c r="O9870" s="4288"/>
    </row>
    <row r="9871" spans="15:15">
      <c r="O9871" s="4288"/>
    </row>
    <row r="9872" spans="15:15">
      <c r="O9872" s="4288"/>
    </row>
    <row r="9873" spans="15:15">
      <c r="O9873" s="4288"/>
    </row>
    <row r="9874" spans="15:15">
      <c r="O9874" s="4288"/>
    </row>
    <row r="9875" spans="15:15">
      <c r="O9875" s="4288"/>
    </row>
    <row r="9876" spans="15:15">
      <c r="O9876" s="4288"/>
    </row>
    <row r="9877" spans="15:15">
      <c r="O9877" s="4288"/>
    </row>
    <row r="9878" spans="15:15">
      <c r="O9878" s="4288"/>
    </row>
    <row r="9879" spans="15:15">
      <c r="O9879" s="4288"/>
    </row>
    <row r="9880" spans="15:15">
      <c r="O9880" s="4288"/>
    </row>
    <row r="9881" spans="15:15">
      <c r="O9881" s="4288"/>
    </row>
    <row r="9882" spans="15:15">
      <c r="O9882" s="4288"/>
    </row>
    <row r="9883" spans="15:15">
      <c r="O9883" s="4288"/>
    </row>
    <row r="9884" spans="15:15">
      <c r="O9884" s="4288"/>
    </row>
    <row r="9885" spans="15:15">
      <c r="O9885" s="4288"/>
    </row>
    <row r="9886" spans="15:15">
      <c r="O9886" s="4288"/>
    </row>
    <row r="9887" spans="15:15">
      <c r="O9887" s="4288"/>
    </row>
    <row r="9888" spans="15:15">
      <c r="O9888" s="4288"/>
    </row>
    <row r="9889" spans="15:15">
      <c r="O9889" s="4288"/>
    </row>
    <row r="9890" spans="15:15">
      <c r="O9890" s="4288"/>
    </row>
    <row r="9891" spans="15:15">
      <c r="O9891" s="4288"/>
    </row>
    <row r="9892" spans="15:15">
      <c r="O9892" s="4288"/>
    </row>
    <row r="9893" spans="15:15">
      <c r="O9893" s="4288"/>
    </row>
    <row r="9894" spans="15:15">
      <c r="O9894" s="4288"/>
    </row>
    <row r="9895" spans="15:15">
      <c r="O9895" s="4288"/>
    </row>
    <row r="9896" spans="15:15">
      <c r="O9896" s="4288"/>
    </row>
    <row r="9897" spans="15:15">
      <c r="O9897" s="4288"/>
    </row>
    <row r="9898" spans="15:15">
      <c r="O9898" s="4288"/>
    </row>
    <row r="9899" spans="15:15">
      <c r="O9899" s="4288"/>
    </row>
    <row r="9900" spans="15:15">
      <c r="O9900" s="4288"/>
    </row>
    <row r="9901" spans="15:15">
      <c r="O9901" s="4288"/>
    </row>
    <row r="9902" spans="15:15">
      <c r="O9902" s="4288"/>
    </row>
    <row r="9903" spans="15:15">
      <c r="O9903" s="4288"/>
    </row>
    <row r="9904" spans="15:15">
      <c r="O9904" s="4288"/>
    </row>
    <row r="9905" spans="15:15">
      <c r="O9905" s="4288"/>
    </row>
    <row r="9906" spans="15:15">
      <c r="O9906" s="4288"/>
    </row>
    <row r="9907" spans="15:15">
      <c r="O9907" s="4288"/>
    </row>
    <row r="9908" spans="15:15">
      <c r="O9908" s="4288"/>
    </row>
    <row r="9909" spans="15:15">
      <c r="O9909" s="4288"/>
    </row>
    <row r="9910" spans="15:15">
      <c r="O9910" s="4288"/>
    </row>
    <row r="9911" spans="15:15">
      <c r="O9911" s="4288"/>
    </row>
    <row r="9912" spans="15:15">
      <c r="O9912" s="4288"/>
    </row>
    <row r="9913" spans="15:15">
      <c r="O9913" s="4288"/>
    </row>
    <row r="9914" spans="15:15">
      <c r="O9914" s="4288"/>
    </row>
    <row r="9915" spans="15:15">
      <c r="O9915" s="4288"/>
    </row>
    <row r="9916" spans="15:15">
      <c r="O9916" s="4288"/>
    </row>
    <row r="9917" spans="15:15">
      <c r="O9917" s="4288"/>
    </row>
    <row r="9918" spans="15:15">
      <c r="O9918" s="4288"/>
    </row>
    <row r="9919" spans="15:15">
      <c r="O9919" s="4288"/>
    </row>
    <row r="9920" spans="15:15">
      <c r="O9920" s="4288"/>
    </row>
    <row r="9921" spans="15:15">
      <c r="O9921" s="4288"/>
    </row>
    <row r="9922" spans="15:15">
      <c r="O9922" s="4288"/>
    </row>
    <row r="9923" spans="15:15">
      <c r="O9923" s="4288"/>
    </row>
    <row r="9924" spans="15:15">
      <c r="O9924" s="4288"/>
    </row>
    <row r="9925" spans="15:15">
      <c r="O9925" s="4288"/>
    </row>
    <row r="9926" spans="15:15">
      <c r="O9926" s="4288"/>
    </row>
    <row r="9927" spans="15:15">
      <c r="O9927" s="4288"/>
    </row>
    <row r="9928" spans="15:15">
      <c r="O9928" s="4288"/>
    </row>
    <row r="9929" spans="15:15">
      <c r="O9929" s="4288"/>
    </row>
    <row r="9930" spans="15:15">
      <c r="O9930" s="4288"/>
    </row>
    <row r="9931" spans="15:15">
      <c r="O9931" s="4288"/>
    </row>
    <row r="9932" spans="15:15">
      <c r="O9932" s="4288"/>
    </row>
    <row r="9933" spans="15:15">
      <c r="O9933" s="4288"/>
    </row>
    <row r="9934" spans="15:15">
      <c r="O9934" s="4288"/>
    </row>
    <row r="9935" spans="15:15">
      <c r="O9935" s="4288"/>
    </row>
    <row r="9936" spans="15:15">
      <c r="O9936" s="4288"/>
    </row>
    <row r="9937" spans="15:15">
      <c r="O9937" s="4288"/>
    </row>
    <row r="9938" spans="15:15">
      <c r="O9938" s="4288"/>
    </row>
    <row r="9939" spans="15:15">
      <c r="O9939" s="4288"/>
    </row>
    <row r="9940" spans="15:15">
      <c r="O9940" s="4288"/>
    </row>
    <row r="9941" spans="15:15">
      <c r="O9941" s="4288"/>
    </row>
    <row r="9942" spans="15:15">
      <c r="O9942" s="4288"/>
    </row>
    <row r="9943" spans="15:15">
      <c r="O9943" s="4288"/>
    </row>
    <row r="9944" spans="15:15">
      <c r="O9944" s="4288"/>
    </row>
    <row r="9945" spans="15:15">
      <c r="O9945" s="4288"/>
    </row>
    <row r="9946" spans="15:15">
      <c r="O9946" s="4288"/>
    </row>
    <row r="9947" spans="15:15">
      <c r="O9947" s="4288"/>
    </row>
    <row r="9948" spans="15:15">
      <c r="O9948" s="4288"/>
    </row>
    <row r="9949" spans="15:15">
      <c r="O9949" s="4288"/>
    </row>
    <row r="9950" spans="15:15">
      <c r="O9950" s="4288"/>
    </row>
    <row r="9951" spans="15:15">
      <c r="O9951" s="4288"/>
    </row>
    <row r="9952" spans="15:15">
      <c r="O9952" s="4288"/>
    </row>
    <row r="9953" spans="15:15">
      <c r="O9953" s="4288"/>
    </row>
    <row r="9954" spans="15:15">
      <c r="O9954" s="4288"/>
    </row>
    <row r="9955" spans="15:15">
      <c r="O9955" s="4288"/>
    </row>
    <row r="9956" spans="15:15">
      <c r="O9956" s="4288"/>
    </row>
    <row r="9957" spans="15:15">
      <c r="O9957" s="4288"/>
    </row>
    <row r="9958" spans="15:15">
      <c r="O9958" s="4288"/>
    </row>
    <row r="9959" spans="15:15">
      <c r="O9959" s="4288"/>
    </row>
    <row r="9960" spans="15:15">
      <c r="O9960" s="4288"/>
    </row>
    <row r="9961" spans="15:15">
      <c r="O9961" s="4288"/>
    </row>
    <row r="9962" spans="15:15">
      <c r="O9962" s="4288"/>
    </row>
    <row r="9963" spans="15:15">
      <c r="O9963" s="4288"/>
    </row>
    <row r="9964" spans="15:15">
      <c r="O9964" s="4288"/>
    </row>
    <row r="9965" spans="15:15">
      <c r="O9965" s="4288"/>
    </row>
    <row r="9966" spans="15:15">
      <c r="O9966" s="4288"/>
    </row>
    <row r="9967" spans="15:15">
      <c r="O9967" s="4288"/>
    </row>
    <row r="9968" spans="15:15">
      <c r="O9968" s="4288"/>
    </row>
    <row r="9969" spans="15:15">
      <c r="O9969" s="4288"/>
    </row>
    <row r="9970" spans="15:15">
      <c r="O9970" s="4288"/>
    </row>
    <row r="9971" spans="15:15">
      <c r="O9971" s="4288"/>
    </row>
    <row r="9972" spans="15:15">
      <c r="O9972" s="4288"/>
    </row>
    <row r="9973" spans="15:15">
      <c r="O9973" s="4288"/>
    </row>
    <row r="9974" spans="15:15">
      <c r="O9974" s="4288"/>
    </row>
    <row r="9975" spans="15:15">
      <c r="O9975" s="4288"/>
    </row>
    <row r="9976" spans="15:15">
      <c r="O9976" s="4288"/>
    </row>
    <row r="9977" spans="15:15">
      <c r="O9977" s="4288"/>
    </row>
    <row r="9978" spans="15:15">
      <c r="O9978" s="4288"/>
    </row>
    <row r="9979" spans="15:15">
      <c r="O9979" s="4288"/>
    </row>
    <row r="9980" spans="15:15">
      <c r="O9980" s="4288"/>
    </row>
    <row r="9981" spans="15:15">
      <c r="O9981" s="4288"/>
    </row>
    <row r="9982" spans="15:15">
      <c r="O9982" s="4288"/>
    </row>
    <row r="9983" spans="15:15">
      <c r="O9983" s="4288"/>
    </row>
    <row r="9984" spans="15:15">
      <c r="O9984" s="4288"/>
    </row>
    <row r="9985" spans="15:15">
      <c r="O9985" s="4288"/>
    </row>
    <row r="9986" spans="15:15">
      <c r="O9986" s="4288"/>
    </row>
    <row r="9987" spans="15:15">
      <c r="O9987" s="4288"/>
    </row>
    <row r="9988" spans="15:15">
      <c r="O9988" s="4288"/>
    </row>
    <row r="9989" spans="15:15">
      <c r="O9989" s="4288"/>
    </row>
    <row r="9990" spans="15:15">
      <c r="O9990" s="4288"/>
    </row>
    <row r="9991" spans="15:15">
      <c r="O9991" s="4288"/>
    </row>
    <row r="9992" spans="15:15">
      <c r="O9992" s="4288"/>
    </row>
    <row r="9993" spans="15:15">
      <c r="O9993" s="4288"/>
    </row>
    <row r="9994" spans="15:15">
      <c r="O9994" s="4288"/>
    </row>
    <row r="9995" spans="15:15">
      <c r="O9995" s="4288"/>
    </row>
    <row r="9996" spans="15:15">
      <c r="O9996" s="4288"/>
    </row>
    <row r="9997" spans="15:15">
      <c r="O9997" s="4288"/>
    </row>
    <row r="9998" spans="15:15">
      <c r="O9998" s="4288"/>
    </row>
    <row r="9999" spans="15:15">
      <c r="O9999" s="4288"/>
    </row>
    <row r="10000" spans="15:15">
      <c r="O10000" s="4288"/>
    </row>
    <row r="10001" spans="15:15">
      <c r="O10001" s="4288"/>
    </row>
    <row r="10002" spans="15:15">
      <c r="O10002" s="4288"/>
    </row>
    <row r="10003" spans="15:15">
      <c r="O10003" s="4288"/>
    </row>
    <row r="10004" spans="15:15">
      <c r="O10004" s="4288"/>
    </row>
    <row r="10005" spans="15:15">
      <c r="O10005" s="4288"/>
    </row>
    <row r="10006" spans="15:15">
      <c r="O10006" s="4288"/>
    </row>
    <row r="10007" spans="15:15">
      <c r="O10007" s="4288"/>
    </row>
    <row r="10008" spans="15:15">
      <c r="O10008" s="4288"/>
    </row>
    <row r="10009" spans="15:15">
      <c r="O10009" s="4288"/>
    </row>
    <row r="10010" spans="15:15">
      <c r="O10010" s="4288"/>
    </row>
    <row r="10011" spans="15:15">
      <c r="O10011" s="4288"/>
    </row>
    <row r="10012" spans="15:15">
      <c r="O10012" s="4288"/>
    </row>
    <row r="10013" spans="15:15">
      <c r="O10013" s="4288"/>
    </row>
    <row r="10014" spans="15:15">
      <c r="O10014" s="4288"/>
    </row>
    <row r="10015" spans="15:15">
      <c r="O10015" s="4288"/>
    </row>
    <row r="10016" spans="15:15">
      <c r="O10016" s="4288"/>
    </row>
    <row r="10017" spans="15:15">
      <c r="O10017" s="4288"/>
    </row>
    <row r="10018" spans="15:15">
      <c r="O10018" s="4288"/>
    </row>
    <row r="10019" spans="15:15">
      <c r="O10019" s="4288"/>
    </row>
    <row r="10020" spans="15:15">
      <c r="O10020" s="4288"/>
    </row>
    <row r="10021" spans="15:15">
      <c r="O10021" s="4288"/>
    </row>
    <row r="10022" spans="15:15">
      <c r="O10022" s="4288"/>
    </row>
    <row r="10023" spans="15:15">
      <c r="O10023" s="4288"/>
    </row>
    <row r="10024" spans="15:15">
      <c r="O10024" s="4288"/>
    </row>
    <row r="10025" spans="15:15">
      <c r="O10025" s="4288"/>
    </row>
    <row r="10026" spans="15:15">
      <c r="O10026" s="4288"/>
    </row>
    <row r="10027" spans="15:15">
      <c r="O10027" s="4288"/>
    </row>
    <row r="10028" spans="15:15">
      <c r="O10028" s="4288"/>
    </row>
    <row r="10029" spans="15:15">
      <c r="O10029" s="4288"/>
    </row>
    <row r="10030" spans="15:15">
      <c r="O10030" s="4288"/>
    </row>
    <row r="10031" spans="15:15">
      <c r="O10031" s="4288"/>
    </row>
    <row r="10032" spans="15:15">
      <c r="O10032" s="4288"/>
    </row>
    <row r="10033" spans="15:15">
      <c r="O10033" s="4288"/>
    </row>
    <row r="10034" spans="15:15">
      <c r="O10034" s="4288"/>
    </row>
    <row r="10035" spans="15:15">
      <c r="O10035" s="4288"/>
    </row>
    <row r="10036" spans="15:15">
      <c r="O10036" s="4288"/>
    </row>
    <row r="10037" spans="15:15">
      <c r="O10037" s="4288"/>
    </row>
    <row r="10038" spans="15:15">
      <c r="O10038" s="4288"/>
    </row>
    <row r="10039" spans="15:15">
      <c r="O10039" s="4288"/>
    </row>
    <row r="10040" spans="15:15">
      <c r="O10040" s="4288"/>
    </row>
    <row r="10041" spans="15:15">
      <c r="O10041" s="4288"/>
    </row>
    <row r="10042" spans="15:15">
      <c r="O10042" s="4288"/>
    </row>
    <row r="10043" spans="15:15">
      <c r="O10043" s="4288"/>
    </row>
    <row r="10044" spans="15:15">
      <c r="O10044" s="4288"/>
    </row>
    <row r="10045" spans="15:15">
      <c r="O10045" s="4288"/>
    </row>
    <row r="10046" spans="15:15">
      <c r="O10046" s="4288"/>
    </row>
    <row r="10047" spans="15:15">
      <c r="O10047" s="4288"/>
    </row>
    <row r="10048" spans="15:15">
      <c r="O10048" s="4288"/>
    </row>
    <row r="10049" spans="15:15">
      <c r="O10049" s="4288"/>
    </row>
    <row r="10050" spans="15:15">
      <c r="O10050" s="4288"/>
    </row>
    <row r="10051" spans="15:15">
      <c r="O10051" s="4288"/>
    </row>
    <row r="10052" spans="15:15">
      <c r="O10052" s="4288"/>
    </row>
    <row r="10053" spans="15:15">
      <c r="O10053" s="4288"/>
    </row>
    <row r="10054" spans="15:15">
      <c r="O10054" s="4288"/>
    </row>
    <row r="10055" spans="15:15">
      <c r="O10055" s="4288"/>
    </row>
    <row r="10056" spans="15:15">
      <c r="O10056" s="4288"/>
    </row>
    <row r="10057" spans="15:15">
      <c r="O10057" s="4288"/>
    </row>
    <row r="10058" spans="15:15">
      <c r="O10058" s="4288"/>
    </row>
    <row r="10059" spans="15:15">
      <c r="O10059" s="4288"/>
    </row>
    <row r="10060" spans="15:15">
      <c r="O10060" s="4288"/>
    </row>
    <row r="10061" spans="15:15">
      <c r="O10061" s="4288"/>
    </row>
    <row r="10062" spans="15:15">
      <c r="O10062" s="4288"/>
    </row>
    <row r="10063" spans="15:15">
      <c r="O10063" s="4288"/>
    </row>
    <row r="10064" spans="15:15">
      <c r="O10064" s="4288"/>
    </row>
    <row r="10065" spans="15:15">
      <c r="O10065" s="4288"/>
    </row>
    <row r="10066" spans="15:15">
      <c r="O10066" s="4288"/>
    </row>
    <row r="10067" spans="15:15">
      <c r="O10067" s="4288"/>
    </row>
    <row r="10068" spans="15:15">
      <c r="O10068" s="4288"/>
    </row>
    <row r="10069" spans="15:15">
      <c r="O10069" s="4288"/>
    </row>
    <row r="10070" spans="15:15">
      <c r="O10070" s="4288"/>
    </row>
    <row r="10071" spans="15:15">
      <c r="O10071" s="4288"/>
    </row>
    <row r="10072" spans="15:15">
      <c r="O10072" s="4288"/>
    </row>
    <row r="10073" spans="15:15">
      <c r="O10073" s="4288"/>
    </row>
    <row r="10074" spans="15:15">
      <c r="O10074" s="4288"/>
    </row>
    <row r="10075" spans="15:15">
      <c r="O10075" s="4288"/>
    </row>
    <row r="10076" spans="15:15">
      <c r="O10076" s="4288"/>
    </row>
    <row r="10077" spans="15:15">
      <c r="O10077" s="4288"/>
    </row>
    <row r="10078" spans="15:15">
      <c r="O10078" s="4288"/>
    </row>
    <row r="10079" spans="15:15">
      <c r="O10079" s="4288"/>
    </row>
    <row r="10080" spans="15:15">
      <c r="O10080" s="4288"/>
    </row>
    <row r="10081" spans="15:15">
      <c r="O10081" s="4288"/>
    </row>
    <row r="10082" spans="15:15">
      <c r="O10082" s="4288"/>
    </row>
    <row r="10083" spans="15:15">
      <c r="O10083" s="4288"/>
    </row>
    <row r="10084" spans="15:15">
      <c r="O10084" s="4288"/>
    </row>
    <row r="10085" spans="15:15">
      <c r="O10085" s="4288"/>
    </row>
    <row r="10086" spans="15:15">
      <c r="O10086" s="4288"/>
    </row>
    <row r="10087" spans="15:15">
      <c r="O10087" s="4288"/>
    </row>
    <row r="10088" spans="15:15">
      <c r="O10088" s="4288"/>
    </row>
    <row r="10089" spans="15:15">
      <c r="O10089" s="4288"/>
    </row>
    <row r="10090" spans="15:15">
      <c r="O10090" s="4288"/>
    </row>
    <row r="10091" spans="15:15">
      <c r="O10091" s="4288"/>
    </row>
    <row r="10092" spans="15:15">
      <c r="O10092" s="4288"/>
    </row>
    <row r="10093" spans="15:15">
      <c r="O10093" s="4288"/>
    </row>
    <row r="10094" spans="15:15">
      <c r="O10094" s="4288"/>
    </row>
    <row r="10095" spans="15:15">
      <c r="O10095" s="4288"/>
    </row>
    <row r="10096" spans="15:15">
      <c r="O10096" s="4288"/>
    </row>
    <row r="10097" spans="15:15">
      <c r="O10097" s="4288"/>
    </row>
    <row r="10098" spans="15:15">
      <c r="O10098" s="4288"/>
    </row>
    <row r="10099" spans="15:15">
      <c r="O10099" s="4288"/>
    </row>
    <row r="10100" spans="15:15">
      <c r="O10100" s="4288"/>
    </row>
    <row r="10101" spans="15:15">
      <c r="O10101" s="4288"/>
    </row>
    <row r="10102" spans="15:15">
      <c r="O10102" s="4288"/>
    </row>
    <row r="10103" spans="15:15">
      <c r="O10103" s="4288"/>
    </row>
    <row r="10104" spans="15:15">
      <c r="O10104" s="4288"/>
    </row>
    <row r="10105" spans="15:15">
      <c r="O10105" s="4288"/>
    </row>
    <row r="10106" spans="15:15">
      <c r="O10106" s="4288"/>
    </row>
    <row r="10107" spans="15:15">
      <c r="O10107" s="4288"/>
    </row>
    <row r="10108" spans="15:15">
      <c r="O10108" s="4288"/>
    </row>
    <row r="10109" spans="15:15">
      <c r="O10109" s="4288"/>
    </row>
    <row r="10110" spans="15:15">
      <c r="O10110" s="4288"/>
    </row>
    <row r="10111" spans="15:15">
      <c r="O10111" s="4288"/>
    </row>
    <row r="10112" spans="15:15">
      <c r="O10112" s="4288"/>
    </row>
    <row r="10113" spans="15:15">
      <c r="O10113" s="4288"/>
    </row>
    <row r="10114" spans="15:15">
      <c r="O10114" s="4288"/>
    </row>
    <row r="10115" spans="15:15">
      <c r="O10115" s="4288"/>
    </row>
    <row r="10116" spans="15:15">
      <c r="O10116" s="4288"/>
    </row>
    <row r="10117" spans="15:15">
      <c r="O10117" s="4288"/>
    </row>
    <row r="10118" spans="15:15">
      <c r="O10118" s="4288"/>
    </row>
    <row r="10119" spans="15:15">
      <c r="O10119" s="4288"/>
    </row>
    <row r="10120" spans="15:15">
      <c r="O10120" s="4288"/>
    </row>
    <row r="10121" spans="15:15">
      <c r="O10121" s="4288"/>
    </row>
    <row r="10122" spans="15:15">
      <c r="O10122" s="4288"/>
    </row>
    <row r="10123" spans="15:15">
      <c r="O10123" s="4288"/>
    </row>
    <row r="10124" spans="15:15">
      <c r="O10124" s="4288"/>
    </row>
    <row r="10125" spans="15:15">
      <c r="O10125" s="4288"/>
    </row>
    <row r="10126" spans="15:15">
      <c r="O10126" s="4288"/>
    </row>
    <row r="10127" spans="15:15">
      <c r="O10127" s="4288"/>
    </row>
    <row r="10128" spans="15:15">
      <c r="O10128" s="4288"/>
    </row>
    <row r="10129" spans="15:15">
      <c r="O10129" s="4288"/>
    </row>
    <row r="10130" spans="15:15">
      <c r="O10130" s="4288"/>
    </row>
    <row r="10131" spans="15:15">
      <c r="O10131" s="4288"/>
    </row>
    <row r="10132" spans="15:15">
      <c r="O10132" s="4288"/>
    </row>
    <row r="10133" spans="15:15">
      <c r="O10133" s="4288"/>
    </row>
    <row r="10134" spans="15:15">
      <c r="O10134" s="4288"/>
    </row>
    <row r="10135" spans="15:15">
      <c r="O10135" s="4288"/>
    </row>
    <row r="10136" spans="15:15">
      <c r="O10136" s="4288"/>
    </row>
    <row r="10137" spans="15:15">
      <c r="O10137" s="4288"/>
    </row>
    <row r="10138" spans="15:15">
      <c r="O10138" s="4288"/>
    </row>
    <row r="10139" spans="15:15">
      <c r="O10139" s="4288"/>
    </row>
    <row r="10140" spans="15:15">
      <c r="O10140" s="4288"/>
    </row>
    <row r="10141" spans="15:15">
      <c r="O10141" s="4288"/>
    </row>
    <row r="10142" spans="15:15">
      <c r="O10142" s="4288"/>
    </row>
    <row r="10143" spans="15:15">
      <c r="O10143" s="4288"/>
    </row>
    <row r="10144" spans="15:15">
      <c r="O10144" s="4288"/>
    </row>
    <row r="10145" spans="15:15">
      <c r="O10145" s="4288"/>
    </row>
    <row r="10146" spans="15:15">
      <c r="O10146" s="4288"/>
    </row>
    <row r="10147" spans="15:15">
      <c r="O10147" s="4288"/>
    </row>
    <row r="10148" spans="15:15">
      <c r="O10148" s="4288"/>
    </row>
    <row r="10149" spans="15:15">
      <c r="O10149" s="4288"/>
    </row>
    <row r="10150" spans="15:15">
      <c r="O10150" s="4288"/>
    </row>
    <row r="10151" spans="15:15">
      <c r="O10151" s="4288"/>
    </row>
    <row r="10152" spans="15:15">
      <c r="O10152" s="4288"/>
    </row>
    <row r="10153" spans="15:15">
      <c r="O10153" s="4288"/>
    </row>
    <row r="10154" spans="15:15">
      <c r="O10154" s="4288"/>
    </row>
    <row r="10155" spans="15:15">
      <c r="O10155" s="4288"/>
    </row>
    <row r="10156" spans="15:15">
      <c r="O10156" s="4288"/>
    </row>
    <row r="10157" spans="15:15">
      <c r="O10157" s="4288"/>
    </row>
    <row r="10158" spans="15:15">
      <c r="O10158" s="4288"/>
    </row>
    <row r="10159" spans="15:15">
      <c r="O10159" s="4288"/>
    </row>
    <row r="10160" spans="15:15">
      <c r="O10160" s="4288"/>
    </row>
    <row r="10161" spans="15:15">
      <c r="O10161" s="4288"/>
    </row>
    <row r="10162" spans="15:15">
      <c r="O10162" s="4288"/>
    </row>
    <row r="10163" spans="15:15">
      <c r="O10163" s="4288"/>
    </row>
    <row r="10164" spans="15:15">
      <c r="O10164" s="4288"/>
    </row>
    <row r="10165" spans="15:15">
      <c r="O10165" s="4288"/>
    </row>
    <row r="10166" spans="15:15">
      <c r="O10166" s="4288"/>
    </row>
    <row r="10167" spans="15:15">
      <c r="O10167" s="4288"/>
    </row>
    <row r="10168" spans="15:15">
      <c r="O10168" s="4288"/>
    </row>
    <row r="10169" spans="15:15">
      <c r="O10169" s="4288"/>
    </row>
    <row r="10170" spans="15:15">
      <c r="O10170" s="4288"/>
    </row>
    <row r="10171" spans="15:15">
      <c r="O10171" s="4288"/>
    </row>
    <row r="10172" spans="15:15">
      <c r="O10172" s="4288"/>
    </row>
    <row r="10173" spans="15:15">
      <c r="O10173" s="4288"/>
    </row>
    <row r="10174" spans="15:15">
      <c r="O10174" s="4288"/>
    </row>
    <row r="10175" spans="15:15">
      <c r="O10175" s="4288"/>
    </row>
    <row r="10176" spans="15:15">
      <c r="O10176" s="4288"/>
    </row>
    <row r="10177" spans="15:15">
      <c r="O10177" s="4288"/>
    </row>
    <row r="10178" spans="15:15">
      <c r="O10178" s="4288"/>
    </row>
    <row r="10179" spans="15:15">
      <c r="O10179" s="4288"/>
    </row>
    <row r="10180" spans="15:15">
      <c r="O10180" s="4288"/>
    </row>
    <row r="10181" spans="15:15">
      <c r="O10181" s="4288"/>
    </row>
    <row r="10182" spans="15:15">
      <c r="O10182" s="4288"/>
    </row>
    <row r="10183" spans="15:15">
      <c r="O10183" s="4288"/>
    </row>
    <row r="10184" spans="15:15">
      <c r="O10184" s="4288"/>
    </row>
    <row r="10185" spans="15:15">
      <c r="O10185" s="4288"/>
    </row>
    <row r="10186" spans="15:15">
      <c r="O10186" s="4288"/>
    </row>
    <row r="10187" spans="15:15">
      <c r="O10187" s="4288"/>
    </row>
    <row r="10188" spans="15:15">
      <c r="O10188" s="4288"/>
    </row>
    <row r="10189" spans="15:15">
      <c r="O10189" s="4288"/>
    </row>
    <row r="10190" spans="15:15">
      <c r="O10190" s="4288"/>
    </row>
    <row r="10191" spans="15:15">
      <c r="O10191" s="4288"/>
    </row>
    <row r="10192" spans="15:15">
      <c r="O10192" s="4288"/>
    </row>
    <row r="10193" spans="15:15">
      <c r="O10193" s="4288"/>
    </row>
    <row r="10194" spans="15:15">
      <c r="O10194" s="4288"/>
    </row>
    <row r="10195" spans="15:15">
      <c r="O10195" s="4288"/>
    </row>
    <row r="10196" spans="15:15">
      <c r="O10196" s="4288"/>
    </row>
    <row r="10197" spans="15:15">
      <c r="O10197" s="4288"/>
    </row>
    <row r="10198" spans="15:15">
      <c r="O10198" s="4288"/>
    </row>
    <row r="10199" spans="15:15">
      <c r="O10199" s="4288"/>
    </row>
    <row r="10200" spans="15:15">
      <c r="O10200" s="4288"/>
    </row>
    <row r="10201" spans="15:15">
      <c r="O10201" s="4288"/>
    </row>
    <row r="10202" spans="15:15">
      <c r="O10202" s="4288"/>
    </row>
    <row r="10203" spans="15:15">
      <c r="O10203" s="4288"/>
    </row>
    <row r="10204" spans="15:15">
      <c r="O10204" s="4288"/>
    </row>
    <row r="10205" spans="15:15">
      <c r="O10205" s="4288"/>
    </row>
    <row r="10206" spans="15:15">
      <c r="O10206" s="4288"/>
    </row>
    <row r="10207" spans="15:15">
      <c r="O10207" s="4288"/>
    </row>
    <row r="10208" spans="15:15">
      <c r="O10208" s="4288"/>
    </row>
    <row r="10209" spans="15:15">
      <c r="O10209" s="4288"/>
    </row>
    <row r="10210" spans="15:15">
      <c r="O10210" s="4288"/>
    </row>
    <row r="10211" spans="15:15">
      <c r="O10211" s="4288"/>
    </row>
    <row r="10212" spans="15:15">
      <c r="O10212" s="4288"/>
    </row>
    <row r="10213" spans="15:15">
      <c r="O10213" s="4288"/>
    </row>
    <row r="10214" spans="15:15">
      <c r="O10214" s="4288"/>
    </row>
    <row r="10215" spans="15:15">
      <c r="O10215" s="4288"/>
    </row>
    <row r="10216" spans="15:15">
      <c r="O10216" s="4288"/>
    </row>
    <row r="10217" spans="15:15">
      <c r="O10217" s="4288"/>
    </row>
    <row r="10218" spans="15:15">
      <c r="O10218" s="4288"/>
    </row>
    <row r="10219" spans="15:15">
      <c r="O10219" s="4288"/>
    </row>
    <row r="10220" spans="15:15">
      <c r="O10220" s="4288"/>
    </row>
    <row r="10221" spans="15:15">
      <c r="O10221" s="4288"/>
    </row>
    <row r="10222" spans="15:15">
      <c r="O10222" s="4288"/>
    </row>
    <row r="10223" spans="15:15">
      <c r="O10223" s="4288"/>
    </row>
    <row r="10224" spans="15:15">
      <c r="O10224" s="4288"/>
    </row>
    <row r="10225" spans="15:15">
      <c r="O10225" s="4288"/>
    </row>
    <row r="10226" spans="15:15">
      <c r="O10226" s="4288"/>
    </row>
    <row r="10227" spans="15:15">
      <c r="O10227" s="4288"/>
    </row>
    <row r="10228" spans="15:15">
      <c r="O10228" s="4288"/>
    </row>
    <row r="10229" spans="15:15">
      <c r="O10229" s="4288"/>
    </row>
    <row r="10230" spans="15:15">
      <c r="O10230" s="4288"/>
    </row>
    <row r="10231" spans="15:15">
      <c r="O10231" s="4288"/>
    </row>
    <row r="10232" spans="15:15">
      <c r="O10232" s="4288"/>
    </row>
    <row r="10233" spans="15:15">
      <c r="O10233" s="4288"/>
    </row>
    <row r="10234" spans="15:15">
      <c r="O10234" s="4288"/>
    </row>
    <row r="10235" spans="15:15">
      <c r="O10235" s="4288"/>
    </row>
    <row r="10236" spans="15:15">
      <c r="O10236" s="4288"/>
    </row>
    <row r="10237" spans="15:15">
      <c r="O10237" s="4288"/>
    </row>
    <row r="10238" spans="15:15">
      <c r="O10238" s="4288"/>
    </row>
    <row r="10239" spans="15:15">
      <c r="O10239" s="4288"/>
    </row>
    <row r="10240" spans="15:15">
      <c r="O10240" s="4288"/>
    </row>
    <row r="10241" spans="15:15">
      <c r="O10241" s="4288"/>
    </row>
    <row r="10242" spans="15:15">
      <c r="O10242" s="4288"/>
    </row>
    <row r="10243" spans="15:15">
      <c r="O10243" s="4288"/>
    </row>
    <row r="10244" spans="15:15">
      <c r="O10244" s="4288"/>
    </row>
    <row r="10245" spans="15:15">
      <c r="O10245" s="4288"/>
    </row>
    <row r="10246" spans="15:15">
      <c r="O10246" s="4288"/>
    </row>
    <row r="10247" spans="15:15">
      <c r="O10247" s="4288"/>
    </row>
    <row r="10248" spans="15:15">
      <c r="O10248" s="4288"/>
    </row>
    <row r="10249" spans="15:15">
      <c r="O10249" s="4288"/>
    </row>
    <row r="10250" spans="15:15">
      <c r="O10250" s="4288"/>
    </row>
    <row r="10251" spans="15:15">
      <c r="O10251" s="4288"/>
    </row>
    <row r="10252" spans="15:15">
      <c r="O10252" s="4288"/>
    </row>
    <row r="10253" spans="15:15">
      <c r="O10253" s="4288"/>
    </row>
    <row r="10254" spans="15:15">
      <c r="O10254" s="4288"/>
    </row>
    <row r="10255" spans="15:15">
      <c r="O10255" s="4288"/>
    </row>
    <row r="10256" spans="15:15">
      <c r="O10256" s="4288"/>
    </row>
    <row r="10257" spans="15:15">
      <c r="O10257" s="4288"/>
    </row>
    <row r="10258" spans="15:15">
      <c r="O10258" s="4288"/>
    </row>
    <row r="10259" spans="15:15">
      <c r="O10259" s="4288"/>
    </row>
    <row r="10260" spans="15:15">
      <c r="O10260" s="4288"/>
    </row>
    <row r="10261" spans="15:15">
      <c r="O10261" s="4288"/>
    </row>
    <row r="10262" spans="15:15">
      <c r="O10262" s="4288"/>
    </row>
    <row r="10263" spans="15:15">
      <c r="O10263" s="4288"/>
    </row>
    <row r="10264" spans="15:15">
      <c r="O10264" s="4288"/>
    </row>
    <row r="10265" spans="15:15">
      <c r="O10265" s="4288"/>
    </row>
    <row r="10266" spans="15:15">
      <c r="O10266" s="4288"/>
    </row>
    <row r="10267" spans="15:15">
      <c r="O10267" s="4288"/>
    </row>
    <row r="10268" spans="15:15">
      <c r="O10268" s="4288"/>
    </row>
    <row r="10269" spans="15:15">
      <c r="O10269" s="4288"/>
    </row>
    <row r="10270" spans="15:15">
      <c r="O10270" s="4288"/>
    </row>
    <row r="10271" spans="15:15">
      <c r="O10271" s="4288"/>
    </row>
    <row r="10272" spans="15:15">
      <c r="O10272" s="4288"/>
    </row>
    <row r="10273" spans="15:15">
      <c r="O10273" s="4288"/>
    </row>
    <row r="10274" spans="15:15">
      <c r="O10274" s="4288"/>
    </row>
    <row r="10275" spans="15:15">
      <c r="O10275" s="4288"/>
    </row>
    <row r="10276" spans="15:15">
      <c r="O10276" s="4288"/>
    </row>
    <row r="10277" spans="15:15">
      <c r="O10277" s="4288"/>
    </row>
    <row r="10278" spans="15:15">
      <c r="O10278" s="4288"/>
    </row>
    <row r="10279" spans="15:15">
      <c r="O10279" s="4288"/>
    </row>
    <row r="10280" spans="15:15">
      <c r="O10280" s="4288"/>
    </row>
    <row r="10281" spans="15:15">
      <c r="O10281" s="4288"/>
    </row>
    <row r="10282" spans="15:15">
      <c r="O10282" s="4288"/>
    </row>
    <row r="10283" spans="15:15">
      <c r="O10283" s="4288"/>
    </row>
    <row r="10284" spans="15:15">
      <c r="O10284" s="4288"/>
    </row>
    <row r="10285" spans="15:15">
      <c r="O10285" s="4288"/>
    </row>
    <row r="10286" spans="15:15">
      <c r="O10286" s="4288"/>
    </row>
    <row r="10287" spans="15:15">
      <c r="O10287" s="4288"/>
    </row>
    <row r="10288" spans="15:15">
      <c r="O10288" s="4288"/>
    </row>
    <row r="10289" spans="15:15">
      <c r="O10289" s="4288"/>
    </row>
    <row r="10290" spans="15:15">
      <c r="O10290" s="4288"/>
    </row>
    <row r="10291" spans="15:15">
      <c r="O10291" s="4288"/>
    </row>
    <row r="10292" spans="15:15">
      <c r="O10292" s="4288"/>
    </row>
    <row r="10293" spans="15:15">
      <c r="O10293" s="4288"/>
    </row>
    <row r="10294" spans="15:15">
      <c r="O10294" s="4288"/>
    </row>
    <row r="10295" spans="15:15">
      <c r="O10295" s="4288"/>
    </row>
    <row r="10296" spans="15:15">
      <c r="O10296" s="4288"/>
    </row>
    <row r="10297" spans="15:15">
      <c r="O10297" s="4288"/>
    </row>
    <row r="10298" spans="15:15">
      <c r="O10298" s="4288"/>
    </row>
    <row r="10299" spans="15:15">
      <c r="O10299" s="4288"/>
    </row>
    <row r="10300" spans="15:15">
      <c r="O10300" s="4288"/>
    </row>
    <row r="10301" spans="15:15">
      <c r="O10301" s="4288"/>
    </row>
    <row r="10302" spans="15:15">
      <c r="O10302" s="4288"/>
    </row>
    <row r="10303" spans="15:15">
      <c r="O10303" s="4288"/>
    </row>
    <row r="10304" spans="15:15">
      <c r="O10304" s="4288"/>
    </row>
    <row r="10305" spans="15:15">
      <c r="O10305" s="4288"/>
    </row>
    <row r="10306" spans="15:15">
      <c r="O10306" s="4288"/>
    </row>
    <row r="10307" spans="15:15">
      <c r="O10307" s="4288"/>
    </row>
    <row r="10308" spans="15:15">
      <c r="O10308" s="4288"/>
    </row>
    <row r="10309" spans="15:15">
      <c r="O10309" s="4288"/>
    </row>
    <row r="10310" spans="15:15">
      <c r="O10310" s="4288"/>
    </row>
    <row r="10311" spans="15:15">
      <c r="O10311" s="4288"/>
    </row>
    <row r="10312" spans="15:15">
      <c r="O10312" s="4288"/>
    </row>
    <row r="10313" spans="15:15">
      <c r="O10313" s="4288"/>
    </row>
    <row r="10314" spans="15:15">
      <c r="O10314" s="4288"/>
    </row>
    <row r="10315" spans="15:15">
      <c r="O10315" s="4288"/>
    </row>
    <row r="10316" spans="15:15">
      <c r="O10316" s="4288"/>
    </row>
    <row r="10317" spans="15:15">
      <c r="O10317" s="4288"/>
    </row>
    <row r="10318" spans="15:15">
      <c r="O10318" s="4288"/>
    </row>
    <row r="10319" spans="15:15">
      <c r="O10319" s="4288"/>
    </row>
    <row r="10320" spans="15:15">
      <c r="O10320" s="4288"/>
    </row>
    <row r="10321" spans="15:15">
      <c r="O10321" s="4288"/>
    </row>
    <row r="10322" spans="15:15">
      <c r="O10322" s="4288"/>
    </row>
    <row r="10323" spans="15:15">
      <c r="O10323" s="4288"/>
    </row>
    <row r="10324" spans="15:15">
      <c r="O10324" s="4288"/>
    </row>
    <row r="10325" spans="15:15">
      <c r="O10325" s="4288"/>
    </row>
    <row r="10326" spans="15:15">
      <c r="O10326" s="4288"/>
    </row>
    <row r="10327" spans="15:15">
      <c r="O10327" s="4288"/>
    </row>
    <row r="10328" spans="15:15">
      <c r="O10328" s="4288"/>
    </row>
    <row r="10329" spans="15:15">
      <c r="O10329" s="4288"/>
    </row>
    <row r="10330" spans="15:15">
      <c r="O10330" s="4288"/>
    </row>
    <row r="10331" spans="15:15">
      <c r="O10331" s="4288"/>
    </row>
    <row r="10332" spans="15:15">
      <c r="O10332" s="4288"/>
    </row>
    <row r="10333" spans="15:15">
      <c r="O10333" s="4288"/>
    </row>
    <row r="10334" spans="15:15">
      <c r="O10334" s="4288"/>
    </row>
    <row r="10335" spans="15:15">
      <c r="O10335" s="4288"/>
    </row>
    <row r="10336" spans="15:15">
      <c r="O10336" s="4288"/>
    </row>
    <row r="10337" spans="15:15">
      <c r="O10337" s="4288"/>
    </row>
    <row r="10338" spans="15:15">
      <c r="O10338" s="4288"/>
    </row>
    <row r="10339" spans="15:15">
      <c r="O10339" s="4288"/>
    </row>
    <row r="10340" spans="15:15">
      <c r="O10340" s="4288"/>
    </row>
    <row r="10341" spans="15:15">
      <c r="O10341" s="4288"/>
    </row>
    <row r="10342" spans="15:15">
      <c r="O10342" s="4288"/>
    </row>
    <row r="10343" spans="15:15">
      <c r="O10343" s="4288"/>
    </row>
    <row r="10344" spans="15:15">
      <c r="O10344" s="4288"/>
    </row>
    <row r="10345" spans="15:15">
      <c r="O10345" s="4288"/>
    </row>
    <row r="10346" spans="15:15">
      <c r="O10346" s="4288"/>
    </row>
    <row r="10347" spans="15:15">
      <c r="O10347" s="4288"/>
    </row>
    <row r="10348" spans="15:15">
      <c r="O10348" s="4288"/>
    </row>
    <row r="10349" spans="15:15">
      <c r="O10349" s="4288"/>
    </row>
    <row r="10350" spans="15:15">
      <c r="O10350" s="4288"/>
    </row>
    <row r="10351" spans="15:15">
      <c r="O10351" s="4288"/>
    </row>
    <row r="10352" spans="15:15">
      <c r="O10352" s="4288"/>
    </row>
    <row r="10353" spans="15:15">
      <c r="O10353" s="4288"/>
    </row>
    <row r="10354" spans="15:15">
      <c r="O10354" s="4288"/>
    </row>
    <row r="10355" spans="15:15">
      <c r="O10355" s="4288"/>
    </row>
    <row r="10356" spans="15:15">
      <c r="O10356" s="4288"/>
    </row>
    <row r="10357" spans="15:15">
      <c r="O10357" s="4288"/>
    </row>
    <row r="10358" spans="15:15">
      <c r="O10358" s="4288"/>
    </row>
    <row r="10359" spans="15:15">
      <c r="O10359" s="4288"/>
    </row>
    <row r="10360" spans="15:15">
      <c r="O10360" s="4288"/>
    </row>
    <row r="10361" spans="15:15">
      <c r="O10361" s="4288"/>
    </row>
    <row r="10362" spans="15:15">
      <c r="O10362" s="4288"/>
    </row>
    <row r="10363" spans="15:15">
      <c r="O10363" s="4288"/>
    </row>
    <row r="10364" spans="15:15">
      <c r="O10364" s="4288"/>
    </row>
    <row r="10365" spans="15:15">
      <c r="O10365" s="4288"/>
    </row>
    <row r="10366" spans="15:15">
      <c r="O10366" s="4288"/>
    </row>
    <row r="10367" spans="15:15">
      <c r="O10367" s="4288"/>
    </row>
    <row r="10368" spans="15:15">
      <c r="O10368" s="4288"/>
    </row>
    <row r="10369" spans="15:15">
      <c r="O10369" s="4288"/>
    </row>
    <row r="10370" spans="15:15">
      <c r="O10370" s="4288"/>
    </row>
    <row r="10371" spans="15:15">
      <c r="O10371" s="4288"/>
    </row>
    <row r="10372" spans="15:15">
      <c r="O10372" s="4288"/>
    </row>
    <row r="10373" spans="15:15">
      <c r="O10373" s="4288"/>
    </row>
    <row r="10374" spans="15:15">
      <c r="O10374" s="4288"/>
    </row>
    <row r="10375" spans="15:15">
      <c r="O10375" s="4288"/>
    </row>
    <row r="10376" spans="15:15">
      <c r="O10376" s="4288"/>
    </row>
    <row r="10377" spans="15:15">
      <c r="O10377" s="4288"/>
    </row>
    <row r="10378" spans="15:15">
      <c r="O10378" s="4288"/>
    </row>
    <row r="10379" spans="15:15">
      <c r="O10379" s="4288"/>
    </row>
    <row r="10380" spans="15:15">
      <c r="O10380" s="4288"/>
    </row>
    <row r="10381" spans="15:15">
      <c r="O10381" s="4288"/>
    </row>
    <row r="10382" spans="15:15">
      <c r="O10382" s="4288"/>
    </row>
    <row r="10383" spans="15:15">
      <c r="O10383" s="4288"/>
    </row>
    <row r="10384" spans="15:15">
      <c r="O10384" s="4288"/>
    </row>
    <row r="10385" spans="15:15">
      <c r="O10385" s="4288"/>
    </row>
    <row r="10386" spans="15:15">
      <c r="O10386" s="4288"/>
    </row>
    <row r="10387" spans="15:15">
      <c r="O10387" s="4288"/>
    </row>
    <row r="10388" spans="15:15">
      <c r="O10388" s="4288"/>
    </row>
    <row r="10389" spans="15:15">
      <c r="O10389" s="4288"/>
    </row>
    <row r="10390" spans="15:15">
      <c r="O10390" s="4288"/>
    </row>
    <row r="10391" spans="15:15">
      <c r="O10391" s="4288"/>
    </row>
    <row r="10392" spans="15:15">
      <c r="O10392" s="4288"/>
    </row>
    <row r="10393" spans="15:15">
      <c r="O10393" s="4288"/>
    </row>
    <row r="10394" spans="15:15">
      <c r="O10394" s="4288"/>
    </row>
    <row r="10395" spans="15:15">
      <c r="O10395" s="4288"/>
    </row>
    <row r="10396" spans="15:15">
      <c r="O10396" s="4288"/>
    </row>
    <row r="10397" spans="15:15">
      <c r="O10397" s="4288"/>
    </row>
    <row r="10398" spans="15:15">
      <c r="O10398" s="4288"/>
    </row>
    <row r="10399" spans="15:15">
      <c r="O10399" s="4288"/>
    </row>
    <row r="10400" spans="15:15">
      <c r="O10400" s="4288"/>
    </row>
    <row r="10401" spans="15:15">
      <c r="O10401" s="4288"/>
    </row>
    <row r="10402" spans="15:15">
      <c r="O10402" s="4288"/>
    </row>
    <row r="10403" spans="15:15">
      <c r="O10403" s="4288"/>
    </row>
    <row r="10404" spans="15:15">
      <c r="O10404" s="4288"/>
    </row>
    <row r="10405" spans="15:15">
      <c r="O10405" s="4288"/>
    </row>
    <row r="10406" spans="15:15">
      <c r="O10406" s="4288"/>
    </row>
    <row r="10407" spans="15:15">
      <c r="O10407" s="4288"/>
    </row>
    <row r="10408" spans="15:15">
      <c r="O10408" s="4288"/>
    </row>
    <row r="10409" spans="15:15">
      <c r="O10409" s="4288"/>
    </row>
    <row r="10410" spans="15:15">
      <c r="O10410" s="4288"/>
    </row>
    <row r="10411" spans="15:15">
      <c r="O10411" s="4288"/>
    </row>
    <row r="10412" spans="15:15">
      <c r="O10412" s="4288"/>
    </row>
    <row r="10413" spans="15:15">
      <c r="O10413" s="4288"/>
    </row>
    <row r="10414" spans="15:15">
      <c r="O10414" s="4288"/>
    </row>
    <row r="10415" spans="15:15">
      <c r="O10415" s="4288"/>
    </row>
    <row r="10416" spans="15:15">
      <c r="O10416" s="4288"/>
    </row>
    <row r="10417" spans="15:15">
      <c r="O10417" s="4288"/>
    </row>
    <row r="10418" spans="15:15">
      <c r="O10418" s="4288"/>
    </row>
    <row r="10419" spans="15:15">
      <c r="O10419" s="4288"/>
    </row>
    <row r="10420" spans="15:15">
      <c r="O10420" s="4288"/>
    </row>
    <row r="10421" spans="15:15">
      <c r="O10421" s="4288"/>
    </row>
    <row r="10422" spans="15:15">
      <c r="O10422" s="4288"/>
    </row>
    <row r="10423" spans="15:15">
      <c r="O10423" s="4288"/>
    </row>
    <row r="10424" spans="15:15">
      <c r="O10424" s="4288"/>
    </row>
    <row r="10425" spans="15:15">
      <c r="O10425" s="4288"/>
    </row>
    <row r="10426" spans="15:15">
      <c r="O10426" s="4288"/>
    </row>
    <row r="10427" spans="15:15">
      <c r="O10427" s="4288"/>
    </row>
    <row r="10428" spans="15:15">
      <c r="O10428" s="4288"/>
    </row>
    <row r="10429" spans="15:15">
      <c r="O10429" s="4288"/>
    </row>
    <row r="10430" spans="15:15">
      <c r="O10430" s="4288"/>
    </row>
    <row r="10431" spans="15:15">
      <c r="O10431" s="4288"/>
    </row>
    <row r="10432" spans="15:15">
      <c r="O10432" s="4288"/>
    </row>
    <row r="10433" spans="15:15">
      <c r="O10433" s="4288"/>
    </row>
    <row r="10434" spans="15:15">
      <c r="O10434" s="4288"/>
    </row>
    <row r="10435" spans="15:15">
      <c r="O10435" s="4288"/>
    </row>
    <row r="10436" spans="15:15">
      <c r="O10436" s="4288"/>
    </row>
    <row r="10437" spans="15:15">
      <c r="O10437" s="4288"/>
    </row>
    <row r="10438" spans="15:15">
      <c r="O10438" s="4288"/>
    </row>
    <row r="10439" spans="15:15">
      <c r="O10439" s="4288"/>
    </row>
    <row r="10440" spans="15:15">
      <c r="O10440" s="4288"/>
    </row>
    <row r="10441" spans="15:15">
      <c r="O10441" s="4288"/>
    </row>
    <row r="10442" spans="15:15">
      <c r="O10442" s="4288"/>
    </row>
    <row r="10443" spans="15:15">
      <c r="O10443" s="4288"/>
    </row>
    <row r="10444" spans="15:15">
      <c r="O10444" s="4288"/>
    </row>
    <row r="10445" spans="15:15">
      <c r="O10445" s="4288"/>
    </row>
    <row r="10446" spans="15:15">
      <c r="O10446" s="4288"/>
    </row>
    <row r="10447" spans="15:15">
      <c r="O10447" s="4288"/>
    </row>
    <row r="10448" spans="15:15">
      <c r="O10448" s="4288"/>
    </row>
    <row r="10449" spans="15:15">
      <c r="O10449" s="4288"/>
    </row>
    <row r="10450" spans="15:15">
      <c r="O10450" s="4288"/>
    </row>
    <row r="10451" spans="15:15">
      <c r="O10451" s="4288"/>
    </row>
    <row r="10452" spans="15:15">
      <c r="O10452" s="4288"/>
    </row>
    <row r="10453" spans="15:15">
      <c r="O10453" s="4288"/>
    </row>
    <row r="10454" spans="15:15">
      <c r="O10454" s="4288"/>
    </row>
    <row r="10455" spans="15:15">
      <c r="O10455" s="4288"/>
    </row>
    <row r="10456" spans="15:15">
      <c r="O10456" s="4288"/>
    </row>
    <row r="10457" spans="15:15">
      <c r="O10457" s="4288"/>
    </row>
    <row r="10458" spans="15:15">
      <c r="O10458" s="4288"/>
    </row>
    <row r="10459" spans="15:15">
      <c r="O10459" s="4288"/>
    </row>
    <row r="10460" spans="15:15">
      <c r="O10460" s="4288"/>
    </row>
    <row r="10461" spans="15:15">
      <c r="O10461" s="4288"/>
    </row>
    <row r="10462" spans="15:15">
      <c r="O10462" s="4288"/>
    </row>
    <row r="10463" spans="15:15">
      <c r="O10463" s="4288"/>
    </row>
    <row r="10464" spans="15:15">
      <c r="O10464" s="4288"/>
    </row>
    <row r="10465" spans="15:15">
      <c r="O10465" s="4288"/>
    </row>
    <row r="10466" spans="15:15">
      <c r="O10466" s="4288"/>
    </row>
    <row r="10467" spans="15:15">
      <c r="O10467" s="4288"/>
    </row>
    <row r="10468" spans="15:15">
      <c r="O10468" s="4288"/>
    </row>
    <row r="10469" spans="15:15">
      <c r="O10469" s="4288"/>
    </row>
    <row r="10470" spans="15:15">
      <c r="O10470" s="4288"/>
    </row>
    <row r="10471" spans="15:15">
      <c r="O10471" s="4288"/>
    </row>
    <row r="10472" spans="15:15">
      <c r="O10472" s="4288"/>
    </row>
    <row r="10473" spans="15:15">
      <c r="O10473" s="4288"/>
    </row>
    <row r="10474" spans="15:15">
      <c r="O10474" s="4288"/>
    </row>
    <row r="10475" spans="15:15">
      <c r="O10475" s="4288"/>
    </row>
    <row r="10476" spans="15:15">
      <c r="O10476" s="4288"/>
    </row>
    <row r="10477" spans="15:15">
      <c r="O10477" s="4288"/>
    </row>
    <row r="10478" spans="15:15">
      <c r="O10478" s="4288"/>
    </row>
    <row r="10479" spans="15:15">
      <c r="O10479" s="4288"/>
    </row>
    <row r="10480" spans="15:15">
      <c r="O10480" s="4288"/>
    </row>
    <row r="10481" spans="15:15">
      <c r="O10481" s="4288"/>
    </row>
    <row r="10482" spans="15:15">
      <c r="O10482" s="4288"/>
    </row>
    <row r="10483" spans="15:15">
      <c r="O10483" s="4288"/>
    </row>
    <row r="10484" spans="15:15">
      <c r="O10484" s="4288"/>
    </row>
    <row r="10485" spans="15:15">
      <c r="O10485" s="4288"/>
    </row>
    <row r="10486" spans="15:15">
      <c r="O10486" s="4288"/>
    </row>
    <row r="10487" spans="15:15">
      <c r="O10487" s="4288"/>
    </row>
    <row r="10488" spans="15:15">
      <c r="O10488" s="4288"/>
    </row>
    <row r="10489" spans="15:15">
      <c r="O10489" s="4288"/>
    </row>
    <row r="10490" spans="15:15">
      <c r="O10490" s="4288"/>
    </row>
    <row r="10491" spans="15:15">
      <c r="O10491" s="4288"/>
    </row>
    <row r="10492" spans="15:15">
      <c r="O10492" s="4288"/>
    </row>
    <row r="10493" spans="15:15">
      <c r="O10493" s="4288"/>
    </row>
    <row r="10494" spans="15:15">
      <c r="O10494" s="4288"/>
    </row>
    <row r="10495" spans="15:15">
      <c r="O10495" s="4288"/>
    </row>
    <row r="10496" spans="15:15">
      <c r="O10496" s="4288"/>
    </row>
    <row r="10497" spans="15:15">
      <c r="O10497" s="4288"/>
    </row>
    <row r="10498" spans="15:15">
      <c r="O10498" s="4288"/>
    </row>
    <row r="10499" spans="15:15">
      <c r="O10499" s="4288"/>
    </row>
    <row r="10500" spans="15:15">
      <c r="O10500" s="4288"/>
    </row>
    <row r="10501" spans="15:15">
      <c r="O10501" s="4288"/>
    </row>
    <row r="10502" spans="15:15">
      <c r="O10502" s="4288"/>
    </row>
    <row r="10503" spans="15:15">
      <c r="O10503" s="4288"/>
    </row>
    <row r="10504" spans="15:15">
      <c r="O10504" s="4288"/>
    </row>
    <row r="10505" spans="15:15">
      <c r="O10505" s="4288"/>
    </row>
    <row r="10506" spans="15:15">
      <c r="O10506" s="4288"/>
    </row>
    <row r="10507" spans="15:15">
      <c r="O10507" s="4288"/>
    </row>
    <row r="10508" spans="15:15">
      <c r="O10508" s="4288"/>
    </row>
    <row r="10509" spans="15:15">
      <c r="O10509" s="4288"/>
    </row>
    <row r="10510" spans="15:15">
      <c r="O10510" s="4288"/>
    </row>
    <row r="10511" spans="15:15">
      <c r="O10511" s="4288"/>
    </row>
    <row r="10512" spans="15:15">
      <c r="O10512" s="4288"/>
    </row>
    <row r="10513" spans="15:15">
      <c r="O10513" s="4288"/>
    </row>
    <row r="10514" spans="15:15">
      <c r="O10514" s="4288"/>
    </row>
    <row r="10515" spans="15:15">
      <c r="O10515" s="4288"/>
    </row>
    <row r="10516" spans="15:15">
      <c r="O10516" s="4288"/>
    </row>
    <row r="10517" spans="15:15">
      <c r="O10517" s="4288"/>
    </row>
    <row r="10518" spans="15:15">
      <c r="O10518" s="4288"/>
    </row>
    <row r="10519" spans="15:15">
      <c r="O10519" s="4288"/>
    </row>
    <row r="10520" spans="15:15">
      <c r="O10520" s="4288"/>
    </row>
    <row r="10521" spans="15:15">
      <c r="O10521" s="4288"/>
    </row>
    <row r="10522" spans="15:15">
      <c r="O10522" s="4288"/>
    </row>
    <row r="10523" spans="15:15">
      <c r="O10523" s="4288"/>
    </row>
    <row r="10524" spans="15:15">
      <c r="O10524" s="4288"/>
    </row>
    <row r="10525" spans="15:15">
      <c r="O10525" s="4288"/>
    </row>
    <row r="10526" spans="15:15">
      <c r="O10526" s="4288"/>
    </row>
    <row r="10527" spans="15:15">
      <c r="O10527" s="4288"/>
    </row>
    <row r="10528" spans="15:15">
      <c r="O10528" s="4288"/>
    </row>
    <row r="10529" spans="15:15">
      <c r="O10529" s="4288"/>
    </row>
    <row r="10530" spans="15:15">
      <c r="O10530" s="4288"/>
    </row>
    <row r="10531" spans="15:15">
      <c r="O10531" s="4288"/>
    </row>
    <row r="10532" spans="15:15">
      <c r="O10532" s="4288"/>
    </row>
    <row r="10533" spans="15:15">
      <c r="O10533" s="4288"/>
    </row>
    <row r="10534" spans="15:15">
      <c r="O10534" s="4288"/>
    </row>
    <row r="10535" spans="15:15">
      <c r="O10535" s="4288"/>
    </row>
    <row r="10536" spans="15:15">
      <c r="O10536" s="4288"/>
    </row>
    <row r="10537" spans="15:15">
      <c r="O10537" s="4288"/>
    </row>
    <row r="10538" spans="15:15">
      <c r="O10538" s="4288"/>
    </row>
    <row r="10539" spans="15:15">
      <c r="O10539" s="4288"/>
    </row>
    <row r="10540" spans="15:15">
      <c r="O10540" s="4288"/>
    </row>
    <row r="10541" spans="15:15">
      <c r="O10541" s="4288"/>
    </row>
    <row r="10542" spans="15:15">
      <c r="O10542" s="4288"/>
    </row>
    <row r="10543" spans="15:15">
      <c r="O10543" s="4288"/>
    </row>
    <row r="10544" spans="15:15">
      <c r="O10544" s="4288"/>
    </row>
    <row r="10545" spans="15:15">
      <c r="O10545" s="4288"/>
    </row>
    <row r="10546" spans="15:15">
      <c r="O10546" s="4288"/>
    </row>
    <row r="10547" spans="15:15">
      <c r="O10547" s="4288"/>
    </row>
    <row r="10548" spans="15:15">
      <c r="O10548" s="4288"/>
    </row>
    <row r="10549" spans="15:15">
      <c r="O10549" s="4288"/>
    </row>
    <row r="10550" spans="15:15">
      <c r="O10550" s="4288"/>
    </row>
    <row r="10551" spans="15:15">
      <c r="O10551" s="4288"/>
    </row>
    <row r="10552" spans="15:15">
      <c r="O10552" s="4288"/>
    </row>
    <row r="10553" spans="15:15">
      <c r="O10553" s="4288"/>
    </row>
    <row r="10554" spans="15:15">
      <c r="O10554" s="4288"/>
    </row>
    <row r="10555" spans="15:15">
      <c r="O10555" s="4288"/>
    </row>
    <row r="10556" spans="15:15">
      <c r="O10556" s="4288"/>
    </row>
    <row r="10557" spans="15:15">
      <c r="O10557" s="4288"/>
    </row>
    <row r="10558" spans="15:15">
      <c r="O10558" s="4288"/>
    </row>
    <row r="10559" spans="15:15">
      <c r="O10559" s="4288"/>
    </row>
    <row r="10560" spans="15:15">
      <c r="O10560" s="4288"/>
    </row>
    <row r="10561" spans="15:15">
      <c r="O10561" s="4288"/>
    </row>
    <row r="10562" spans="15:15">
      <c r="O10562" s="4288"/>
    </row>
    <row r="10563" spans="15:15">
      <c r="O10563" s="4288"/>
    </row>
    <row r="10564" spans="15:15">
      <c r="O10564" s="4288"/>
    </row>
    <row r="10565" spans="15:15">
      <c r="O10565" s="4288"/>
    </row>
    <row r="10566" spans="15:15">
      <c r="O10566" s="4288"/>
    </row>
    <row r="10567" spans="15:15">
      <c r="O10567" s="4288"/>
    </row>
    <row r="10568" spans="15:15">
      <c r="O10568" s="4288"/>
    </row>
    <row r="10569" spans="15:15">
      <c r="O10569" s="4288"/>
    </row>
    <row r="10570" spans="15:15">
      <c r="O10570" s="4288"/>
    </row>
    <row r="10571" spans="15:15">
      <c r="O10571" s="4288"/>
    </row>
    <row r="10572" spans="15:15">
      <c r="O10572" s="4288"/>
    </row>
    <row r="10573" spans="15:15">
      <c r="O10573" s="4288"/>
    </row>
    <row r="10574" spans="15:15">
      <c r="O10574" s="4288"/>
    </row>
    <row r="10575" spans="15:15">
      <c r="O10575" s="4288"/>
    </row>
    <row r="10576" spans="15:15">
      <c r="O10576" s="4288"/>
    </row>
    <row r="10577" spans="15:15">
      <c r="O10577" s="4288"/>
    </row>
    <row r="10578" spans="15:15">
      <c r="O10578" s="4288"/>
    </row>
    <row r="10579" spans="15:15">
      <c r="O10579" s="4288"/>
    </row>
    <row r="10580" spans="15:15">
      <c r="O10580" s="4288"/>
    </row>
    <row r="10581" spans="15:15">
      <c r="O10581" s="4288"/>
    </row>
    <row r="10582" spans="15:15">
      <c r="O10582" s="4288"/>
    </row>
    <row r="10583" spans="15:15">
      <c r="O10583" s="4288"/>
    </row>
    <row r="10584" spans="15:15">
      <c r="O10584" s="4288"/>
    </row>
    <row r="10585" spans="15:15">
      <c r="O10585" s="4288"/>
    </row>
    <row r="10586" spans="15:15">
      <c r="O10586" s="4288"/>
    </row>
    <row r="10587" spans="15:15">
      <c r="O10587" s="4288"/>
    </row>
    <row r="10588" spans="15:15">
      <c r="O10588" s="4288"/>
    </row>
    <row r="10589" spans="15:15">
      <c r="O10589" s="4288"/>
    </row>
    <row r="10590" spans="15:15">
      <c r="O10590" s="4288"/>
    </row>
    <row r="10591" spans="15:15">
      <c r="O10591" s="4288"/>
    </row>
    <row r="10592" spans="15:15">
      <c r="O10592" s="4288"/>
    </row>
    <row r="10593" spans="15:15">
      <c r="O10593" s="4288"/>
    </row>
    <row r="10594" spans="15:15">
      <c r="O10594" s="4288"/>
    </row>
    <row r="10595" spans="15:15">
      <c r="O10595" s="4288"/>
    </row>
    <row r="10596" spans="15:15">
      <c r="O10596" s="4288"/>
    </row>
    <row r="10597" spans="15:15">
      <c r="O10597" s="4288"/>
    </row>
    <row r="10598" spans="15:15">
      <c r="O10598" s="4288"/>
    </row>
    <row r="10599" spans="15:15">
      <c r="O10599" s="4288"/>
    </row>
    <row r="10600" spans="15:15">
      <c r="O10600" s="4288"/>
    </row>
    <row r="10601" spans="15:15">
      <c r="O10601" s="4288"/>
    </row>
    <row r="10602" spans="15:15">
      <c r="O10602" s="4288"/>
    </row>
    <row r="10603" spans="15:15">
      <c r="O10603" s="4288"/>
    </row>
    <row r="10604" spans="15:15">
      <c r="O10604" s="4288"/>
    </row>
    <row r="10605" spans="15:15">
      <c r="O10605" s="4288"/>
    </row>
    <row r="10606" spans="15:15">
      <c r="O10606" s="4288"/>
    </row>
    <row r="10607" spans="15:15">
      <c r="O10607" s="4288"/>
    </row>
    <row r="10608" spans="15:15">
      <c r="O10608" s="4288"/>
    </row>
    <row r="10609" spans="15:15">
      <c r="O10609" s="4288"/>
    </row>
    <row r="10610" spans="15:15">
      <c r="O10610" s="4288"/>
    </row>
    <row r="10611" spans="15:15">
      <c r="O10611" s="4288"/>
    </row>
    <row r="10612" spans="15:15">
      <c r="O10612" s="4288"/>
    </row>
    <row r="10613" spans="15:15">
      <c r="O10613" s="4288"/>
    </row>
    <row r="10614" spans="15:15">
      <c r="O10614" s="4288"/>
    </row>
    <row r="10615" spans="15:15">
      <c r="O10615" s="4288"/>
    </row>
    <row r="10616" spans="15:15">
      <c r="O10616" s="4288"/>
    </row>
    <row r="10617" spans="15:15">
      <c r="O10617" s="4288"/>
    </row>
    <row r="10618" spans="15:15">
      <c r="O10618" s="4288"/>
    </row>
    <row r="10619" spans="15:15">
      <c r="O10619" s="4288"/>
    </row>
    <row r="10620" spans="15:15">
      <c r="O10620" s="4288"/>
    </row>
    <row r="10621" spans="15:15">
      <c r="O10621" s="4288"/>
    </row>
    <row r="10622" spans="15:15">
      <c r="O10622" s="4288"/>
    </row>
    <row r="10623" spans="15:15">
      <c r="O10623" s="4288"/>
    </row>
    <row r="10624" spans="15:15">
      <c r="O10624" s="4288"/>
    </row>
    <row r="10625" spans="15:15">
      <c r="O10625" s="4288"/>
    </row>
    <row r="10626" spans="15:15">
      <c r="O10626" s="4288"/>
    </row>
    <row r="10627" spans="15:15">
      <c r="O10627" s="4288"/>
    </row>
    <row r="10628" spans="15:15">
      <c r="O10628" s="4288"/>
    </row>
    <row r="10629" spans="15:15">
      <c r="O10629" s="4288"/>
    </row>
    <row r="10630" spans="15:15">
      <c r="O10630" s="4288"/>
    </row>
    <row r="10631" spans="15:15">
      <c r="O10631" s="4288"/>
    </row>
    <row r="10632" spans="15:15">
      <c r="O10632" s="4288"/>
    </row>
    <row r="10633" spans="15:15">
      <c r="O10633" s="4288"/>
    </row>
    <row r="10634" spans="15:15">
      <c r="O10634" s="4288"/>
    </row>
    <row r="10635" spans="15:15">
      <c r="O10635" s="4288"/>
    </row>
    <row r="10636" spans="15:15">
      <c r="O10636" s="4288"/>
    </row>
    <row r="10637" spans="15:15">
      <c r="O10637" s="4288"/>
    </row>
    <row r="10638" spans="15:15">
      <c r="O10638" s="4288"/>
    </row>
    <row r="10639" spans="15:15">
      <c r="O10639" s="4288"/>
    </row>
    <row r="10640" spans="15:15">
      <c r="O10640" s="4288"/>
    </row>
    <row r="10641" spans="15:15">
      <c r="O10641" s="4288"/>
    </row>
    <row r="10642" spans="15:15">
      <c r="O10642" s="4288"/>
    </row>
    <row r="10643" spans="15:15">
      <c r="O10643" s="4288"/>
    </row>
    <row r="10644" spans="15:15">
      <c r="O10644" s="4288"/>
    </row>
    <row r="10645" spans="15:15">
      <c r="O10645" s="4288"/>
    </row>
    <row r="10646" spans="15:15">
      <c r="O10646" s="4288"/>
    </row>
    <row r="10647" spans="15:15">
      <c r="O10647" s="4288"/>
    </row>
    <row r="10648" spans="15:15">
      <c r="O10648" s="4288"/>
    </row>
    <row r="10649" spans="15:15">
      <c r="O10649" s="4288"/>
    </row>
    <row r="10650" spans="15:15">
      <c r="O10650" s="4288"/>
    </row>
    <row r="10651" spans="15:15">
      <c r="O10651" s="4288"/>
    </row>
    <row r="10652" spans="15:15">
      <c r="O10652" s="4288"/>
    </row>
    <row r="10653" spans="15:15">
      <c r="O10653" s="4288"/>
    </row>
    <row r="10654" spans="15:15">
      <c r="O10654" s="4288"/>
    </row>
    <row r="10655" spans="15:15">
      <c r="O10655" s="4288"/>
    </row>
    <row r="10656" spans="15:15">
      <c r="O10656" s="4288"/>
    </row>
    <row r="10657" spans="15:15">
      <c r="O10657" s="4288"/>
    </row>
    <row r="10658" spans="15:15">
      <c r="O10658" s="4288"/>
    </row>
    <row r="10659" spans="15:15">
      <c r="O10659" s="4288"/>
    </row>
    <row r="10660" spans="15:15">
      <c r="O10660" s="4288"/>
    </row>
    <row r="10661" spans="15:15">
      <c r="O10661" s="4288"/>
    </row>
    <row r="10662" spans="15:15">
      <c r="O10662" s="4288"/>
    </row>
    <row r="10663" spans="15:15">
      <c r="O10663" s="4288"/>
    </row>
    <row r="10664" spans="15:15">
      <c r="O10664" s="4288"/>
    </row>
    <row r="10665" spans="15:15">
      <c r="O10665" s="4288"/>
    </row>
    <row r="10666" spans="15:15">
      <c r="O10666" s="4288"/>
    </row>
    <row r="10667" spans="15:15">
      <c r="O10667" s="4288"/>
    </row>
    <row r="10668" spans="15:15">
      <c r="O10668" s="4288"/>
    </row>
    <row r="10669" spans="15:15">
      <c r="O10669" s="4288"/>
    </row>
    <row r="10670" spans="15:15">
      <c r="O10670" s="4288"/>
    </row>
    <row r="10671" spans="15:15">
      <c r="O10671" s="4288"/>
    </row>
    <row r="10672" spans="15:15">
      <c r="O10672" s="4288"/>
    </row>
    <row r="10673" spans="15:15">
      <c r="O10673" s="4288"/>
    </row>
    <row r="10674" spans="15:15">
      <c r="O10674" s="4288"/>
    </row>
    <row r="10675" spans="15:15">
      <c r="O10675" s="4288"/>
    </row>
    <row r="10676" spans="15:15">
      <c r="O10676" s="4288"/>
    </row>
    <row r="10677" spans="15:15">
      <c r="O10677" s="4288"/>
    </row>
    <row r="10678" spans="15:15">
      <c r="O10678" s="4288"/>
    </row>
    <row r="10679" spans="15:15">
      <c r="O10679" s="4288"/>
    </row>
    <row r="10680" spans="15:15">
      <c r="O10680" s="4288"/>
    </row>
    <row r="10681" spans="15:15">
      <c r="O10681" s="4288"/>
    </row>
    <row r="10682" spans="15:15">
      <c r="O10682" s="4288"/>
    </row>
    <row r="10683" spans="15:15">
      <c r="O10683" s="4288"/>
    </row>
    <row r="10684" spans="15:15">
      <c r="O10684" s="4288"/>
    </row>
    <row r="10685" spans="15:15">
      <c r="O10685" s="4288"/>
    </row>
    <row r="10686" spans="15:15">
      <c r="O10686" s="4288"/>
    </row>
    <row r="10687" spans="15:15">
      <c r="O10687" s="4288"/>
    </row>
    <row r="10688" spans="15:15">
      <c r="O10688" s="4288"/>
    </row>
    <row r="10689" spans="15:15">
      <c r="O10689" s="4288"/>
    </row>
    <row r="10690" spans="15:15">
      <c r="O10690" s="4288"/>
    </row>
    <row r="10691" spans="15:15">
      <c r="O10691" s="4288"/>
    </row>
    <row r="10692" spans="15:15">
      <c r="O10692" s="4288"/>
    </row>
    <row r="10693" spans="15:15">
      <c r="O10693" s="4288"/>
    </row>
    <row r="10694" spans="15:15">
      <c r="O10694" s="4288"/>
    </row>
    <row r="10695" spans="15:15">
      <c r="O10695" s="4288"/>
    </row>
    <row r="10696" spans="15:15">
      <c r="O10696" s="4288"/>
    </row>
    <row r="10697" spans="15:15">
      <c r="O10697" s="4288"/>
    </row>
    <row r="10698" spans="15:15">
      <c r="O10698" s="4288"/>
    </row>
    <row r="10699" spans="15:15">
      <c r="O10699" s="4288"/>
    </row>
    <row r="10700" spans="15:15">
      <c r="O10700" s="4288"/>
    </row>
    <row r="10701" spans="15:15">
      <c r="O10701" s="4288"/>
    </row>
    <row r="10702" spans="15:15">
      <c r="O10702" s="4288"/>
    </row>
    <row r="10703" spans="15:15">
      <c r="O10703" s="4288"/>
    </row>
    <row r="10704" spans="15:15">
      <c r="O10704" s="4288"/>
    </row>
    <row r="10705" spans="15:15">
      <c r="O10705" s="4288"/>
    </row>
    <row r="10706" spans="15:15">
      <c r="O10706" s="4288"/>
    </row>
    <row r="10707" spans="15:15">
      <c r="O10707" s="4288"/>
    </row>
    <row r="10708" spans="15:15">
      <c r="O10708" s="4288"/>
    </row>
    <row r="10709" spans="15:15">
      <c r="O10709" s="4288"/>
    </row>
    <row r="10710" spans="15:15">
      <c r="O10710" s="4288"/>
    </row>
    <row r="10711" spans="15:15">
      <c r="O10711" s="4288"/>
    </row>
    <row r="10712" spans="15:15">
      <c r="O10712" s="4288"/>
    </row>
    <row r="10713" spans="15:15">
      <c r="O10713" s="4288"/>
    </row>
    <row r="10714" spans="15:15">
      <c r="O10714" s="4288"/>
    </row>
    <row r="10715" spans="15:15">
      <c r="O10715" s="4288"/>
    </row>
    <row r="10716" spans="15:15">
      <c r="O10716" s="4288"/>
    </row>
    <row r="10717" spans="15:15">
      <c r="O10717" s="4288"/>
    </row>
    <row r="10718" spans="15:15">
      <c r="O10718" s="4288"/>
    </row>
    <row r="10719" spans="15:15">
      <c r="O10719" s="4288"/>
    </row>
    <row r="10720" spans="15:15">
      <c r="O10720" s="4288"/>
    </row>
    <row r="10721" spans="15:15">
      <c r="O10721" s="4288"/>
    </row>
    <row r="10722" spans="15:15">
      <c r="O10722" s="4288"/>
    </row>
    <row r="10723" spans="15:15">
      <c r="O10723" s="4288"/>
    </row>
    <row r="10724" spans="15:15">
      <c r="O10724" s="4288"/>
    </row>
    <row r="10725" spans="15:15">
      <c r="O10725" s="4288"/>
    </row>
    <row r="10726" spans="15:15">
      <c r="O10726" s="4288"/>
    </row>
    <row r="10727" spans="15:15">
      <c r="O10727" s="4288"/>
    </row>
    <row r="10728" spans="15:15">
      <c r="O10728" s="4288"/>
    </row>
    <row r="10729" spans="15:15">
      <c r="O10729" s="4288"/>
    </row>
    <row r="10730" spans="15:15">
      <c r="O10730" s="4288"/>
    </row>
    <row r="10731" spans="15:15">
      <c r="O10731" s="4288"/>
    </row>
    <row r="10732" spans="15:15">
      <c r="O10732" s="4288"/>
    </row>
    <row r="10733" spans="15:15">
      <c r="O10733" s="4288"/>
    </row>
    <row r="10734" spans="15:15">
      <c r="O10734" s="4288"/>
    </row>
    <row r="10735" spans="15:15">
      <c r="O10735" s="4288"/>
    </row>
    <row r="10736" spans="15:15">
      <c r="O10736" s="4288"/>
    </row>
    <row r="10737" spans="15:15">
      <c r="O10737" s="4288"/>
    </row>
    <row r="10738" spans="15:15">
      <c r="O10738" s="4288"/>
    </row>
    <row r="10739" spans="15:15">
      <c r="O10739" s="4288"/>
    </row>
    <row r="10740" spans="15:15">
      <c r="O10740" s="4288"/>
    </row>
    <row r="10741" spans="15:15">
      <c r="O10741" s="4288"/>
    </row>
    <row r="10742" spans="15:15">
      <c r="O10742" s="4288"/>
    </row>
    <row r="10743" spans="15:15">
      <c r="O10743" s="4288"/>
    </row>
    <row r="10744" spans="15:15">
      <c r="O10744" s="4288"/>
    </row>
    <row r="10745" spans="15:15">
      <c r="O10745" s="4288"/>
    </row>
    <row r="10746" spans="15:15">
      <c r="O10746" s="4288"/>
    </row>
    <row r="10747" spans="15:15">
      <c r="O10747" s="4288"/>
    </row>
    <row r="10748" spans="15:15">
      <c r="O10748" s="4288"/>
    </row>
    <row r="10749" spans="15:15">
      <c r="O10749" s="4288"/>
    </row>
    <row r="10750" spans="15:15">
      <c r="O10750" s="4288"/>
    </row>
    <row r="10751" spans="15:15">
      <c r="O10751" s="4288"/>
    </row>
    <row r="10752" spans="15:15">
      <c r="O10752" s="4288"/>
    </row>
    <row r="10753" spans="15:15">
      <c r="O10753" s="4288"/>
    </row>
    <row r="10754" spans="15:15">
      <c r="O10754" s="4288"/>
    </row>
    <row r="10755" spans="15:15">
      <c r="O10755" s="4288"/>
    </row>
    <row r="10756" spans="15:15">
      <c r="O10756" s="4288"/>
    </row>
    <row r="10757" spans="15:15">
      <c r="O10757" s="4288"/>
    </row>
    <row r="10758" spans="15:15">
      <c r="O10758" s="4288"/>
    </row>
    <row r="10759" spans="15:15">
      <c r="O10759" s="4288"/>
    </row>
    <row r="10760" spans="15:15">
      <c r="O10760" s="4288"/>
    </row>
    <row r="10761" spans="15:15">
      <c r="O10761" s="4288"/>
    </row>
    <row r="10762" spans="15:15">
      <c r="O10762" s="4288"/>
    </row>
    <row r="10763" spans="15:15">
      <c r="O10763" s="4288"/>
    </row>
    <row r="10764" spans="15:15">
      <c r="O10764" s="4288"/>
    </row>
    <row r="10765" spans="15:15">
      <c r="O10765" s="4288"/>
    </row>
    <row r="10766" spans="15:15">
      <c r="O10766" s="4288"/>
    </row>
    <row r="10767" spans="15:15">
      <c r="O10767" s="4288"/>
    </row>
    <row r="10768" spans="15:15">
      <c r="O10768" s="4288"/>
    </row>
    <row r="10769" spans="15:15">
      <c r="O10769" s="4288"/>
    </row>
    <row r="10770" spans="15:15">
      <c r="O10770" s="4288"/>
    </row>
    <row r="10771" spans="15:15">
      <c r="O10771" s="4288"/>
    </row>
    <row r="10772" spans="15:15">
      <c r="O10772" s="4288"/>
    </row>
    <row r="10773" spans="15:15">
      <c r="O10773" s="4288"/>
    </row>
    <row r="10774" spans="15:15">
      <c r="O10774" s="4288"/>
    </row>
    <row r="10775" spans="15:15">
      <c r="O10775" s="4288"/>
    </row>
    <row r="10776" spans="15:15">
      <c r="O10776" s="4288"/>
    </row>
    <row r="10777" spans="15:15">
      <c r="O10777" s="4288"/>
    </row>
    <row r="10778" spans="15:15">
      <c r="O10778" s="4288"/>
    </row>
    <row r="10779" spans="15:15">
      <c r="O10779" s="4288"/>
    </row>
    <row r="10780" spans="15:15">
      <c r="O10780" s="4288"/>
    </row>
    <row r="10781" spans="15:15">
      <c r="O10781" s="4288"/>
    </row>
    <row r="10782" spans="15:15">
      <c r="O10782" s="4288"/>
    </row>
    <row r="10783" spans="15:15">
      <c r="O10783" s="4288"/>
    </row>
    <row r="10784" spans="15:15">
      <c r="O10784" s="4288"/>
    </row>
    <row r="10785" spans="15:15">
      <c r="O10785" s="4288"/>
    </row>
    <row r="10786" spans="15:15">
      <c r="O10786" s="4288"/>
    </row>
    <row r="10787" spans="15:15">
      <c r="O10787" s="4288"/>
    </row>
    <row r="10788" spans="15:15">
      <c r="O10788" s="4288"/>
    </row>
    <row r="10789" spans="15:15">
      <c r="O10789" s="4288"/>
    </row>
    <row r="10790" spans="15:15">
      <c r="O10790" s="4288"/>
    </row>
    <row r="10791" spans="15:15">
      <c r="O10791" s="4288"/>
    </row>
    <row r="10792" spans="15:15">
      <c r="O10792" s="4288"/>
    </row>
    <row r="10793" spans="15:15">
      <c r="O10793" s="4288"/>
    </row>
    <row r="10794" spans="15:15">
      <c r="O10794" s="4288"/>
    </row>
    <row r="10795" spans="15:15">
      <c r="O10795" s="4288"/>
    </row>
    <row r="10796" spans="15:15">
      <c r="O10796" s="4288"/>
    </row>
    <row r="10797" spans="15:15">
      <c r="O10797" s="4288"/>
    </row>
    <row r="10798" spans="15:15">
      <c r="O10798" s="4288"/>
    </row>
    <row r="10799" spans="15:15">
      <c r="O10799" s="4288"/>
    </row>
    <row r="10800" spans="15:15">
      <c r="O10800" s="4288"/>
    </row>
    <row r="10801" spans="15:15">
      <c r="O10801" s="4288"/>
    </row>
    <row r="10802" spans="15:15">
      <c r="O10802" s="4288"/>
    </row>
    <row r="10803" spans="15:15">
      <c r="O10803" s="4288"/>
    </row>
    <row r="10804" spans="15:15">
      <c r="O10804" s="4288"/>
    </row>
    <row r="10805" spans="15:15">
      <c r="O10805" s="4288"/>
    </row>
    <row r="10806" spans="15:15">
      <c r="O10806" s="4288"/>
    </row>
    <row r="10807" spans="15:15">
      <c r="O10807" s="4288"/>
    </row>
    <row r="10808" spans="15:15">
      <c r="O10808" s="4288"/>
    </row>
    <row r="10809" spans="15:15">
      <c r="O10809" s="4288"/>
    </row>
    <row r="10810" spans="15:15">
      <c r="O10810" s="4288"/>
    </row>
    <row r="10811" spans="15:15">
      <c r="O10811" s="4288"/>
    </row>
    <row r="10812" spans="15:15">
      <c r="O10812" s="4288"/>
    </row>
    <row r="10813" spans="15:15">
      <c r="O10813" s="4288"/>
    </row>
    <row r="10814" spans="15:15">
      <c r="O10814" s="4288"/>
    </row>
    <row r="10815" spans="15:15">
      <c r="O10815" s="4288"/>
    </row>
    <row r="10816" spans="15:15">
      <c r="O10816" s="4288"/>
    </row>
    <row r="10817" spans="15:15">
      <c r="O10817" s="4288"/>
    </row>
    <row r="10818" spans="15:15">
      <c r="O10818" s="4288"/>
    </row>
    <row r="10819" spans="15:15">
      <c r="O10819" s="4288"/>
    </row>
    <row r="10820" spans="15:15">
      <c r="O10820" s="4288"/>
    </row>
    <row r="10821" spans="15:15">
      <c r="O10821" s="4288"/>
    </row>
    <row r="10822" spans="15:15">
      <c r="O10822" s="4288"/>
    </row>
    <row r="10823" spans="15:15">
      <c r="O10823" s="4288"/>
    </row>
    <row r="10824" spans="15:15">
      <c r="O10824" s="4288"/>
    </row>
    <row r="10825" spans="15:15">
      <c r="O10825" s="4288"/>
    </row>
    <row r="10826" spans="15:15">
      <c r="O10826" s="4288"/>
    </row>
    <row r="10827" spans="15:15">
      <c r="O10827" s="4288"/>
    </row>
    <row r="10828" spans="15:15">
      <c r="O10828" s="4288"/>
    </row>
    <row r="10829" spans="15:15">
      <c r="O10829" s="4288"/>
    </row>
    <row r="10830" spans="15:15">
      <c r="O10830" s="4288"/>
    </row>
    <row r="10831" spans="15:15">
      <c r="O10831" s="4288"/>
    </row>
    <row r="10832" spans="15:15">
      <c r="O10832" s="4288"/>
    </row>
    <row r="10833" spans="15:15">
      <c r="O10833" s="4288"/>
    </row>
    <row r="10834" spans="15:15">
      <c r="O10834" s="4288"/>
    </row>
    <row r="10835" spans="15:15">
      <c r="O10835" s="4288"/>
    </row>
    <row r="10836" spans="15:15">
      <c r="O10836" s="4288"/>
    </row>
    <row r="10837" spans="15:15">
      <c r="O10837" s="4288"/>
    </row>
    <row r="10838" spans="15:15">
      <c r="O10838" s="4288"/>
    </row>
    <row r="10839" spans="15:15">
      <c r="O10839" s="4288"/>
    </row>
    <row r="10840" spans="15:15">
      <c r="O10840" s="4288"/>
    </row>
    <row r="10841" spans="15:15">
      <c r="O10841" s="4288"/>
    </row>
    <row r="10842" spans="15:15">
      <c r="O10842" s="4288"/>
    </row>
    <row r="10843" spans="15:15">
      <c r="O10843" s="4288"/>
    </row>
    <row r="10844" spans="15:15">
      <c r="O10844" s="4288"/>
    </row>
    <row r="10845" spans="15:15">
      <c r="O10845" s="4288"/>
    </row>
    <row r="10846" spans="15:15">
      <c r="O10846" s="4288"/>
    </row>
    <row r="10847" spans="15:15">
      <c r="O10847" s="4288"/>
    </row>
    <row r="10848" spans="15:15">
      <c r="O10848" s="4288"/>
    </row>
    <row r="10849" spans="15:15">
      <c r="O10849" s="4288"/>
    </row>
    <row r="10850" spans="15:15">
      <c r="O10850" s="4288"/>
    </row>
    <row r="10851" spans="15:15">
      <c r="O10851" s="4288"/>
    </row>
    <row r="10852" spans="15:15">
      <c r="O10852" s="4288"/>
    </row>
    <row r="10853" spans="15:15">
      <c r="O10853" s="4288"/>
    </row>
    <row r="10854" spans="15:15">
      <c r="O10854" s="4288"/>
    </row>
    <row r="10855" spans="15:15">
      <c r="O10855" s="4288"/>
    </row>
    <row r="10856" spans="15:15">
      <c r="O10856" s="4288"/>
    </row>
    <row r="10857" spans="15:15">
      <c r="O10857" s="4288"/>
    </row>
    <row r="10858" spans="15:15">
      <c r="O10858" s="4288"/>
    </row>
    <row r="10859" spans="15:15">
      <c r="O10859" s="4288"/>
    </row>
    <row r="10860" spans="15:15">
      <c r="O10860" s="4288"/>
    </row>
    <row r="10861" spans="15:15">
      <c r="O10861" s="4288"/>
    </row>
    <row r="10862" spans="15:15">
      <c r="O10862" s="4288"/>
    </row>
    <row r="10863" spans="15:15">
      <c r="O10863" s="4288"/>
    </row>
    <row r="10864" spans="15:15">
      <c r="O10864" s="4288"/>
    </row>
    <row r="10865" spans="15:15">
      <c r="O10865" s="4288"/>
    </row>
    <row r="10866" spans="15:15">
      <c r="O10866" s="4288"/>
    </row>
    <row r="10867" spans="15:15">
      <c r="O10867" s="4288"/>
    </row>
    <row r="10868" spans="15:15">
      <c r="O10868" s="4288"/>
    </row>
    <row r="10869" spans="15:15">
      <c r="O10869" s="4288"/>
    </row>
    <row r="10870" spans="15:15">
      <c r="O10870" s="4288"/>
    </row>
    <row r="10871" spans="15:15">
      <c r="O10871" s="4288"/>
    </row>
    <row r="10872" spans="15:15">
      <c r="O10872" s="4288"/>
    </row>
    <row r="10873" spans="15:15">
      <c r="O10873" s="4288"/>
    </row>
    <row r="10874" spans="15:15">
      <c r="O10874" s="4288"/>
    </row>
    <row r="10875" spans="15:15">
      <c r="O10875" s="4288"/>
    </row>
    <row r="10876" spans="15:15">
      <c r="O10876" s="4288"/>
    </row>
    <row r="10877" spans="15:15">
      <c r="O10877" s="4288"/>
    </row>
    <row r="10878" spans="15:15">
      <c r="O10878" s="4288"/>
    </row>
    <row r="10879" spans="15:15">
      <c r="O10879" s="4288"/>
    </row>
    <row r="10880" spans="15:15">
      <c r="O10880" s="4288"/>
    </row>
    <row r="10881" spans="15:15">
      <c r="O10881" s="4288"/>
    </row>
    <row r="10882" spans="15:15">
      <c r="O10882" s="4288"/>
    </row>
    <row r="10883" spans="15:15">
      <c r="O10883" s="4288"/>
    </row>
    <row r="10884" spans="15:15">
      <c r="O10884" s="4288"/>
    </row>
    <row r="10885" spans="15:15">
      <c r="O10885" s="4288"/>
    </row>
    <row r="10886" spans="15:15">
      <c r="O10886" s="4288"/>
    </row>
    <row r="10887" spans="15:15">
      <c r="O10887" s="4288"/>
    </row>
    <row r="10888" spans="15:15">
      <c r="O10888" s="4288"/>
    </row>
    <row r="10889" spans="15:15">
      <c r="O10889" s="4288"/>
    </row>
    <row r="10890" spans="15:15">
      <c r="O10890" s="4288"/>
    </row>
    <row r="10891" spans="15:15">
      <c r="O10891" s="4288"/>
    </row>
    <row r="10892" spans="15:15">
      <c r="O10892" s="4288"/>
    </row>
    <row r="10893" spans="15:15">
      <c r="O10893" s="4288"/>
    </row>
    <row r="10894" spans="15:15">
      <c r="O10894" s="4288"/>
    </row>
    <row r="10895" spans="15:15">
      <c r="O10895" s="4288"/>
    </row>
    <row r="10896" spans="15:15">
      <c r="O10896" s="4288"/>
    </row>
    <row r="10897" spans="15:15">
      <c r="O10897" s="4288"/>
    </row>
    <row r="10898" spans="15:15">
      <c r="O10898" s="4288"/>
    </row>
    <row r="10899" spans="15:15">
      <c r="O10899" s="4288"/>
    </row>
    <row r="10900" spans="15:15">
      <c r="O10900" s="4288"/>
    </row>
    <row r="10901" spans="15:15">
      <c r="O10901" s="4288"/>
    </row>
    <row r="10902" spans="15:15">
      <c r="O10902" s="4288"/>
    </row>
    <row r="10903" spans="15:15">
      <c r="O10903" s="4288"/>
    </row>
    <row r="10904" spans="15:15">
      <c r="O10904" s="4288"/>
    </row>
    <row r="10905" spans="15:15">
      <c r="O10905" s="4288"/>
    </row>
    <row r="10906" spans="15:15">
      <c r="O10906" s="4288"/>
    </row>
    <row r="10907" spans="15:15">
      <c r="O10907" s="4288"/>
    </row>
    <row r="10908" spans="15:15">
      <c r="O10908" s="4288"/>
    </row>
    <row r="10909" spans="15:15">
      <c r="O10909" s="4288"/>
    </row>
    <row r="10910" spans="15:15">
      <c r="O10910" s="4288"/>
    </row>
    <row r="10911" spans="15:15">
      <c r="O10911" s="4288"/>
    </row>
    <row r="10912" spans="15:15">
      <c r="O10912" s="4288"/>
    </row>
    <row r="10913" spans="15:15">
      <c r="O10913" s="4288"/>
    </row>
    <row r="10914" spans="15:15">
      <c r="O10914" s="4288"/>
    </row>
    <row r="10915" spans="15:15">
      <c r="O10915" s="4288"/>
    </row>
    <row r="10916" spans="15:15">
      <c r="O10916" s="4288"/>
    </row>
    <row r="10917" spans="15:15">
      <c r="O10917" s="4288"/>
    </row>
    <row r="10918" spans="15:15">
      <c r="O10918" s="4288"/>
    </row>
    <row r="10919" spans="15:15">
      <c r="O10919" s="4288"/>
    </row>
    <row r="10920" spans="15:15">
      <c r="O10920" s="4288"/>
    </row>
    <row r="10921" spans="15:15">
      <c r="O10921" s="4288"/>
    </row>
    <row r="10922" spans="15:15">
      <c r="O10922" s="4288"/>
    </row>
    <row r="10923" spans="15:15">
      <c r="O10923" s="4288"/>
    </row>
    <row r="10924" spans="15:15">
      <c r="O10924" s="4288"/>
    </row>
    <row r="10925" spans="15:15">
      <c r="O10925" s="4288"/>
    </row>
    <row r="10926" spans="15:15">
      <c r="O10926" s="4288"/>
    </row>
    <row r="10927" spans="15:15">
      <c r="O10927" s="4288"/>
    </row>
    <row r="10928" spans="15:15">
      <c r="O10928" s="4288"/>
    </row>
    <row r="10929" spans="15:15">
      <c r="O10929" s="4288"/>
    </row>
    <row r="10930" spans="15:15">
      <c r="O10930" s="4288"/>
    </row>
    <row r="10931" spans="15:15">
      <c r="O10931" s="4288"/>
    </row>
    <row r="10932" spans="15:15">
      <c r="O10932" s="4288"/>
    </row>
    <row r="10933" spans="15:15">
      <c r="O10933" s="4288"/>
    </row>
    <row r="10934" spans="15:15">
      <c r="O10934" s="4288"/>
    </row>
    <row r="10935" spans="15:15">
      <c r="O10935" s="4288"/>
    </row>
    <row r="10936" spans="15:15">
      <c r="O10936" s="4288"/>
    </row>
    <row r="10937" spans="15:15">
      <c r="O10937" s="4288"/>
    </row>
    <row r="10938" spans="15:15">
      <c r="O10938" s="4288"/>
    </row>
    <row r="10939" spans="15:15">
      <c r="O10939" s="4288"/>
    </row>
    <row r="10940" spans="15:15">
      <c r="O10940" s="4288"/>
    </row>
    <row r="10941" spans="15:15">
      <c r="O10941" s="4288"/>
    </row>
    <row r="10942" spans="15:15">
      <c r="O10942" s="4288"/>
    </row>
    <row r="10943" spans="15:15">
      <c r="O10943" s="4288"/>
    </row>
    <row r="10944" spans="15:15">
      <c r="O10944" s="4288"/>
    </row>
    <row r="10945" spans="15:15">
      <c r="O10945" s="4288"/>
    </row>
    <row r="10946" spans="15:15">
      <c r="O10946" s="4288"/>
    </row>
    <row r="10947" spans="15:15">
      <c r="O10947" s="4288"/>
    </row>
    <row r="10948" spans="15:15">
      <c r="O10948" s="4288"/>
    </row>
    <row r="10949" spans="15:15">
      <c r="O10949" s="4288"/>
    </row>
    <row r="10950" spans="15:15">
      <c r="O10950" s="4288"/>
    </row>
    <row r="10951" spans="15:15">
      <c r="O10951" s="4288"/>
    </row>
    <row r="10952" spans="15:15">
      <c r="O10952" s="4288"/>
    </row>
    <row r="10953" spans="15:15">
      <c r="O10953" s="4288"/>
    </row>
    <row r="10954" spans="15:15">
      <c r="O10954" s="4288"/>
    </row>
    <row r="10955" spans="15:15">
      <c r="O10955" s="4288"/>
    </row>
    <row r="10956" spans="15:15">
      <c r="O10956" s="4288"/>
    </row>
    <row r="10957" spans="15:15">
      <c r="O10957" s="4288"/>
    </row>
    <row r="10958" spans="15:15">
      <c r="O10958" s="4288"/>
    </row>
    <row r="10959" spans="15:15">
      <c r="O10959" s="4288"/>
    </row>
    <row r="10960" spans="15:15">
      <c r="O10960" s="4288"/>
    </row>
    <row r="10961" spans="15:15">
      <c r="O10961" s="4288"/>
    </row>
    <row r="10962" spans="15:15">
      <c r="O10962" s="4288"/>
    </row>
    <row r="10963" spans="15:15">
      <c r="O10963" s="4288"/>
    </row>
    <row r="10964" spans="15:15">
      <c r="O10964" s="4288"/>
    </row>
    <row r="10965" spans="15:15">
      <c r="O10965" s="4288"/>
    </row>
    <row r="10966" spans="15:15">
      <c r="O10966" s="4288"/>
    </row>
    <row r="10967" spans="15:15">
      <c r="O10967" s="4288"/>
    </row>
    <row r="10968" spans="15:15">
      <c r="O10968" s="4288"/>
    </row>
    <row r="10969" spans="15:15">
      <c r="O10969" s="4288"/>
    </row>
    <row r="10970" spans="15:15">
      <c r="O10970" s="4288"/>
    </row>
    <row r="10971" spans="15:15">
      <c r="O10971" s="4288"/>
    </row>
    <row r="10972" spans="15:15">
      <c r="O10972" s="4288"/>
    </row>
    <row r="10973" spans="15:15">
      <c r="O10973" s="4288"/>
    </row>
    <row r="10974" spans="15:15">
      <c r="O10974" s="4288"/>
    </row>
    <row r="10975" spans="15:15">
      <c r="O10975" s="4288"/>
    </row>
    <row r="10976" spans="15:15">
      <c r="O10976" s="4288"/>
    </row>
    <row r="10977" spans="15:15">
      <c r="O10977" s="4288"/>
    </row>
    <row r="10978" spans="15:15">
      <c r="O10978" s="4288"/>
    </row>
    <row r="10979" spans="15:15">
      <c r="O10979" s="4288"/>
    </row>
    <row r="10980" spans="15:15">
      <c r="O10980" s="4288"/>
    </row>
    <row r="10981" spans="15:15">
      <c r="O10981" s="4288"/>
    </row>
    <row r="10982" spans="15:15">
      <c r="O10982" s="4288"/>
    </row>
    <row r="10983" spans="15:15">
      <c r="O10983" s="4288"/>
    </row>
    <row r="10984" spans="15:15">
      <c r="O10984" s="4288"/>
    </row>
    <row r="10985" spans="15:15">
      <c r="O10985" s="4288"/>
    </row>
    <row r="10986" spans="15:15">
      <c r="O10986" s="4288"/>
    </row>
    <row r="10987" spans="15:15">
      <c r="O10987" s="4288"/>
    </row>
    <row r="10988" spans="15:15">
      <c r="O10988" s="4288"/>
    </row>
    <row r="10989" spans="15:15">
      <c r="O10989" s="4288"/>
    </row>
    <row r="10990" spans="15:15">
      <c r="O10990" s="4288"/>
    </row>
    <row r="10991" spans="15:15">
      <c r="O10991" s="4288"/>
    </row>
    <row r="10992" spans="15:15">
      <c r="O10992" s="4288"/>
    </row>
    <row r="10993" spans="15:15">
      <c r="O10993" s="4288"/>
    </row>
    <row r="10994" spans="15:15">
      <c r="O10994" s="4288"/>
    </row>
    <row r="10995" spans="15:15">
      <c r="O10995" s="4288"/>
    </row>
    <row r="10996" spans="15:15">
      <c r="O10996" s="4288"/>
    </row>
    <row r="10997" spans="15:15">
      <c r="O10997" s="4288"/>
    </row>
    <row r="10998" spans="15:15">
      <c r="O10998" s="4288"/>
    </row>
    <row r="10999" spans="15:15">
      <c r="O10999" s="4288"/>
    </row>
    <row r="11000" spans="15:15">
      <c r="O11000" s="4288"/>
    </row>
    <row r="11001" spans="15:15">
      <c r="O11001" s="4288"/>
    </row>
    <row r="11002" spans="15:15">
      <c r="O11002" s="4288"/>
    </row>
    <row r="11003" spans="15:15">
      <c r="O11003" s="4288"/>
    </row>
    <row r="11004" spans="15:15">
      <c r="O11004" s="4288"/>
    </row>
    <row r="11005" spans="15:15">
      <c r="O11005" s="4288"/>
    </row>
    <row r="11006" spans="15:15">
      <c r="O11006" s="4288"/>
    </row>
    <row r="11007" spans="15:15">
      <c r="O11007" s="4288"/>
    </row>
    <row r="11008" spans="15:15">
      <c r="O11008" s="4288"/>
    </row>
    <row r="11009" spans="15:15">
      <c r="O11009" s="4288"/>
    </row>
    <row r="11010" spans="15:15">
      <c r="O11010" s="4288"/>
    </row>
    <row r="11011" spans="15:15">
      <c r="O11011" s="4288"/>
    </row>
    <row r="11012" spans="15:15">
      <c r="O11012" s="4288"/>
    </row>
    <row r="11013" spans="15:15">
      <c r="O11013" s="4288"/>
    </row>
    <row r="11014" spans="15:15">
      <c r="O11014" s="4288"/>
    </row>
    <row r="11015" spans="15:15">
      <c r="O11015" s="4288"/>
    </row>
    <row r="11016" spans="15:15">
      <c r="O11016" s="4288"/>
    </row>
    <row r="11017" spans="15:15">
      <c r="O11017" s="4288"/>
    </row>
    <row r="11018" spans="15:15">
      <c r="O11018" s="4288"/>
    </row>
    <row r="11019" spans="15:15">
      <c r="O11019" s="4288"/>
    </row>
    <row r="11020" spans="15:15">
      <c r="O11020" s="4288"/>
    </row>
    <row r="11021" spans="15:15">
      <c r="O11021" s="4288"/>
    </row>
    <row r="11022" spans="15:15">
      <c r="O11022" s="4288"/>
    </row>
    <row r="11023" spans="15:15">
      <c r="O11023" s="4288"/>
    </row>
    <row r="11024" spans="15:15">
      <c r="O11024" s="4288"/>
    </row>
    <row r="11025" spans="15:15">
      <c r="O11025" s="4288"/>
    </row>
    <row r="11026" spans="15:15">
      <c r="O11026" s="4288"/>
    </row>
    <row r="11027" spans="15:15">
      <c r="O11027" s="4288"/>
    </row>
    <row r="11028" spans="15:15">
      <c r="O11028" s="4288"/>
    </row>
    <row r="11029" spans="15:15">
      <c r="O11029" s="4288"/>
    </row>
    <row r="11030" spans="15:15">
      <c r="O11030" s="4288"/>
    </row>
    <row r="11031" spans="15:15">
      <c r="O11031" s="4288"/>
    </row>
    <row r="11032" spans="15:15">
      <c r="O11032" s="4288"/>
    </row>
    <row r="11033" spans="15:15">
      <c r="O11033" s="4288"/>
    </row>
    <row r="11034" spans="15:15">
      <c r="O11034" s="4288"/>
    </row>
    <row r="11035" spans="15:15">
      <c r="O11035" s="4288"/>
    </row>
    <row r="11036" spans="15:15">
      <c r="O11036" s="4288"/>
    </row>
    <row r="11037" spans="15:15">
      <c r="O11037" s="4288"/>
    </row>
    <row r="11038" spans="15:15">
      <c r="O11038" s="4288"/>
    </row>
    <row r="11039" spans="15:15">
      <c r="O11039" s="4288"/>
    </row>
    <row r="11040" spans="15:15">
      <c r="O11040" s="4288"/>
    </row>
    <row r="11041" spans="15:15">
      <c r="O11041" s="4288"/>
    </row>
    <row r="11042" spans="15:15">
      <c r="O11042" s="4288"/>
    </row>
    <row r="11043" spans="15:15">
      <c r="O11043" s="4288"/>
    </row>
    <row r="11044" spans="15:15">
      <c r="O11044" s="4288"/>
    </row>
    <row r="11045" spans="15:15">
      <c r="O11045" s="4288"/>
    </row>
    <row r="11046" spans="15:15">
      <c r="O11046" s="4288"/>
    </row>
    <row r="11047" spans="15:15">
      <c r="O11047" s="4288"/>
    </row>
    <row r="11048" spans="15:15">
      <c r="O11048" s="4288"/>
    </row>
    <row r="11049" spans="15:15">
      <c r="O11049" s="4288"/>
    </row>
    <row r="11050" spans="15:15">
      <c r="O11050" s="4288"/>
    </row>
    <row r="11051" spans="15:15">
      <c r="O11051" s="4288"/>
    </row>
    <row r="11052" spans="15:15">
      <c r="O11052" s="4288"/>
    </row>
    <row r="11053" spans="15:15">
      <c r="O11053" s="4288"/>
    </row>
    <row r="11054" spans="15:15">
      <c r="O11054" s="4288"/>
    </row>
    <row r="11055" spans="15:15">
      <c r="O11055" s="4288"/>
    </row>
    <row r="11056" spans="15:15">
      <c r="O11056" s="4288"/>
    </row>
    <row r="11057" spans="15:15">
      <c r="O11057" s="4288"/>
    </row>
    <row r="11058" spans="15:15">
      <c r="O11058" s="4288"/>
    </row>
    <row r="11059" spans="15:15">
      <c r="O11059" s="4288"/>
    </row>
    <row r="11060" spans="15:15">
      <c r="O11060" s="4288"/>
    </row>
    <row r="11061" spans="15:15">
      <c r="O11061" s="4288"/>
    </row>
    <row r="11062" spans="15:15">
      <c r="O11062" s="4288"/>
    </row>
    <row r="11063" spans="15:15">
      <c r="O11063" s="4288"/>
    </row>
    <row r="11064" spans="15:15">
      <c r="O11064" s="4288"/>
    </row>
    <row r="11065" spans="15:15">
      <c r="O11065" s="4288"/>
    </row>
    <row r="11066" spans="15:15">
      <c r="O11066" s="4288"/>
    </row>
    <row r="11067" spans="15:15">
      <c r="O11067" s="4288"/>
    </row>
    <row r="11068" spans="15:15">
      <c r="O11068" s="4288"/>
    </row>
    <row r="11069" spans="15:15">
      <c r="O11069" s="4288"/>
    </row>
    <row r="11070" spans="15:15">
      <c r="O11070" s="4288"/>
    </row>
    <row r="11071" spans="15:15">
      <c r="O11071" s="4288"/>
    </row>
    <row r="11072" spans="15:15">
      <c r="O11072" s="4288"/>
    </row>
    <row r="11073" spans="15:15">
      <c r="O11073" s="4288"/>
    </row>
    <row r="11074" spans="15:15">
      <c r="O11074" s="4288"/>
    </row>
    <row r="11075" spans="15:15">
      <c r="O11075" s="4288"/>
    </row>
    <row r="11076" spans="15:15">
      <c r="O11076" s="4288"/>
    </row>
    <row r="11077" spans="15:15">
      <c r="O11077" s="4288"/>
    </row>
    <row r="11078" spans="15:15">
      <c r="O11078" s="4288"/>
    </row>
    <row r="11079" spans="15:15">
      <c r="O11079" s="4288"/>
    </row>
    <row r="11080" spans="15:15">
      <c r="O11080" s="4288"/>
    </row>
    <row r="11081" spans="15:15">
      <c r="O11081" s="4288"/>
    </row>
    <row r="11082" spans="15:15">
      <c r="O11082" s="4288"/>
    </row>
    <row r="11083" spans="15:15">
      <c r="O11083" s="4288"/>
    </row>
    <row r="11084" spans="15:15">
      <c r="O11084" s="4288"/>
    </row>
    <row r="11085" spans="15:15">
      <c r="O11085" s="4288"/>
    </row>
    <row r="11086" spans="15:15">
      <c r="O11086" s="4288"/>
    </row>
    <row r="11087" spans="15:15">
      <c r="O11087" s="4288"/>
    </row>
    <row r="11088" spans="15:15">
      <c r="O11088" s="4288"/>
    </row>
    <row r="11089" spans="15:15">
      <c r="O11089" s="4288"/>
    </row>
    <row r="11090" spans="15:15">
      <c r="O11090" s="4288"/>
    </row>
    <row r="11091" spans="15:15">
      <c r="O11091" s="4288"/>
    </row>
    <row r="11092" spans="15:15">
      <c r="O11092" s="4288"/>
    </row>
    <row r="11093" spans="15:15">
      <c r="O11093" s="4288"/>
    </row>
    <row r="11094" spans="15:15">
      <c r="O11094" s="4288"/>
    </row>
    <row r="11095" spans="15:15">
      <c r="O11095" s="4288"/>
    </row>
    <row r="11096" spans="15:15">
      <c r="O11096" s="4288"/>
    </row>
    <row r="11097" spans="15:15">
      <c r="O11097" s="4288"/>
    </row>
    <row r="11098" spans="15:15">
      <c r="O11098" s="4288"/>
    </row>
    <row r="11099" spans="15:15">
      <c r="O11099" s="4288"/>
    </row>
    <row r="11100" spans="15:15">
      <c r="O11100" s="4288"/>
    </row>
    <row r="11101" spans="15:15">
      <c r="O11101" s="4288"/>
    </row>
    <row r="11102" spans="15:15">
      <c r="O11102" s="4288"/>
    </row>
    <row r="11103" spans="15:15">
      <c r="O11103" s="4288"/>
    </row>
    <row r="11104" spans="15:15">
      <c r="O11104" s="4288"/>
    </row>
    <row r="11105" spans="15:15">
      <c r="O11105" s="4288"/>
    </row>
    <row r="11106" spans="15:15">
      <c r="O11106" s="4288"/>
    </row>
    <row r="11107" spans="15:15">
      <c r="O11107" s="4288"/>
    </row>
    <row r="11108" spans="15:15">
      <c r="O11108" s="4288"/>
    </row>
    <row r="11109" spans="15:15">
      <c r="O11109" s="4288"/>
    </row>
    <row r="11110" spans="15:15">
      <c r="O11110" s="4288"/>
    </row>
    <row r="11111" spans="15:15">
      <c r="O11111" s="4288"/>
    </row>
    <row r="11112" spans="15:15">
      <c r="O11112" s="4288"/>
    </row>
    <row r="11113" spans="15:15">
      <c r="O11113" s="4288"/>
    </row>
    <row r="11114" spans="15:15">
      <c r="O11114" s="4288"/>
    </row>
    <row r="11115" spans="15:15">
      <c r="O11115" s="4288"/>
    </row>
    <row r="11116" spans="15:15">
      <c r="O11116" s="4288"/>
    </row>
    <row r="11117" spans="15:15">
      <c r="O11117" s="4288"/>
    </row>
    <row r="11118" spans="15:15">
      <c r="O11118" s="4288"/>
    </row>
    <row r="11119" spans="15:15">
      <c r="O11119" s="4288"/>
    </row>
    <row r="11120" spans="15:15">
      <c r="O11120" s="4288"/>
    </row>
    <row r="11121" spans="15:15">
      <c r="O11121" s="4288"/>
    </row>
    <row r="11122" spans="15:15">
      <c r="O11122" s="4288"/>
    </row>
    <row r="11123" spans="15:15">
      <c r="O11123" s="4288"/>
    </row>
    <row r="11124" spans="15:15">
      <c r="O11124" s="4288"/>
    </row>
    <row r="11125" spans="15:15">
      <c r="O11125" s="4288"/>
    </row>
    <row r="11126" spans="15:15">
      <c r="O11126" s="4288"/>
    </row>
    <row r="11127" spans="15:15">
      <c r="O11127" s="4288"/>
    </row>
    <row r="11128" spans="15:15">
      <c r="O11128" s="4288"/>
    </row>
    <row r="11129" spans="15:15">
      <c r="O11129" s="4288"/>
    </row>
    <row r="11130" spans="15:15">
      <c r="O11130" s="4288"/>
    </row>
    <row r="11131" spans="15:15">
      <c r="O11131" s="4288"/>
    </row>
    <row r="11132" spans="15:15">
      <c r="O11132" s="4288"/>
    </row>
    <row r="11133" spans="15:15">
      <c r="O11133" s="4288"/>
    </row>
    <row r="11134" spans="15:15">
      <c r="O11134" s="4288"/>
    </row>
    <row r="11135" spans="15:15">
      <c r="O11135" s="4288"/>
    </row>
    <row r="11136" spans="15:15">
      <c r="O11136" s="4288"/>
    </row>
    <row r="11137" spans="15:15">
      <c r="O11137" s="4288"/>
    </row>
    <row r="11138" spans="15:15">
      <c r="O11138" s="4288"/>
    </row>
    <row r="11139" spans="15:15">
      <c r="O11139" s="4288"/>
    </row>
    <row r="11140" spans="15:15">
      <c r="O11140" s="4288"/>
    </row>
    <row r="11141" spans="15:15">
      <c r="O11141" s="4288"/>
    </row>
    <row r="11142" spans="15:15">
      <c r="O11142" s="4288"/>
    </row>
    <row r="11143" spans="15:15">
      <c r="O11143" s="4288"/>
    </row>
    <row r="11144" spans="15:15">
      <c r="O11144" s="4288"/>
    </row>
    <row r="11145" spans="15:15">
      <c r="O11145" s="4288"/>
    </row>
    <row r="11146" spans="15:15">
      <c r="O11146" s="4288"/>
    </row>
    <row r="11147" spans="15:15">
      <c r="O11147" s="4288"/>
    </row>
    <row r="11148" spans="15:15">
      <c r="O11148" s="4288"/>
    </row>
    <row r="11149" spans="15:15">
      <c r="O11149" s="4288"/>
    </row>
    <row r="11150" spans="15:15">
      <c r="O11150" s="4288"/>
    </row>
    <row r="11151" spans="15:15">
      <c r="O11151" s="4288"/>
    </row>
    <row r="11152" spans="15:15">
      <c r="O11152" s="4288"/>
    </row>
    <row r="11153" spans="15:15">
      <c r="O11153" s="4288"/>
    </row>
    <row r="11154" spans="15:15">
      <c r="O11154" s="4288"/>
    </row>
    <row r="11155" spans="15:15">
      <c r="O11155" s="4288"/>
    </row>
    <row r="11156" spans="15:15">
      <c r="O11156" s="4288"/>
    </row>
    <row r="11157" spans="15:15">
      <c r="O11157" s="4288"/>
    </row>
    <row r="11158" spans="15:15">
      <c r="O11158" s="4288"/>
    </row>
    <row r="11159" spans="15:15">
      <c r="O11159" s="4288"/>
    </row>
    <row r="11160" spans="15:15">
      <c r="O11160" s="4288"/>
    </row>
    <row r="11161" spans="15:15">
      <c r="O11161" s="4288"/>
    </row>
    <row r="11162" spans="15:15">
      <c r="O11162" s="4288"/>
    </row>
    <row r="11163" spans="15:15">
      <c r="O11163" s="4288"/>
    </row>
    <row r="11164" spans="15:15">
      <c r="O11164" s="4288"/>
    </row>
    <row r="11165" spans="15:15">
      <c r="O11165" s="4288"/>
    </row>
    <row r="11166" spans="15:15">
      <c r="O11166" s="4288"/>
    </row>
    <row r="11167" spans="15:15">
      <c r="O11167" s="4288"/>
    </row>
    <row r="11168" spans="15:15">
      <c r="O11168" s="4288"/>
    </row>
    <row r="11169" spans="15:15">
      <c r="O11169" s="4288"/>
    </row>
    <row r="11170" spans="15:15">
      <c r="O11170" s="4288"/>
    </row>
    <row r="11171" spans="15:15">
      <c r="O11171" s="4288"/>
    </row>
    <row r="11172" spans="15:15">
      <c r="O11172" s="4288"/>
    </row>
    <row r="11173" spans="15:15">
      <c r="O11173" s="4288"/>
    </row>
    <row r="11174" spans="15:15">
      <c r="O11174" s="4288"/>
    </row>
    <row r="11175" spans="15:15">
      <c r="O11175" s="4288"/>
    </row>
    <row r="11176" spans="15:15">
      <c r="O11176" s="4288"/>
    </row>
    <row r="11177" spans="15:15">
      <c r="O11177" s="4288"/>
    </row>
    <row r="11178" spans="15:15">
      <c r="O11178" s="4288"/>
    </row>
    <row r="11179" spans="15:15">
      <c r="O11179" s="4288"/>
    </row>
    <row r="11180" spans="15:15">
      <c r="O11180" s="4288"/>
    </row>
    <row r="11181" spans="15:15">
      <c r="O11181" s="4288"/>
    </row>
    <row r="11182" spans="15:15">
      <c r="O11182" s="4288"/>
    </row>
    <row r="11183" spans="15:15">
      <c r="O11183" s="4288"/>
    </row>
    <row r="11184" spans="15:15">
      <c r="O11184" s="4288"/>
    </row>
    <row r="11185" spans="15:15">
      <c r="O11185" s="4288"/>
    </row>
    <row r="11186" spans="15:15">
      <c r="O11186" s="4288"/>
    </row>
    <row r="11187" spans="15:15">
      <c r="O11187" s="4288"/>
    </row>
    <row r="11188" spans="15:15">
      <c r="O11188" s="4288"/>
    </row>
    <row r="11189" spans="15:15">
      <c r="O11189" s="4288"/>
    </row>
    <row r="11190" spans="15:15">
      <c r="O11190" s="4288"/>
    </row>
    <row r="11191" spans="15:15">
      <c r="O11191" s="4288"/>
    </row>
    <row r="11192" spans="15:15">
      <c r="O11192" s="4288"/>
    </row>
    <row r="11193" spans="15:15">
      <c r="O11193" s="4288"/>
    </row>
    <row r="11194" spans="15:15">
      <c r="O11194" s="4288"/>
    </row>
    <row r="11195" spans="15:15">
      <c r="O11195" s="4288"/>
    </row>
    <row r="11196" spans="15:15">
      <c r="O11196" s="4288"/>
    </row>
    <row r="11197" spans="15:15">
      <c r="O11197" s="4288"/>
    </row>
    <row r="11198" spans="15:15">
      <c r="O11198" s="4288"/>
    </row>
    <row r="11199" spans="15:15">
      <c r="O11199" s="4288"/>
    </row>
    <row r="11200" spans="15:15">
      <c r="O11200" s="4288"/>
    </row>
    <row r="11201" spans="15:15">
      <c r="O11201" s="4288"/>
    </row>
    <row r="11202" spans="15:15">
      <c r="O11202" s="4288"/>
    </row>
    <row r="11203" spans="15:15">
      <c r="O11203" s="4288"/>
    </row>
    <row r="11204" spans="15:15">
      <c r="O11204" s="4288"/>
    </row>
    <row r="11205" spans="15:15">
      <c r="O11205" s="4288"/>
    </row>
    <row r="11206" spans="15:15">
      <c r="O11206" s="4288"/>
    </row>
    <row r="11207" spans="15:15">
      <c r="O11207" s="4288"/>
    </row>
    <row r="11208" spans="15:15">
      <c r="O11208" s="4288"/>
    </row>
    <row r="11209" spans="15:15">
      <c r="O11209" s="4288"/>
    </row>
    <row r="11210" spans="15:15">
      <c r="O11210" s="4288"/>
    </row>
    <row r="11211" spans="15:15">
      <c r="O11211" s="4288"/>
    </row>
    <row r="11212" spans="15:15">
      <c r="O11212" s="4288"/>
    </row>
    <row r="11213" spans="15:15">
      <c r="O11213" s="4288"/>
    </row>
    <row r="11214" spans="15:15">
      <c r="O11214" s="4288"/>
    </row>
    <row r="11215" spans="15:15">
      <c r="O11215" s="4288"/>
    </row>
    <row r="11216" spans="15:15">
      <c r="O11216" s="4288"/>
    </row>
    <row r="11217" spans="15:15">
      <c r="O11217" s="4288"/>
    </row>
    <row r="11218" spans="15:15">
      <c r="O11218" s="4288"/>
    </row>
    <row r="11219" spans="15:15">
      <c r="O11219" s="4288"/>
    </row>
    <row r="11220" spans="15:15">
      <c r="O11220" s="4288"/>
    </row>
    <row r="11221" spans="15:15">
      <c r="O11221" s="4288"/>
    </row>
    <row r="11222" spans="15:15">
      <c r="O11222" s="4288"/>
    </row>
    <row r="11223" spans="15:15">
      <c r="O11223" s="4288"/>
    </row>
    <row r="11224" spans="15:15">
      <c r="O11224" s="4288"/>
    </row>
    <row r="11225" spans="15:15">
      <c r="O11225" s="4288"/>
    </row>
    <row r="11226" spans="15:15">
      <c r="O11226" s="4288"/>
    </row>
    <row r="11227" spans="15:15">
      <c r="O11227" s="4288"/>
    </row>
    <row r="11228" spans="15:15">
      <c r="O11228" s="4288"/>
    </row>
    <row r="11229" spans="15:15">
      <c r="O11229" s="4288"/>
    </row>
    <row r="11230" spans="15:15">
      <c r="O11230" s="4288"/>
    </row>
    <row r="11231" spans="15:15">
      <c r="O11231" s="4288"/>
    </row>
    <row r="11232" spans="15:15">
      <c r="O11232" s="4288"/>
    </row>
    <row r="11233" spans="15:15">
      <c r="O11233" s="4288"/>
    </row>
    <row r="11234" spans="15:15">
      <c r="O11234" s="4288"/>
    </row>
    <row r="11235" spans="15:15">
      <c r="O11235" s="4288"/>
    </row>
    <row r="11236" spans="15:15">
      <c r="O11236" s="4288"/>
    </row>
    <row r="11237" spans="15:15">
      <c r="O11237" s="4288"/>
    </row>
    <row r="11238" spans="15:15">
      <c r="O11238" s="4288"/>
    </row>
    <row r="11239" spans="15:15">
      <c r="O11239" s="4288"/>
    </row>
    <row r="11240" spans="15:15">
      <c r="O11240" s="4288"/>
    </row>
    <row r="11241" spans="15:15">
      <c r="O11241" s="4288"/>
    </row>
    <row r="11242" spans="15:15">
      <c r="O11242" s="4288"/>
    </row>
    <row r="11243" spans="15:15">
      <c r="O11243" s="4288"/>
    </row>
    <row r="11244" spans="15:15">
      <c r="O11244" s="4288"/>
    </row>
    <row r="11245" spans="15:15">
      <c r="O11245" s="4288"/>
    </row>
    <row r="11246" spans="15:15">
      <c r="O11246" s="4288"/>
    </row>
    <row r="11247" spans="15:15">
      <c r="O11247" s="4288"/>
    </row>
    <row r="11248" spans="15:15">
      <c r="O11248" s="4288"/>
    </row>
    <row r="11249" spans="15:15">
      <c r="O11249" s="4288"/>
    </row>
    <row r="11250" spans="15:15">
      <c r="O11250" s="4288"/>
    </row>
    <row r="11251" spans="15:15">
      <c r="O11251" s="4288"/>
    </row>
    <row r="11252" spans="15:15">
      <c r="O11252" s="4288"/>
    </row>
    <row r="11253" spans="15:15">
      <c r="O11253" s="4288"/>
    </row>
    <row r="11254" spans="15:15">
      <c r="O11254" s="4288"/>
    </row>
    <row r="11255" spans="15:15">
      <c r="O11255" s="4288"/>
    </row>
    <row r="11256" spans="15:15">
      <c r="O11256" s="4288"/>
    </row>
    <row r="11257" spans="15:15">
      <c r="O11257" s="4288"/>
    </row>
    <row r="11258" spans="15:15">
      <c r="O11258" s="4288"/>
    </row>
    <row r="11259" spans="15:15">
      <c r="O11259" s="4288"/>
    </row>
    <row r="11260" spans="15:15">
      <c r="O11260" s="4288"/>
    </row>
    <row r="11261" spans="15:15">
      <c r="O11261" s="4288"/>
    </row>
    <row r="11262" spans="15:15">
      <c r="O11262" s="4288"/>
    </row>
    <row r="11263" spans="15:15">
      <c r="O11263" s="4288"/>
    </row>
    <row r="11264" spans="15:15">
      <c r="O11264" s="4288"/>
    </row>
    <row r="11265" spans="15:15">
      <c r="O11265" s="4288"/>
    </row>
    <row r="11266" spans="15:15">
      <c r="O11266" s="4288"/>
    </row>
    <row r="11267" spans="15:15">
      <c r="O11267" s="4288"/>
    </row>
    <row r="11268" spans="15:15">
      <c r="O11268" s="4288"/>
    </row>
    <row r="11269" spans="15:15">
      <c r="O11269" s="4288"/>
    </row>
    <row r="11270" spans="15:15">
      <c r="O11270" s="4288"/>
    </row>
    <row r="11271" spans="15:15">
      <c r="O11271" s="4288"/>
    </row>
    <row r="11272" spans="15:15">
      <c r="O11272" s="4288"/>
    </row>
    <row r="11273" spans="15:15">
      <c r="O11273" s="4288"/>
    </row>
    <row r="11274" spans="15:15">
      <c r="O11274" s="4288"/>
    </row>
    <row r="11275" spans="15:15">
      <c r="O11275" s="4288"/>
    </row>
    <row r="11276" spans="15:15">
      <c r="O11276" s="4288"/>
    </row>
    <row r="11277" spans="15:15">
      <c r="O11277" s="4288"/>
    </row>
    <row r="11278" spans="15:15">
      <c r="O11278" s="4288"/>
    </row>
    <row r="11279" spans="15:15">
      <c r="O11279" s="4288"/>
    </row>
    <row r="11280" spans="15:15">
      <c r="O11280" s="4288"/>
    </row>
    <row r="11281" spans="15:15">
      <c r="O11281" s="4288"/>
    </row>
    <row r="11282" spans="15:15">
      <c r="O11282" s="4288"/>
    </row>
    <row r="11283" spans="15:15">
      <c r="O11283" s="4288"/>
    </row>
    <row r="11284" spans="15:15">
      <c r="O11284" s="4288"/>
    </row>
    <row r="11285" spans="15:15">
      <c r="O11285" s="4288"/>
    </row>
    <row r="11286" spans="15:15">
      <c r="O11286" s="4288"/>
    </row>
    <row r="11287" spans="15:15">
      <c r="O11287" s="4288"/>
    </row>
    <row r="11288" spans="15:15">
      <c r="O11288" s="4288"/>
    </row>
    <row r="11289" spans="15:15">
      <c r="O11289" s="4288"/>
    </row>
    <row r="11290" spans="15:15">
      <c r="O11290" s="4288"/>
    </row>
    <row r="11291" spans="15:15">
      <c r="O11291" s="4288"/>
    </row>
    <row r="11292" spans="15:15">
      <c r="O11292" s="4288"/>
    </row>
    <row r="11293" spans="15:15">
      <c r="O11293" s="4288"/>
    </row>
    <row r="11294" spans="15:15">
      <c r="O11294" s="4288"/>
    </row>
    <row r="11295" spans="15:15">
      <c r="O11295" s="4288"/>
    </row>
    <row r="11296" spans="15:15">
      <c r="O11296" s="4288"/>
    </row>
    <row r="11297" spans="15:15">
      <c r="O11297" s="4288"/>
    </row>
    <row r="11298" spans="15:15">
      <c r="O11298" s="4288"/>
    </row>
    <row r="11299" spans="15:15">
      <c r="O11299" s="4288"/>
    </row>
    <row r="11300" spans="15:15">
      <c r="O11300" s="4288"/>
    </row>
    <row r="11301" spans="15:15">
      <c r="O11301" s="4288"/>
    </row>
    <row r="11302" spans="15:15">
      <c r="O11302" s="4288"/>
    </row>
    <row r="11303" spans="15:15">
      <c r="O11303" s="4288"/>
    </row>
    <row r="11304" spans="15:15">
      <c r="O11304" s="4288"/>
    </row>
    <row r="11305" spans="15:15">
      <c r="O11305" s="4288"/>
    </row>
    <row r="11306" spans="15:15">
      <c r="O11306" s="4288"/>
    </row>
    <row r="11307" spans="15:15">
      <c r="O11307" s="4288"/>
    </row>
    <row r="11308" spans="15:15">
      <c r="O11308" s="4288"/>
    </row>
    <row r="11309" spans="15:15">
      <c r="O11309" s="4288"/>
    </row>
    <row r="11310" spans="15:15">
      <c r="O11310" s="4288"/>
    </row>
    <row r="11311" spans="15:15">
      <c r="O11311" s="4288"/>
    </row>
    <row r="11312" spans="15:15">
      <c r="O11312" s="4288"/>
    </row>
    <row r="11313" spans="15:15">
      <c r="O11313" s="4288"/>
    </row>
    <row r="11314" spans="15:15">
      <c r="O11314" s="4288"/>
    </row>
    <row r="11315" spans="15:15">
      <c r="O11315" s="4288"/>
    </row>
    <row r="11316" spans="15:15">
      <c r="O11316" s="4288"/>
    </row>
    <row r="11317" spans="15:15">
      <c r="O11317" s="4288"/>
    </row>
    <row r="11318" spans="15:15">
      <c r="O11318" s="4288"/>
    </row>
    <row r="11319" spans="15:15">
      <c r="O11319" s="4288"/>
    </row>
    <row r="11320" spans="15:15">
      <c r="O11320" s="4288"/>
    </row>
    <row r="11321" spans="15:15">
      <c r="O11321" s="4288"/>
    </row>
    <row r="11322" spans="15:15">
      <c r="O11322" s="4288"/>
    </row>
    <row r="11323" spans="15:15">
      <c r="O11323" s="4288"/>
    </row>
    <row r="11324" spans="15:15">
      <c r="O11324" s="4288"/>
    </row>
    <row r="11325" spans="15:15">
      <c r="O11325" s="4288"/>
    </row>
    <row r="11326" spans="15:15">
      <c r="O11326" s="4288"/>
    </row>
    <row r="11327" spans="15:15">
      <c r="O11327" s="4288"/>
    </row>
    <row r="11328" spans="15:15">
      <c r="O11328" s="4288"/>
    </row>
    <row r="11329" spans="15:15">
      <c r="O11329" s="4288"/>
    </row>
    <row r="11330" spans="15:15">
      <c r="O11330" s="4288"/>
    </row>
    <row r="11331" spans="15:15">
      <c r="O11331" s="4288"/>
    </row>
    <row r="11332" spans="15:15">
      <c r="O11332" s="4288"/>
    </row>
    <row r="11333" spans="15:15">
      <c r="O11333" s="4288"/>
    </row>
    <row r="11334" spans="15:15">
      <c r="O11334" s="4288"/>
    </row>
    <row r="11335" spans="15:15">
      <c r="O11335" s="4288"/>
    </row>
    <row r="11336" spans="15:15">
      <c r="O11336" s="4288"/>
    </row>
    <row r="11337" spans="15:15">
      <c r="O11337" s="4288"/>
    </row>
    <row r="11338" spans="15:15">
      <c r="O11338" s="4288"/>
    </row>
    <row r="11339" spans="15:15">
      <c r="O11339" s="4288"/>
    </row>
    <row r="11340" spans="15:15">
      <c r="O11340" s="4288"/>
    </row>
    <row r="11341" spans="15:15">
      <c r="O11341" s="4288"/>
    </row>
    <row r="11342" spans="15:15">
      <c r="O11342" s="4288"/>
    </row>
    <row r="11343" spans="15:15">
      <c r="O11343" s="4288"/>
    </row>
    <row r="11344" spans="15:15">
      <c r="O11344" s="4288"/>
    </row>
    <row r="11345" spans="15:15">
      <c r="O11345" s="4288"/>
    </row>
    <row r="11346" spans="15:15">
      <c r="O11346" s="4288"/>
    </row>
    <row r="11347" spans="15:15">
      <c r="O11347" s="4288"/>
    </row>
    <row r="11348" spans="15:15">
      <c r="O11348" s="4288"/>
    </row>
    <row r="11349" spans="15:15">
      <c r="O11349" s="4288"/>
    </row>
    <row r="11350" spans="15:15">
      <c r="O11350" s="4288"/>
    </row>
    <row r="11351" spans="15:15">
      <c r="O11351" s="4288"/>
    </row>
    <row r="11352" spans="15:15">
      <c r="O11352" s="4288"/>
    </row>
    <row r="11353" spans="15:15">
      <c r="O11353" s="4288"/>
    </row>
    <row r="11354" spans="15:15">
      <c r="O11354" s="4288"/>
    </row>
    <row r="11355" spans="15:15">
      <c r="O11355" s="4288"/>
    </row>
    <row r="11356" spans="15:15">
      <c r="O11356" s="4288"/>
    </row>
    <row r="11357" spans="15:15">
      <c r="O11357" s="4288"/>
    </row>
    <row r="11358" spans="15:15">
      <c r="O11358" s="4288"/>
    </row>
    <row r="11359" spans="15:15">
      <c r="O11359" s="4288"/>
    </row>
    <row r="11360" spans="15:15">
      <c r="O11360" s="4288"/>
    </row>
    <row r="11361" spans="15:15">
      <c r="O11361" s="4288"/>
    </row>
    <row r="11362" spans="15:15">
      <c r="O11362" s="4288"/>
    </row>
    <row r="11363" spans="15:15">
      <c r="O11363" s="4288"/>
    </row>
    <row r="11364" spans="15:15">
      <c r="O11364" s="4288"/>
    </row>
    <row r="11365" spans="15:15">
      <c r="O11365" s="4288"/>
    </row>
    <row r="11366" spans="15:15">
      <c r="O11366" s="4288"/>
    </row>
    <row r="11367" spans="15:15">
      <c r="O11367" s="4288"/>
    </row>
    <row r="11368" spans="15:15">
      <c r="O11368" s="4288"/>
    </row>
    <row r="11369" spans="15:15">
      <c r="O11369" s="4288"/>
    </row>
    <row r="11370" spans="15:15">
      <c r="O11370" s="4288"/>
    </row>
    <row r="11371" spans="15:15">
      <c r="O11371" s="4288"/>
    </row>
    <row r="11372" spans="15:15">
      <c r="O11372" s="4288"/>
    </row>
    <row r="11373" spans="15:15">
      <c r="O11373" s="4288"/>
    </row>
    <row r="11374" spans="15:15">
      <c r="O11374" s="4288"/>
    </row>
    <row r="11375" spans="15:15">
      <c r="O11375" s="4288"/>
    </row>
    <row r="11376" spans="15:15">
      <c r="O11376" s="4288"/>
    </row>
    <row r="11377" spans="15:15">
      <c r="O11377" s="4288"/>
    </row>
    <row r="11378" spans="15:15">
      <c r="O11378" s="4288"/>
    </row>
    <row r="11379" spans="15:15">
      <c r="O11379" s="4288"/>
    </row>
    <row r="11380" spans="15:15">
      <c r="O11380" s="4288"/>
    </row>
    <row r="11381" spans="15:15">
      <c r="O11381" s="4288"/>
    </row>
    <row r="11382" spans="15:15">
      <c r="O11382" s="4288"/>
    </row>
    <row r="11383" spans="15:15">
      <c r="O11383" s="4288"/>
    </row>
    <row r="11384" spans="15:15">
      <c r="O11384" s="4288"/>
    </row>
    <row r="11385" spans="15:15">
      <c r="O11385" s="4288"/>
    </row>
    <row r="11386" spans="15:15">
      <c r="O11386" s="4288"/>
    </row>
    <row r="11387" spans="15:15">
      <c r="O11387" s="4288"/>
    </row>
    <row r="11388" spans="15:15">
      <c r="O11388" s="4288"/>
    </row>
    <row r="11389" spans="15:15">
      <c r="O11389" s="4288"/>
    </row>
    <row r="11390" spans="15:15">
      <c r="O11390" s="4288"/>
    </row>
    <row r="11391" spans="15:15">
      <c r="O11391" s="4288"/>
    </row>
    <row r="11392" spans="15:15">
      <c r="O11392" s="4288"/>
    </row>
    <row r="11393" spans="15:15">
      <c r="O11393" s="4288"/>
    </row>
    <row r="11394" spans="15:15">
      <c r="O11394" s="4288"/>
    </row>
    <row r="11395" spans="15:15">
      <c r="O11395" s="4288"/>
    </row>
    <row r="11396" spans="15:15">
      <c r="O11396" s="4288"/>
    </row>
    <row r="11397" spans="15:15">
      <c r="O11397" s="4288"/>
    </row>
    <row r="11398" spans="15:15">
      <c r="O11398" s="4288"/>
    </row>
    <row r="11399" spans="15:15">
      <c r="O11399" s="4288"/>
    </row>
    <row r="11400" spans="15:15">
      <c r="O11400" s="4288"/>
    </row>
    <row r="11401" spans="15:15">
      <c r="O11401" s="4288"/>
    </row>
    <row r="11402" spans="15:15">
      <c r="O11402" s="4288"/>
    </row>
    <row r="11403" spans="15:15">
      <c r="O11403" s="4288"/>
    </row>
    <row r="11404" spans="15:15">
      <c r="O11404" s="4288"/>
    </row>
    <row r="11405" spans="15:15">
      <c r="O11405" s="4288"/>
    </row>
    <row r="11406" spans="15:15">
      <c r="O11406" s="4288"/>
    </row>
    <row r="11407" spans="15:15">
      <c r="O11407" s="4288"/>
    </row>
    <row r="11408" spans="15:15">
      <c r="O11408" s="4288"/>
    </row>
    <row r="11409" spans="15:15">
      <c r="O11409" s="4288"/>
    </row>
    <row r="11410" spans="15:15">
      <c r="O11410" s="4288"/>
    </row>
    <row r="11411" spans="15:15">
      <c r="O11411" s="4288"/>
    </row>
    <row r="11412" spans="15:15">
      <c r="O11412" s="4288"/>
    </row>
    <row r="11413" spans="15:15">
      <c r="O11413" s="4288"/>
    </row>
    <row r="11414" spans="15:15">
      <c r="O11414" s="4288"/>
    </row>
    <row r="11415" spans="15:15">
      <c r="O11415" s="4288"/>
    </row>
    <row r="11416" spans="15:15">
      <c r="O11416" s="4288"/>
    </row>
    <row r="11417" spans="15:15">
      <c r="O11417" s="4288"/>
    </row>
    <row r="11418" spans="15:15">
      <c r="O11418" s="4288"/>
    </row>
    <row r="11419" spans="15:15">
      <c r="O11419" s="4288"/>
    </row>
    <row r="11420" spans="15:15">
      <c r="O11420" s="4288"/>
    </row>
    <row r="11421" spans="15:15">
      <c r="O11421" s="4288"/>
    </row>
    <row r="11422" spans="15:15">
      <c r="O11422" s="4288"/>
    </row>
    <row r="11423" spans="15:15">
      <c r="O11423" s="4288"/>
    </row>
    <row r="11424" spans="15:15">
      <c r="O11424" s="4288"/>
    </row>
    <row r="11425" spans="15:15">
      <c r="O11425" s="4288"/>
    </row>
    <row r="11426" spans="15:15">
      <c r="O11426" s="4288"/>
    </row>
    <row r="11427" spans="15:15">
      <c r="O11427" s="4288"/>
    </row>
    <row r="11428" spans="15:15">
      <c r="O11428" s="4288"/>
    </row>
    <row r="11429" spans="15:15">
      <c r="O11429" s="4288"/>
    </row>
    <row r="11430" spans="15:15">
      <c r="O11430" s="4288"/>
    </row>
    <row r="11431" spans="15:15">
      <c r="O11431" s="4288"/>
    </row>
    <row r="11432" spans="15:15">
      <c r="O11432" s="4288"/>
    </row>
    <row r="11433" spans="15:15">
      <c r="O11433" s="4288"/>
    </row>
    <row r="11434" spans="15:15">
      <c r="O11434" s="4288"/>
    </row>
    <row r="11435" spans="15:15">
      <c r="O11435" s="4288"/>
    </row>
    <row r="11436" spans="15:15">
      <c r="O11436" s="4288"/>
    </row>
    <row r="11437" spans="15:15">
      <c r="O11437" s="4288"/>
    </row>
    <row r="11438" spans="15:15">
      <c r="O11438" s="4288"/>
    </row>
    <row r="11439" spans="15:15">
      <c r="O11439" s="4288"/>
    </row>
    <row r="11440" spans="15:15">
      <c r="O11440" s="4288"/>
    </row>
    <row r="11441" spans="15:15">
      <c r="O11441" s="4288"/>
    </row>
    <row r="11442" spans="15:15">
      <c r="O11442" s="4288"/>
    </row>
    <row r="11443" spans="15:15">
      <c r="O11443" s="4288"/>
    </row>
    <row r="11444" spans="15:15">
      <c r="O11444" s="4288"/>
    </row>
    <row r="11445" spans="15:15">
      <c r="O11445" s="4288"/>
    </row>
    <row r="11446" spans="15:15">
      <c r="O11446" s="4288"/>
    </row>
    <row r="11447" spans="15:15">
      <c r="O11447" s="4288"/>
    </row>
    <row r="11448" spans="15:15">
      <c r="O11448" s="4288"/>
    </row>
    <row r="11449" spans="15:15">
      <c r="O11449" s="4288"/>
    </row>
    <row r="11450" spans="15:15">
      <c r="O11450" s="4288"/>
    </row>
    <row r="11451" spans="15:15">
      <c r="O11451" s="4288"/>
    </row>
    <row r="11452" spans="15:15">
      <c r="O11452" s="4288"/>
    </row>
    <row r="11453" spans="15:15">
      <c r="O11453" s="4288"/>
    </row>
    <row r="11454" spans="15:15">
      <c r="O11454" s="4288"/>
    </row>
    <row r="11455" spans="15:15">
      <c r="O11455" s="4288"/>
    </row>
    <row r="11456" spans="15:15">
      <c r="O11456" s="4288"/>
    </row>
    <row r="11457" spans="15:15">
      <c r="O11457" s="4288"/>
    </row>
    <row r="11458" spans="15:15">
      <c r="O11458" s="4288"/>
    </row>
    <row r="11459" spans="15:15">
      <c r="O11459" s="4288"/>
    </row>
    <row r="11460" spans="15:15">
      <c r="O11460" s="4288"/>
    </row>
    <row r="11461" spans="15:15">
      <c r="O11461" s="4288"/>
    </row>
    <row r="11462" spans="15:15">
      <c r="O11462" s="4288"/>
    </row>
    <row r="11463" spans="15:15">
      <c r="O11463" s="4288"/>
    </row>
    <row r="11464" spans="15:15">
      <c r="O11464" s="4288"/>
    </row>
    <row r="11465" spans="15:15">
      <c r="O11465" s="4288"/>
    </row>
    <row r="11466" spans="15:15">
      <c r="O11466" s="4288"/>
    </row>
    <row r="11467" spans="15:15">
      <c r="O11467" s="4288"/>
    </row>
    <row r="11468" spans="15:15">
      <c r="O11468" s="4288"/>
    </row>
    <row r="11469" spans="15:15">
      <c r="O11469" s="4288"/>
    </row>
    <row r="11470" spans="15:15">
      <c r="O11470" s="4288"/>
    </row>
    <row r="11471" spans="15:15">
      <c r="O11471" s="4288"/>
    </row>
    <row r="11472" spans="15:15">
      <c r="O11472" s="4288"/>
    </row>
    <row r="11473" spans="15:15">
      <c r="O11473" s="4288"/>
    </row>
    <row r="11474" spans="15:15">
      <c r="O11474" s="4288"/>
    </row>
    <row r="11475" spans="15:15">
      <c r="O11475" s="4288"/>
    </row>
    <row r="11476" spans="15:15">
      <c r="O11476" s="4288"/>
    </row>
    <row r="11477" spans="15:15">
      <c r="O11477" s="4288"/>
    </row>
    <row r="11478" spans="15:15">
      <c r="O11478" s="4288"/>
    </row>
    <row r="11479" spans="15:15">
      <c r="O11479" s="4288"/>
    </row>
    <row r="11480" spans="15:15">
      <c r="O11480" s="4288"/>
    </row>
    <row r="11481" spans="15:15">
      <c r="O11481" s="4288"/>
    </row>
    <row r="11482" spans="15:15">
      <c r="O11482" s="4288"/>
    </row>
    <row r="11483" spans="15:15">
      <c r="O11483" s="4288"/>
    </row>
    <row r="11484" spans="15:15">
      <c r="O11484" s="4288"/>
    </row>
    <row r="11485" spans="15:15">
      <c r="O11485" s="4288"/>
    </row>
    <row r="11486" spans="15:15">
      <c r="O11486" s="4288"/>
    </row>
    <row r="11487" spans="15:15">
      <c r="O11487" s="4288"/>
    </row>
    <row r="11488" spans="15:15">
      <c r="O11488" s="4288"/>
    </row>
    <row r="11489" spans="15:15">
      <c r="O11489" s="4288"/>
    </row>
    <row r="11490" spans="15:15">
      <c r="O11490" s="4288"/>
    </row>
    <row r="11491" spans="15:15">
      <c r="O11491" s="4288"/>
    </row>
    <row r="11492" spans="15:15">
      <c r="O11492" s="4288"/>
    </row>
    <row r="11493" spans="15:15">
      <c r="O11493" s="4288"/>
    </row>
    <row r="11494" spans="15:15">
      <c r="O11494" s="4288"/>
    </row>
    <row r="11495" spans="15:15">
      <c r="O11495" s="4288"/>
    </row>
    <row r="11496" spans="15:15">
      <c r="O11496" s="4288"/>
    </row>
    <row r="11497" spans="15:15">
      <c r="O11497" s="4288"/>
    </row>
    <row r="11498" spans="15:15">
      <c r="O11498" s="4288"/>
    </row>
    <row r="11499" spans="15:15">
      <c r="O11499" s="4288"/>
    </row>
    <row r="11500" spans="15:15">
      <c r="O11500" s="4288"/>
    </row>
    <row r="11501" spans="15:15">
      <c r="O11501" s="4288"/>
    </row>
    <row r="11502" spans="15:15">
      <c r="O11502" s="4288"/>
    </row>
    <row r="11503" spans="15:15">
      <c r="O11503" s="4288"/>
    </row>
    <row r="11504" spans="15:15">
      <c r="O11504" s="4288"/>
    </row>
    <row r="11505" spans="15:15">
      <c r="O11505" s="4288"/>
    </row>
    <row r="11506" spans="15:15">
      <c r="O11506" s="4288"/>
    </row>
    <row r="11507" spans="15:15">
      <c r="O11507" s="4288"/>
    </row>
    <row r="11508" spans="15:15">
      <c r="O11508" s="4288"/>
    </row>
    <row r="11509" spans="15:15">
      <c r="O11509" s="4288"/>
    </row>
    <row r="11510" spans="15:15">
      <c r="O11510" s="4288"/>
    </row>
    <row r="11511" spans="15:15">
      <c r="O11511" s="4288"/>
    </row>
    <row r="11512" spans="15:15">
      <c r="O11512" s="4288"/>
    </row>
    <row r="11513" spans="15:15">
      <c r="O11513" s="4288"/>
    </row>
    <row r="11514" spans="15:15">
      <c r="O11514" s="4288"/>
    </row>
    <row r="11515" spans="15:15">
      <c r="O11515" s="4288"/>
    </row>
    <row r="11516" spans="15:15">
      <c r="O11516" s="4288"/>
    </row>
    <row r="11517" spans="15:15">
      <c r="O11517" s="4288"/>
    </row>
    <row r="11518" spans="15:15">
      <c r="O11518" s="4288"/>
    </row>
    <row r="11519" spans="15:15">
      <c r="O11519" s="4288"/>
    </row>
    <row r="11520" spans="15:15">
      <c r="O11520" s="4288"/>
    </row>
    <row r="11521" spans="15:15">
      <c r="O11521" s="4288"/>
    </row>
    <row r="11522" spans="15:15">
      <c r="O11522" s="4288"/>
    </row>
    <row r="11523" spans="15:15">
      <c r="O11523" s="4288"/>
    </row>
    <row r="11524" spans="15:15">
      <c r="O11524" s="4288"/>
    </row>
    <row r="11525" spans="15:15">
      <c r="O11525" s="4288"/>
    </row>
    <row r="11526" spans="15:15">
      <c r="O11526" s="4288"/>
    </row>
    <row r="11527" spans="15:15">
      <c r="O11527" s="4288"/>
    </row>
    <row r="11528" spans="15:15">
      <c r="O11528" s="4288"/>
    </row>
    <row r="11529" spans="15:15">
      <c r="O11529" s="4288"/>
    </row>
    <row r="11530" spans="15:15">
      <c r="O11530" s="4288"/>
    </row>
    <row r="11531" spans="15:15">
      <c r="O11531" s="4288"/>
    </row>
    <row r="11532" spans="15:15">
      <c r="O11532" s="4288"/>
    </row>
    <row r="11533" spans="15:15">
      <c r="O11533" s="4288"/>
    </row>
    <row r="11534" spans="15:15">
      <c r="O11534" s="4288"/>
    </row>
    <row r="11535" spans="15:15">
      <c r="O11535" s="4288"/>
    </row>
    <row r="11536" spans="15:15">
      <c r="O11536" s="4288"/>
    </row>
    <row r="11537" spans="15:15">
      <c r="O11537" s="4288"/>
    </row>
    <row r="11538" spans="15:15">
      <c r="O11538" s="4288"/>
    </row>
    <row r="11539" spans="15:15">
      <c r="O11539" s="4288"/>
    </row>
    <row r="11540" spans="15:15">
      <c r="O11540" s="4288"/>
    </row>
    <row r="11541" spans="15:15">
      <c r="O11541" s="4288"/>
    </row>
    <row r="11542" spans="15:15">
      <c r="O11542" s="4288"/>
    </row>
    <row r="11543" spans="15:15">
      <c r="O11543" s="4288"/>
    </row>
    <row r="11544" spans="15:15">
      <c r="O11544" s="4288"/>
    </row>
    <row r="11545" spans="15:15">
      <c r="O11545" s="4288"/>
    </row>
    <row r="11546" spans="15:15">
      <c r="O11546" s="4288"/>
    </row>
    <row r="11547" spans="15:15">
      <c r="O11547" s="4288"/>
    </row>
    <row r="11548" spans="15:15">
      <c r="O11548" s="4288"/>
    </row>
    <row r="11549" spans="15:15">
      <c r="O11549" s="4288"/>
    </row>
    <row r="11550" spans="15:15">
      <c r="O11550" s="4288"/>
    </row>
    <row r="11551" spans="15:15">
      <c r="O11551" s="4288"/>
    </row>
    <row r="11552" spans="15:15">
      <c r="O11552" s="4288"/>
    </row>
    <row r="11553" spans="15:15">
      <c r="O11553" s="4288"/>
    </row>
    <row r="11554" spans="15:15">
      <c r="O11554" s="4288"/>
    </row>
    <row r="11555" spans="15:15">
      <c r="O11555" s="4288"/>
    </row>
    <row r="11556" spans="15:15">
      <c r="O11556" s="4288"/>
    </row>
    <row r="11557" spans="15:15">
      <c r="O11557" s="4288"/>
    </row>
    <row r="11558" spans="15:15">
      <c r="O11558" s="4288"/>
    </row>
    <row r="11559" spans="15:15">
      <c r="O11559" s="4288"/>
    </row>
    <row r="11560" spans="15:15">
      <c r="O11560" s="4288"/>
    </row>
    <row r="11561" spans="15:15">
      <c r="O11561" s="4288"/>
    </row>
    <row r="11562" spans="15:15">
      <c r="O11562" s="4288"/>
    </row>
    <row r="11563" spans="15:15">
      <c r="O11563" s="4288"/>
    </row>
    <row r="11564" spans="15:15">
      <c r="O11564" s="4288"/>
    </row>
    <row r="11565" spans="15:15">
      <c r="O11565" s="4288"/>
    </row>
    <row r="11566" spans="15:15">
      <c r="O11566" s="4288"/>
    </row>
    <row r="11567" spans="15:15">
      <c r="O11567" s="4288"/>
    </row>
    <row r="11568" spans="15:15">
      <c r="O11568" s="4288"/>
    </row>
    <row r="11569" spans="15:15">
      <c r="O11569" s="4288"/>
    </row>
    <row r="11570" spans="15:15">
      <c r="O11570" s="4288"/>
    </row>
    <row r="11571" spans="15:15">
      <c r="O11571" s="4288"/>
    </row>
    <row r="11572" spans="15:15">
      <c r="O11572" s="4288"/>
    </row>
    <row r="11573" spans="15:15">
      <c r="O11573" s="4288"/>
    </row>
    <row r="11574" spans="15:15">
      <c r="O11574" s="4288"/>
    </row>
    <row r="11575" spans="15:15">
      <c r="O11575" s="4288"/>
    </row>
    <row r="11576" spans="15:15">
      <c r="O11576" s="4288"/>
    </row>
    <row r="11577" spans="15:15">
      <c r="O11577" s="4288"/>
    </row>
    <row r="11578" spans="15:15">
      <c r="O11578" s="4288"/>
    </row>
    <row r="11579" spans="15:15">
      <c r="O11579" s="4288"/>
    </row>
    <row r="11580" spans="15:15">
      <c r="O11580" s="4288"/>
    </row>
    <row r="11581" spans="15:15">
      <c r="O11581" s="4288"/>
    </row>
    <row r="11582" spans="15:15">
      <c r="O11582" s="4288"/>
    </row>
    <row r="11583" spans="15:15">
      <c r="O11583" s="4288"/>
    </row>
    <row r="11584" spans="15:15">
      <c r="O11584" s="4288"/>
    </row>
    <row r="11585" spans="15:15">
      <c r="O11585" s="4288"/>
    </row>
    <row r="11586" spans="15:15">
      <c r="O11586" s="4288"/>
    </row>
    <row r="11587" spans="15:15">
      <c r="O11587" s="4288"/>
    </row>
    <row r="11588" spans="15:15">
      <c r="O11588" s="4288"/>
    </row>
    <row r="11589" spans="15:15">
      <c r="O11589" s="4288"/>
    </row>
    <row r="11590" spans="15:15">
      <c r="O11590" s="4288"/>
    </row>
    <row r="11591" spans="15:15">
      <c r="O11591" s="4288"/>
    </row>
    <row r="11592" spans="15:15">
      <c r="O11592" s="4288"/>
    </row>
    <row r="11593" spans="15:15">
      <c r="O11593" s="4288"/>
    </row>
    <row r="11594" spans="15:15">
      <c r="O11594" s="4288"/>
    </row>
    <row r="11595" spans="15:15">
      <c r="O11595" s="4288"/>
    </row>
    <row r="11596" spans="15:15">
      <c r="O11596" s="4288"/>
    </row>
    <row r="11597" spans="15:15">
      <c r="O11597" s="4288"/>
    </row>
    <row r="11598" spans="15:15">
      <c r="O11598" s="4288"/>
    </row>
    <row r="11599" spans="15:15">
      <c r="O11599" s="4288"/>
    </row>
    <row r="11600" spans="15:15">
      <c r="O11600" s="4288"/>
    </row>
    <row r="11601" spans="15:15">
      <c r="O11601" s="4288"/>
    </row>
    <row r="11602" spans="15:15">
      <c r="O11602" s="4288"/>
    </row>
    <row r="11603" spans="15:15">
      <c r="O11603" s="4288"/>
    </row>
    <row r="11604" spans="15:15">
      <c r="O11604" s="4288"/>
    </row>
    <row r="11605" spans="15:15">
      <c r="O11605" s="4288"/>
    </row>
    <row r="11606" spans="15:15">
      <c r="O11606" s="4288"/>
    </row>
    <row r="11607" spans="15:15">
      <c r="O11607" s="4288"/>
    </row>
    <row r="11608" spans="15:15">
      <c r="O11608" s="4288"/>
    </row>
    <row r="11609" spans="15:15">
      <c r="O11609" s="4288"/>
    </row>
    <row r="11610" spans="15:15">
      <c r="O11610" s="4288"/>
    </row>
    <row r="11611" spans="15:15">
      <c r="O11611" s="4288"/>
    </row>
    <row r="11612" spans="15:15">
      <c r="O11612" s="4288"/>
    </row>
    <row r="11613" spans="15:15">
      <c r="O11613" s="4288"/>
    </row>
    <row r="11614" spans="15:15">
      <c r="O11614" s="4288"/>
    </row>
    <row r="11615" spans="15:15">
      <c r="O11615" s="4288"/>
    </row>
    <row r="11616" spans="15:15">
      <c r="O11616" s="4288"/>
    </row>
    <row r="11617" spans="15:15">
      <c r="O11617" s="4288"/>
    </row>
    <row r="11618" spans="15:15">
      <c r="O11618" s="4288"/>
    </row>
    <row r="11619" spans="15:15">
      <c r="O11619" s="4288"/>
    </row>
    <row r="11620" spans="15:15">
      <c r="O11620" s="4288"/>
    </row>
    <row r="11621" spans="15:15">
      <c r="O11621" s="4288"/>
    </row>
    <row r="11622" spans="15:15">
      <c r="O11622" s="4288"/>
    </row>
    <row r="11623" spans="15:15">
      <c r="O11623" s="4288"/>
    </row>
    <row r="11624" spans="15:15">
      <c r="O11624" s="4288"/>
    </row>
    <row r="11625" spans="15:15">
      <c r="O11625" s="4288"/>
    </row>
    <row r="11626" spans="15:15">
      <c r="O11626" s="4288"/>
    </row>
    <row r="11627" spans="15:15">
      <c r="O11627" s="4288"/>
    </row>
    <row r="11628" spans="15:15">
      <c r="O11628" s="4288"/>
    </row>
    <row r="11629" spans="15:15">
      <c r="O11629" s="4288"/>
    </row>
    <row r="11630" spans="15:15">
      <c r="O11630" s="4288"/>
    </row>
    <row r="11631" spans="15:15">
      <c r="O11631" s="4288"/>
    </row>
    <row r="11632" spans="15:15">
      <c r="O11632" s="4288"/>
    </row>
    <row r="11633" spans="15:15">
      <c r="O11633" s="4288"/>
    </row>
    <row r="11634" spans="15:15">
      <c r="O11634" s="4288"/>
    </row>
    <row r="11635" spans="15:15">
      <c r="O11635" s="4288"/>
    </row>
    <row r="11636" spans="15:15">
      <c r="O11636" s="4288"/>
    </row>
    <row r="11637" spans="15:15">
      <c r="O11637" s="4288"/>
    </row>
    <row r="11638" spans="15:15">
      <c r="O11638" s="4288"/>
    </row>
    <row r="11639" spans="15:15">
      <c r="O11639" s="4288"/>
    </row>
    <row r="11640" spans="15:15">
      <c r="O11640" s="4288"/>
    </row>
    <row r="11641" spans="15:15">
      <c r="O11641" s="4288"/>
    </row>
    <row r="11642" spans="15:15">
      <c r="O11642" s="4288"/>
    </row>
    <row r="11643" spans="15:15">
      <c r="O11643" s="4288"/>
    </row>
    <row r="11644" spans="15:15">
      <c r="O11644" s="4288"/>
    </row>
    <row r="11645" spans="15:15">
      <c r="O11645" s="4288"/>
    </row>
    <row r="11646" spans="15:15">
      <c r="O11646" s="4288"/>
    </row>
    <row r="11647" spans="15:15">
      <c r="O11647" s="4288"/>
    </row>
    <row r="11648" spans="15:15">
      <c r="O11648" s="4288"/>
    </row>
    <row r="11649" spans="15:15">
      <c r="O11649" s="4288"/>
    </row>
    <row r="11650" spans="15:15">
      <c r="O11650" s="4288"/>
    </row>
    <row r="11651" spans="15:15">
      <c r="O11651" s="4288"/>
    </row>
    <row r="11652" spans="15:15">
      <c r="O11652" s="4288"/>
    </row>
    <row r="11653" spans="15:15">
      <c r="O11653" s="4288"/>
    </row>
    <row r="11654" spans="15:15">
      <c r="O11654" s="4288"/>
    </row>
    <row r="11655" spans="15:15">
      <c r="O11655" s="4288"/>
    </row>
    <row r="11656" spans="15:15">
      <c r="O11656" s="4288"/>
    </row>
    <row r="11657" spans="15:15">
      <c r="O11657" s="4288"/>
    </row>
    <row r="11658" spans="15:15">
      <c r="O11658" s="4288"/>
    </row>
    <row r="11659" spans="15:15">
      <c r="O11659" s="4288"/>
    </row>
    <row r="11660" spans="15:15">
      <c r="O11660" s="4288"/>
    </row>
    <row r="11661" spans="15:15">
      <c r="O11661" s="4288"/>
    </row>
    <row r="11662" spans="15:15">
      <c r="O11662" s="4288"/>
    </row>
    <row r="11663" spans="15:15">
      <c r="O11663" s="4288"/>
    </row>
    <row r="11664" spans="15:15">
      <c r="O11664" s="4288"/>
    </row>
    <row r="11665" spans="15:15">
      <c r="O11665" s="4288"/>
    </row>
    <row r="11666" spans="15:15">
      <c r="O11666" s="4288"/>
    </row>
    <row r="11667" spans="15:15">
      <c r="O11667" s="4288"/>
    </row>
    <row r="11668" spans="15:15">
      <c r="O11668" s="4288"/>
    </row>
    <row r="11669" spans="15:15">
      <c r="O11669" s="4288"/>
    </row>
    <row r="11670" spans="15:15">
      <c r="O11670" s="4288"/>
    </row>
    <row r="11671" spans="15:15">
      <c r="O11671" s="4288"/>
    </row>
    <row r="11672" spans="15:15">
      <c r="O11672" s="4288"/>
    </row>
    <row r="11673" spans="15:15">
      <c r="O11673" s="4288"/>
    </row>
    <row r="11674" spans="15:15">
      <c r="O11674" s="4288"/>
    </row>
    <row r="11675" spans="15:15">
      <c r="O11675" s="4288"/>
    </row>
    <row r="11676" spans="15:15">
      <c r="O11676" s="4288"/>
    </row>
    <row r="11677" spans="15:15">
      <c r="O11677" s="4288"/>
    </row>
    <row r="11678" spans="15:15">
      <c r="O11678" s="4288"/>
    </row>
    <row r="11679" spans="15:15">
      <c r="O11679" s="4288"/>
    </row>
    <row r="11680" spans="15:15">
      <c r="O11680" s="4288"/>
    </row>
    <row r="11681" spans="15:15">
      <c r="O11681" s="4288"/>
    </row>
    <row r="11682" spans="15:15">
      <c r="O11682" s="4288"/>
    </row>
    <row r="11683" spans="15:15">
      <c r="O11683" s="4288"/>
    </row>
    <row r="11684" spans="15:15">
      <c r="O11684" s="4288"/>
    </row>
    <row r="11685" spans="15:15">
      <c r="O11685" s="4288"/>
    </row>
    <row r="11686" spans="15:15">
      <c r="O11686" s="4288"/>
    </row>
    <row r="11687" spans="15:15">
      <c r="O11687" s="4288"/>
    </row>
    <row r="11688" spans="15:15">
      <c r="O11688" s="4288"/>
    </row>
    <row r="11689" spans="15:15">
      <c r="O11689" s="4288"/>
    </row>
    <row r="11690" spans="15:15">
      <c r="O11690" s="4288"/>
    </row>
    <row r="11691" spans="15:15">
      <c r="O11691" s="4288"/>
    </row>
    <row r="11692" spans="15:15">
      <c r="O11692" s="4288"/>
    </row>
    <row r="11693" spans="15:15">
      <c r="O11693" s="4288"/>
    </row>
    <row r="11694" spans="15:15">
      <c r="O11694" s="4288"/>
    </row>
    <row r="11695" spans="15:15">
      <c r="O11695" s="4288"/>
    </row>
    <row r="11696" spans="15:15">
      <c r="O11696" s="4288"/>
    </row>
    <row r="11697" spans="15:15">
      <c r="O11697" s="4288"/>
    </row>
    <row r="11698" spans="15:15">
      <c r="O11698" s="4288"/>
    </row>
    <row r="11699" spans="15:15">
      <c r="O11699" s="4288"/>
    </row>
    <row r="11700" spans="15:15">
      <c r="O11700" s="4288"/>
    </row>
    <row r="11701" spans="15:15">
      <c r="O11701" s="4288"/>
    </row>
    <row r="11702" spans="15:15">
      <c r="O11702" s="4288"/>
    </row>
    <row r="11703" spans="15:15">
      <c r="O11703" s="4288"/>
    </row>
    <row r="11704" spans="15:15">
      <c r="O11704" s="4288"/>
    </row>
    <row r="11705" spans="15:15">
      <c r="O11705" s="4288"/>
    </row>
    <row r="11706" spans="15:15">
      <c r="O11706" s="4288"/>
    </row>
    <row r="11707" spans="15:15">
      <c r="O11707" s="4288"/>
    </row>
    <row r="11708" spans="15:15">
      <c r="O11708" s="4288"/>
    </row>
    <row r="11709" spans="15:15">
      <c r="O11709" s="4288"/>
    </row>
    <row r="11710" spans="15:15">
      <c r="O11710" s="4288"/>
    </row>
    <row r="11711" spans="15:15">
      <c r="O11711" s="4288"/>
    </row>
    <row r="11712" spans="15:15">
      <c r="O11712" s="4288"/>
    </row>
    <row r="11713" spans="15:15">
      <c r="O11713" s="4288"/>
    </row>
    <row r="11714" spans="15:15">
      <c r="O11714" s="4288"/>
    </row>
    <row r="11715" spans="15:15">
      <c r="O11715" s="4288"/>
    </row>
    <row r="11716" spans="15:15">
      <c r="O11716" s="4288"/>
    </row>
    <row r="11717" spans="15:15">
      <c r="O11717" s="4288"/>
    </row>
    <row r="11718" spans="15:15">
      <c r="O11718" s="4288"/>
    </row>
    <row r="11719" spans="15:15">
      <c r="O11719" s="4288"/>
    </row>
    <row r="11720" spans="15:15">
      <c r="O11720" s="4288"/>
    </row>
    <row r="11721" spans="15:15">
      <c r="O11721" s="4288"/>
    </row>
    <row r="11722" spans="15:15">
      <c r="O11722" s="4288"/>
    </row>
    <row r="11723" spans="15:15">
      <c r="O11723" s="4288"/>
    </row>
    <row r="11724" spans="15:15">
      <c r="O11724" s="4288"/>
    </row>
    <row r="11725" spans="15:15">
      <c r="O11725" s="4288"/>
    </row>
    <row r="11726" spans="15:15">
      <c r="O11726" s="4288"/>
    </row>
    <row r="11727" spans="15:15">
      <c r="O11727" s="4288"/>
    </row>
    <row r="11728" spans="15:15">
      <c r="O11728" s="4288"/>
    </row>
    <row r="11729" spans="15:15">
      <c r="O11729" s="4288"/>
    </row>
    <row r="11730" spans="15:15">
      <c r="O11730" s="4288"/>
    </row>
    <row r="11731" spans="15:15">
      <c r="O11731" s="4288"/>
    </row>
    <row r="11732" spans="15:15">
      <c r="O11732" s="4288"/>
    </row>
    <row r="11733" spans="15:15">
      <c r="O11733" s="4288"/>
    </row>
    <row r="11734" spans="15:15">
      <c r="O11734" s="4288"/>
    </row>
    <row r="11735" spans="15:15">
      <c r="O11735" s="4288"/>
    </row>
    <row r="11736" spans="15:15">
      <c r="O11736" s="4288"/>
    </row>
    <row r="11737" spans="15:15">
      <c r="O11737" s="4288"/>
    </row>
    <row r="11738" spans="15:15">
      <c r="O11738" s="4288"/>
    </row>
    <row r="11739" spans="15:15">
      <c r="O11739" s="4288"/>
    </row>
    <row r="11740" spans="15:15">
      <c r="O11740" s="4288"/>
    </row>
    <row r="11741" spans="15:15">
      <c r="O11741" s="4288"/>
    </row>
    <row r="11742" spans="15:15">
      <c r="O11742" s="4288"/>
    </row>
    <row r="11743" spans="15:15">
      <c r="O11743" s="4288"/>
    </row>
    <row r="11744" spans="15:15">
      <c r="O11744" s="4288"/>
    </row>
    <row r="11745" spans="15:15">
      <c r="O11745" s="4288"/>
    </row>
    <row r="11746" spans="15:15">
      <c r="O11746" s="4288"/>
    </row>
    <row r="11747" spans="15:15">
      <c r="O11747" s="4288"/>
    </row>
    <row r="11748" spans="15:15">
      <c r="O11748" s="4288"/>
    </row>
    <row r="11749" spans="15:15">
      <c r="O11749" s="4288"/>
    </row>
    <row r="11750" spans="15:15">
      <c r="O11750" s="4288"/>
    </row>
    <row r="11751" spans="15:15">
      <c r="O11751" s="4288"/>
    </row>
    <row r="11752" spans="15:15">
      <c r="O11752" s="4288"/>
    </row>
    <row r="11753" spans="15:15">
      <c r="O11753" s="4288"/>
    </row>
    <row r="11754" spans="15:15">
      <c r="O11754" s="4288"/>
    </row>
    <row r="11755" spans="15:15">
      <c r="O11755" s="4288"/>
    </row>
    <row r="11756" spans="15:15">
      <c r="O11756" s="4288"/>
    </row>
    <row r="11757" spans="15:15">
      <c r="O11757" s="4288"/>
    </row>
    <row r="11758" spans="15:15">
      <c r="O11758" s="4288"/>
    </row>
    <row r="11759" spans="15:15">
      <c r="O11759" s="4288"/>
    </row>
    <row r="11760" spans="15:15">
      <c r="O11760" s="4288"/>
    </row>
    <row r="11761" spans="15:15">
      <c r="O11761" s="4288"/>
    </row>
    <row r="11762" spans="15:15">
      <c r="O11762" s="4288"/>
    </row>
    <row r="11763" spans="15:15">
      <c r="O11763" s="4288"/>
    </row>
    <row r="11764" spans="15:15">
      <c r="O11764" s="4288"/>
    </row>
    <row r="11765" spans="15:15">
      <c r="O11765" s="4288"/>
    </row>
    <row r="11766" spans="15:15">
      <c r="O11766" s="4288"/>
    </row>
    <row r="11767" spans="15:15">
      <c r="O11767" s="4288"/>
    </row>
    <row r="11768" spans="15:15">
      <c r="O11768" s="4288"/>
    </row>
    <row r="11769" spans="15:15">
      <c r="O11769" s="4288"/>
    </row>
    <row r="11770" spans="15:15">
      <c r="O11770" s="4288"/>
    </row>
    <row r="11771" spans="15:15">
      <c r="O11771" s="4288"/>
    </row>
    <row r="11772" spans="15:15">
      <c r="O11772" s="4288"/>
    </row>
    <row r="11773" spans="15:15">
      <c r="O11773" s="4288"/>
    </row>
    <row r="11774" spans="15:15">
      <c r="O11774" s="4288"/>
    </row>
    <row r="11775" spans="15:15">
      <c r="O11775" s="4288"/>
    </row>
    <row r="11776" spans="15:15">
      <c r="O11776" s="4288"/>
    </row>
    <row r="11777" spans="15:15">
      <c r="O11777" s="4288"/>
    </row>
    <row r="11778" spans="15:15">
      <c r="O11778" s="4288"/>
    </row>
    <row r="11779" spans="15:15">
      <c r="O11779" s="4288"/>
    </row>
    <row r="11780" spans="15:15">
      <c r="O11780" s="4288"/>
    </row>
    <row r="11781" spans="15:15">
      <c r="O11781" s="4288"/>
    </row>
    <row r="11782" spans="15:15">
      <c r="O11782" s="4288"/>
    </row>
    <row r="11783" spans="15:15">
      <c r="O11783" s="4288"/>
    </row>
    <row r="11784" spans="15:15">
      <c r="O11784" s="4288"/>
    </row>
    <row r="11785" spans="15:15">
      <c r="O11785" s="4288"/>
    </row>
    <row r="11786" spans="15:15">
      <c r="O11786" s="4288"/>
    </row>
    <row r="11787" spans="15:15">
      <c r="O11787" s="4288"/>
    </row>
    <row r="11788" spans="15:15">
      <c r="O11788" s="4288"/>
    </row>
    <row r="11789" spans="15:15">
      <c r="O11789" s="4288"/>
    </row>
    <row r="11790" spans="15:15">
      <c r="O11790" s="4288"/>
    </row>
    <row r="11791" spans="15:15">
      <c r="O11791" s="4288"/>
    </row>
    <row r="11792" spans="15:15">
      <c r="O11792" s="4288"/>
    </row>
    <row r="11793" spans="15:15">
      <c r="O11793" s="4288"/>
    </row>
    <row r="11794" spans="15:15">
      <c r="O11794" s="4288"/>
    </row>
    <row r="11795" spans="15:15">
      <c r="O11795" s="4288"/>
    </row>
    <row r="11796" spans="15:15">
      <c r="O11796" s="4288"/>
    </row>
    <row r="11797" spans="15:15">
      <c r="O11797" s="4288"/>
    </row>
    <row r="11798" spans="15:15">
      <c r="O11798" s="4288"/>
    </row>
    <row r="11799" spans="15:15">
      <c r="O11799" s="4288"/>
    </row>
    <row r="11800" spans="15:15">
      <c r="O11800" s="4288"/>
    </row>
    <row r="11801" spans="15:15">
      <c r="O11801" s="4288"/>
    </row>
    <row r="11802" spans="15:15">
      <c r="O11802" s="4288"/>
    </row>
    <row r="11803" spans="15:15">
      <c r="O11803" s="4288"/>
    </row>
    <row r="11804" spans="15:15">
      <c r="O11804" s="4288"/>
    </row>
    <row r="11805" spans="15:15">
      <c r="O11805" s="4288"/>
    </row>
    <row r="11806" spans="15:15">
      <c r="O11806" s="4288"/>
    </row>
    <row r="11807" spans="15:15">
      <c r="O11807" s="4288"/>
    </row>
    <row r="11808" spans="15:15">
      <c r="O11808" s="4288"/>
    </row>
    <row r="11809" spans="15:15">
      <c r="O11809" s="4288"/>
    </row>
    <row r="11810" spans="15:15">
      <c r="O11810" s="4288"/>
    </row>
    <row r="11811" spans="15:15">
      <c r="O11811" s="4288"/>
    </row>
    <row r="11812" spans="15:15">
      <c r="O11812" s="4288"/>
    </row>
    <row r="11813" spans="15:15">
      <c r="O11813" s="4288"/>
    </row>
    <row r="11814" spans="15:15">
      <c r="O11814" s="4288"/>
    </row>
    <row r="11815" spans="15:15">
      <c r="O11815" s="4288"/>
    </row>
    <row r="11816" spans="15:15">
      <c r="O11816" s="4288"/>
    </row>
    <row r="11817" spans="15:15">
      <c r="O11817" s="4288"/>
    </row>
    <row r="11818" spans="15:15">
      <c r="O11818" s="4288"/>
    </row>
    <row r="11819" spans="15:15">
      <c r="O11819" s="4288"/>
    </row>
    <row r="11820" spans="15:15">
      <c r="O11820" s="4288"/>
    </row>
    <row r="11821" spans="15:15">
      <c r="O11821" s="4288"/>
    </row>
    <row r="11822" spans="15:15">
      <c r="O11822" s="4288"/>
    </row>
    <row r="11823" spans="15:15">
      <c r="O11823" s="4288"/>
    </row>
    <row r="11824" spans="15:15">
      <c r="O11824" s="4288"/>
    </row>
    <row r="11825" spans="15:15">
      <c r="O11825" s="4288"/>
    </row>
    <row r="11826" spans="15:15">
      <c r="O11826" s="4288"/>
    </row>
    <row r="11827" spans="15:15">
      <c r="O11827" s="4288"/>
    </row>
    <row r="11828" spans="15:15">
      <c r="O11828" s="4288"/>
    </row>
    <row r="11829" spans="15:15">
      <c r="O11829" s="4288"/>
    </row>
    <row r="11830" spans="15:15">
      <c r="O11830" s="4288"/>
    </row>
    <row r="11831" spans="15:15">
      <c r="O11831" s="4288"/>
    </row>
    <row r="11832" spans="15:15">
      <c r="O11832" s="4288"/>
    </row>
    <row r="11833" spans="15:15">
      <c r="O11833" s="4288"/>
    </row>
    <row r="11834" spans="15:15">
      <c r="O11834" s="4288"/>
    </row>
    <row r="11835" spans="15:15">
      <c r="O11835" s="4288"/>
    </row>
    <row r="11836" spans="15:15">
      <c r="O11836" s="4288"/>
    </row>
    <row r="11837" spans="15:15">
      <c r="O11837" s="4288"/>
    </row>
    <row r="11838" spans="15:15">
      <c r="O11838" s="4288"/>
    </row>
    <row r="11839" spans="15:15">
      <c r="O11839" s="4288"/>
    </row>
    <row r="11840" spans="15:15">
      <c r="O11840" s="4288"/>
    </row>
    <row r="11841" spans="15:15">
      <c r="O11841" s="4288"/>
    </row>
    <row r="11842" spans="15:15">
      <c r="O11842" s="4288"/>
    </row>
    <row r="11843" spans="15:15">
      <c r="O11843" s="4288"/>
    </row>
    <row r="11844" spans="15:15">
      <c r="O11844" s="4288"/>
    </row>
    <row r="11845" spans="15:15">
      <c r="O11845" s="4288"/>
    </row>
    <row r="11846" spans="15:15">
      <c r="O11846" s="4288"/>
    </row>
    <row r="11847" spans="15:15">
      <c r="O11847" s="4288"/>
    </row>
    <row r="11848" spans="15:15">
      <c r="O11848" s="4288"/>
    </row>
    <row r="11849" spans="15:15">
      <c r="O11849" s="4288"/>
    </row>
    <row r="11850" spans="15:15">
      <c r="O11850" s="4288"/>
    </row>
    <row r="11851" spans="15:15">
      <c r="O11851" s="4288"/>
    </row>
    <row r="11852" spans="15:15">
      <c r="O11852" s="4288"/>
    </row>
    <row r="11853" spans="15:15">
      <c r="O11853" s="4288"/>
    </row>
    <row r="11854" spans="15:15">
      <c r="O11854" s="4288"/>
    </row>
    <row r="11855" spans="15:15">
      <c r="O11855" s="4288"/>
    </row>
    <row r="11856" spans="15:15">
      <c r="O11856" s="4288"/>
    </row>
    <row r="11857" spans="15:15">
      <c r="O11857" s="4288"/>
    </row>
    <row r="11858" spans="15:15">
      <c r="O11858" s="4288"/>
    </row>
    <row r="11859" spans="15:15">
      <c r="O11859" s="4288"/>
    </row>
    <row r="11860" spans="15:15">
      <c r="O11860" s="4288"/>
    </row>
    <row r="11861" spans="15:15">
      <c r="O11861" s="4288"/>
    </row>
    <row r="11862" spans="15:15">
      <c r="O11862" s="4288"/>
    </row>
    <row r="11863" spans="15:15">
      <c r="O11863" s="4288"/>
    </row>
    <row r="11864" spans="15:15">
      <c r="O11864" s="4288"/>
    </row>
    <row r="11865" spans="15:15">
      <c r="O11865" s="4288"/>
    </row>
    <row r="11866" spans="15:15">
      <c r="O11866" s="4288"/>
    </row>
    <row r="11867" spans="15:15">
      <c r="O11867" s="4288"/>
    </row>
    <row r="11868" spans="15:15">
      <c r="O11868" s="4288"/>
    </row>
    <row r="11869" spans="15:15">
      <c r="O11869" s="4288"/>
    </row>
    <row r="11870" spans="15:15">
      <c r="O11870" s="4288"/>
    </row>
    <row r="11871" spans="15:15">
      <c r="O11871" s="4288"/>
    </row>
    <row r="11872" spans="15:15">
      <c r="O11872" s="4288"/>
    </row>
    <row r="11873" spans="15:15">
      <c r="O11873" s="4288"/>
    </row>
    <row r="11874" spans="15:15">
      <c r="O11874" s="4288"/>
    </row>
    <row r="11875" spans="15:15">
      <c r="O11875" s="4288"/>
    </row>
    <row r="11876" spans="15:15">
      <c r="O11876" s="4288"/>
    </row>
    <row r="11877" spans="15:15">
      <c r="O11877" s="4288"/>
    </row>
    <row r="11878" spans="15:15">
      <c r="O11878" s="4288"/>
    </row>
    <row r="11879" spans="15:15">
      <c r="O11879" s="4288"/>
    </row>
    <row r="11880" spans="15:15">
      <c r="O11880" s="4288"/>
    </row>
    <row r="11881" spans="15:15">
      <c r="O11881" s="4288"/>
    </row>
    <row r="11882" spans="15:15">
      <c r="O11882" s="4288"/>
    </row>
    <row r="11883" spans="15:15">
      <c r="O11883" s="4288"/>
    </row>
    <row r="11884" spans="15:15">
      <c r="O11884" s="4288"/>
    </row>
    <row r="11885" spans="15:15">
      <c r="O11885" s="4288"/>
    </row>
    <row r="11886" spans="15:15">
      <c r="O11886" s="4288"/>
    </row>
    <row r="11887" spans="15:15">
      <c r="O11887" s="4288"/>
    </row>
    <row r="11888" spans="15:15">
      <c r="O11888" s="4288"/>
    </row>
    <row r="11889" spans="15:15">
      <c r="O11889" s="4288"/>
    </row>
    <row r="11890" spans="15:15">
      <c r="O11890" s="4288"/>
    </row>
    <row r="11891" spans="15:15">
      <c r="O11891" s="4288"/>
    </row>
    <row r="11892" spans="15:15">
      <c r="O11892" s="4288"/>
    </row>
    <row r="11893" spans="15:15">
      <c r="O11893" s="4288"/>
    </row>
    <row r="11894" spans="15:15">
      <c r="O11894" s="4288"/>
    </row>
    <row r="11895" spans="15:15">
      <c r="O11895" s="4288"/>
    </row>
    <row r="11896" spans="15:15">
      <c r="O11896" s="4288"/>
    </row>
    <row r="11897" spans="15:15">
      <c r="O11897" s="4288"/>
    </row>
    <row r="11898" spans="15:15">
      <c r="O11898" s="4288"/>
    </row>
    <row r="11899" spans="15:15">
      <c r="O11899" s="4288"/>
    </row>
    <row r="11900" spans="15:15">
      <c r="O11900" s="4288"/>
    </row>
    <row r="11901" spans="15:15">
      <c r="O11901" s="4288"/>
    </row>
    <row r="11902" spans="15:15">
      <c r="O11902" s="4288"/>
    </row>
    <row r="11903" spans="15:15">
      <c r="O11903" s="4288"/>
    </row>
    <row r="11904" spans="15:15">
      <c r="O11904" s="4288"/>
    </row>
    <row r="11905" spans="15:15">
      <c r="O11905" s="4288"/>
    </row>
    <row r="11906" spans="15:15">
      <c r="O11906" s="4288"/>
    </row>
    <row r="11907" spans="15:15">
      <c r="O11907" s="4288"/>
    </row>
    <row r="11908" spans="15:15">
      <c r="O11908" s="4288"/>
    </row>
    <row r="11909" spans="15:15">
      <c r="O11909" s="4288"/>
    </row>
    <row r="11910" spans="15:15">
      <c r="O11910" s="4288"/>
    </row>
    <row r="11911" spans="15:15">
      <c r="O11911" s="4288"/>
    </row>
    <row r="11912" spans="15:15">
      <c r="O11912" s="4288"/>
    </row>
    <row r="11913" spans="15:15">
      <c r="O11913" s="4288"/>
    </row>
    <row r="11914" spans="15:15">
      <c r="O11914" s="4288"/>
    </row>
    <row r="11915" spans="15:15">
      <c r="O11915" s="4288"/>
    </row>
    <row r="11916" spans="15:15">
      <c r="O11916" s="4288"/>
    </row>
    <row r="11917" spans="15:15">
      <c r="O11917" s="4288"/>
    </row>
    <row r="11918" spans="15:15">
      <c r="O11918" s="4288"/>
    </row>
    <row r="11919" spans="15:15">
      <c r="O11919" s="4288"/>
    </row>
    <row r="11920" spans="15:15">
      <c r="O11920" s="4288"/>
    </row>
    <row r="11921" spans="15:15">
      <c r="O11921" s="4288"/>
    </row>
    <row r="11922" spans="15:15">
      <c r="O11922" s="4288"/>
    </row>
    <row r="11923" spans="15:15">
      <c r="O11923" s="4288"/>
    </row>
    <row r="11924" spans="15:15">
      <c r="O11924" s="4288"/>
    </row>
    <row r="11925" spans="15:15">
      <c r="O11925" s="4288"/>
    </row>
    <row r="11926" spans="15:15">
      <c r="O11926" s="4288"/>
    </row>
    <row r="11927" spans="15:15">
      <c r="O11927" s="4288"/>
    </row>
    <row r="11928" spans="15:15">
      <c r="O11928" s="4288"/>
    </row>
    <row r="11929" spans="15:15">
      <c r="O11929" s="4288"/>
    </row>
    <row r="11930" spans="15:15">
      <c r="O11930" s="4288"/>
    </row>
    <row r="11931" spans="15:15">
      <c r="O11931" s="4288"/>
    </row>
    <row r="11932" spans="15:15">
      <c r="O11932" s="4288"/>
    </row>
    <row r="11933" spans="15:15">
      <c r="O11933" s="4288"/>
    </row>
    <row r="11934" spans="15:15">
      <c r="O11934" s="4288"/>
    </row>
    <row r="11935" spans="15:15">
      <c r="O11935" s="4288"/>
    </row>
    <row r="11936" spans="15:15">
      <c r="O11936" s="4288"/>
    </row>
    <row r="11937" spans="15:15">
      <c r="O11937" s="4288"/>
    </row>
    <row r="11938" spans="15:15">
      <c r="O11938" s="4288"/>
    </row>
    <row r="11939" spans="15:15">
      <c r="O11939" s="4288"/>
    </row>
    <row r="11940" spans="15:15">
      <c r="O11940" s="4288"/>
    </row>
    <row r="11941" spans="15:15">
      <c r="O11941" s="4288"/>
    </row>
    <row r="11942" spans="15:15">
      <c r="O11942" s="4288"/>
    </row>
    <row r="11943" spans="15:15">
      <c r="O11943" s="4288"/>
    </row>
    <row r="11944" spans="15:15">
      <c r="O11944" s="4288"/>
    </row>
    <row r="11945" spans="15:15">
      <c r="O11945" s="4288"/>
    </row>
    <row r="11946" spans="15:15">
      <c r="O11946" s="4288"/>
    </row>
    <row r="11947" spans="15:15">
      <c r="O11947" s="4288"/>
    </row>
    <row r="11948" spans="15:15">
      <c r="O11948" s="4288"/>
    </row>
    <row r="11949" spans="15:15">
      <c r="O11949" s="4288"/>
    </row>
    <row r="11950" spans="15:15">
      <c r="O11950" s="4288"/>
    </row>
    <row r="11951" spans="15:15">
      <c r="O11951" s="4288"/>
    </row>
    <row r="11952" spans="15:15">
      <c r="O11952" s="4288"/>
    </row>
    <row r="11953" spans="15:15">
      <c r="O11953" s="4288"/>
    </row>
    <row r="11954" spans="15:15">
      <c r="O11954" s="4288"/>
    </row>
    <row r="11955" spans="15:15">
      <c r="O11955" s="4288"/>
    </row>
    <row r="11956" spans="15:15">
      <c r="O11956" s="4288"/>
    </row>
    <row r="11957" spans="15:15">
      <c r="O11957" s="4288"/>
    </row>
    <row r="11958" spans="15:15">
      <c r="O11958" s="4288"/>
    </row>
    <row r="11959" spans="15:15">
      <c r="O11959" s="4288"/>
    </row>
    <row r="11960" spans="15:15">
      <c r="O11960" s="4288"/>
    </row>
    <row r="11961" spans="15:15">
      <c r="O11961" s="4288"/>
    </row>
    <row r="11962" spans="15:15">
      <c r="O11962" s="4288"/>
    </row>
    <row r="11963" spans="15:15">
      <c r="O11963" s="4288"/>
    </row>
    <row r="11964" spans="15:15">
      <c r="O11964" s="4288"/>
    </row>
    <row r="11965" spans="15:15">
      <c r="O11965" s="4288"/>
    </row>
    <row r="11966" spans="15:15">
      <c r="O11966" s="4288"/>
    </row>
    <row r="11967" spans="15:15">
      <c r="O11967" s="4288"/>
    </row>
    <row r="11968" spans="15:15">
      <c r="O11968" s="4288"/>
    </row>
    <row r="11969" spans="15:15">
      <c r="O11969" s="4288"/>
    </row>
    <row r="11970" spans="15:15">
      <c r="O11970" s="4288"/>
    </row>
    <row r="11971" spans="15:15">
      <c r="O11971" s="4288"/>
    </row>
    <row r="11972" spans="15:15">
      <c r="O11972" s="4288"/>
    </row>
    <row r="11973" spans="15:15">
      <c r="O11973" s="4288"/>
    </row>
    <row r="11974" spans="15:15">
      <c r="O11974" s="4288"/>
    </row>
    <row r="11975" spans="15:15">
      <c r="O11975" s="4288"/>
    </row>
    <row r="11976" spans="15:15">
      <c r="O11976" s="4288"/>
    </row>
    <row r="11977" spans="15:15">
      <c r="O11977" s="4288"/>
    </row>
    <row r="11978" spans="15:15">
      <c r="O11978" s="4288"/>
    </row>
    <row r="11979" spans="15:15">
      <c r="O11979" s="4288"/>
    </row>
    <row r="11980" spans="15:15">
      <c r="O11980" s="4288"/>
    </row>
    <row r="11981" spans="15:15">
      <c r="O11981" s="4288"/>
    </row>
    <row r="11982" spans="15:15">
      <c r="O11982" s="4288"/>
    </row>
    <row r="11983" spans="15:15">
      <c r="O11983" s="4288"/>
    </row>
    <row r="11984" spans="15:15">
      <c r="O11984" s="4288"/>
    </row>
    <row r="11985" spans="15:15">
      <c r="O11985" s="4288"/>
    </row>
    <row r="11986" spans="15:15">
      <c r="O11986" s="4288"/>
    </row>
    <row r="11987" spans="15:15">
      <c r="O11987" s="4288"/>
    </row>
    <row r="11988" spans="15:15">
      <c r="O11988" s="4288"/>
    </row>
    <row r="11989" spans="15:15">
      <c r="O11989" s="4288"/>
    </row>
    <row r="11990" spans="15:15">
      <c r="O11990" s="4288"/>
    </row>
    <row r="11991" spans="15:15">
      <c r="O11991" s="4288"/>
    </row>
    <row r="11992" spans="15:15">
      <c r="O11992" s="4288"/>
    </row>
    <row r="11993" spans="15:15">
      <c r="O11993" s="4288"/>
    </row>
    <row r="11994" spans="15:15">
      <c r="O11994" s="4288"/>
    </row>
    <row r="11995" spans="15:15">
      <c r="O11995" s="4288"/>
    </row>
    <row r="11996" spans="15:15">
      <c r="O11996" s="4288"/>
    </row>
    <row r="11997" spans="15:15">
      <c r="O11997" s="4288"/>
    </row>
    <row r="11998" spans="15:15">
      <c r="O11998" s="4288"/>
    </row>
    <row r="11999" spans="15:15">
      <c r="O11999" s="4288"/>
    </row>
    <row r="12000" spans="15:15">
      <c r="O12000" s="4288"/>
    </row>
    <row r="12001" spans="15:15">
      <c r="O12001" s="4288"/>
    </row>
    <row r="12002" spans="15:15">
      <c r="O12002" s="4288"/>
    </row>
    <row r="12003" spans="15:15">
      <c r="O12003" s="4288"/>
    </row>
    <row r="12004" spans="15:15">
      <c r="O12004" s="4288"/>
    </row>
    <row r="12005" spans="15:15">
      <c r="O12005" s="4288"/>
    </row>
    <row r="12006" spans="15:15">
      <c r="O12006" s="4288"/>
    </row>
    <row r="12007" spans="15:15">
      <c r="O12007" s="4288"/>
    </row>
    <row r="12008" spans="15:15">
      <c r="O12008" s="4288"/>
    </row>
    <row r="12009" spans="15:15">
      <c r="O12009" s="4288"/>
    </row>
    <row r="12010" spans="15:15">
      <c r="O12010" s="4288"/>
    </row>
    <row r="12011" spans="15:15">
      <c r="O12011" s="4288"/>
    </row>
    <row r="12012" spans="15:15">
      <c r="O12012" s="4288"/>
    </row>
    <row r="12013" spans="15:15">
      <c r="O12013" s="4288"/>
    </row>
    <row r="12014" spans="15:15">
      <c r="O12014" s="4288"/>
    </row>
    <row r="12015" spans="15:15">
      <c r="O12015" s="4288"/>
    </row>
    <row r="12016" spans="15:15">
      <c r="O12016" s="4288"/>
    </row>
    <row r="12017" spans="15:15">
      <c r="O12017" s="4288"/>
    </row>
    <row r="12018" spans="15:15">
      <c r="O12018" s="4288"/>
    </row>
    <row r="12019" spans="15:15">
      <c r="O12019" s="4288"/>
    </row>
    <row r="12020" spans="15:15">
      <c r="O12020" s="4288"/>
    </row>
    <row r="12021" spans="15:15">
      <c r="O12021" s="4288"/>
    </row>
    <row r="12022" spans="15:15">
      <c r="O12022" s="4288"/>
    </row>
    <row r="12023" spans="15:15">
      <c r="O12023" s="4288"/>
    </row>
    <row r="12024" spans="15:15">
      <c r="O12024" s="4288"/>
    </row>
    <row r="12025" spans="15:15">
      <c r="O12025" s="4288"/>
    </row>
    <row r="12026" spans="15:15">
      <c r="O12026" s="4288"/>
    </row>
    <row r="12027" spans="15:15">
      <c r="O12027" s="4288"/>
    </row>
    <row r="12028" spans="15:15">
      <c r="O12028" s="4288"/>
    </row>
    <row r="12029" spans="15:15">
      <c r="O12029" s="4288"/>
    </row>
    <row r="12030" spans="15:15">
      <c r="O12030" s="4288"/>
    </row>
    <row r="12031" spans="15:15">
      <c r="O12031" s="4288"/>
    </row>
    <row r="12032" spans="15:15">
      <c r="O12032" s="4288"/>
    </row>
    <row r="12033" spans="15:15">
      <c r="O12033" s="4288"/>
    </row>
    <row r="12034" spans="15:15">
      <c r="O12034" s="4288"/>
    </row>
    <row r="12035" spans="15:15">
      <c r="O12035" s="4288"/>
    </row>
    <row r="12036" spans="15:15">
      <c r="O12036" s="4288"/>
    </row>
    <row r="12037" spans="15:15">
      <c r="O12037" s="4288"/>
    </row>
    <row r="12038" spans="15:15">
      <c r="O12038" s="4288"/>
    </row>
    <row r="12039" spans="15:15">
      <c r="O12039" s="4288"/>
    </row>
    <row r="12040" spans="15:15">
      <c r="O12040" s="4288"/>
    </row>
    <row r="12041" spans="15:15">
      <c r="O12041" s="4288"/>
    </row>
    <row r="12042" spans="15:15">
      <c r="O12042" s="4288"/>
    </row>
    <row r="12043" spans="15:15">
      <c r="O12043" s="4288"/>
    </row>
    <row r="12044" spans="15:15">
      <c r="O12044" s="4288"/>
    </row>
    <row r="12045" spans="15:15">
      <c r="O12045" s="4288"/>
    </row>
    <row r="12046" spans="15:15">
      <c r="O12046" s="4288"/>
    </row>
    <row r="12047" spans="15:15">
      <c r="O12047" s="4288"/>
    </row>
    <row r="12048" spans="15:15">
      <c r="O12048" s="4288"/>
    </row>
    <row r="12049" spans="15:15">
      <c r="O12049" s="4288"/>
    </row>
    <row r="12050" spans="15:15">
      <c r="O12050" s="4288"/>
    </row>
    <row r="12051" spans="15:15">
      <c r="O12051" s="4288"/>
    </row>
    <row r="12052" spans="15:15">
      <c r="O12052" s="4288"/>
    </row>
    <row r="12053" spans="15:15">
      <c r="O12053" s="4288"/>
    </row>
    <row r="12054" spans="15:15">
      <c r="O12054" s="4288"/>
    </row>
    <row r="12055" spans="15:15">
      <c r="O12055" s="4288"/>
    </row>
    <row r="12056" spans="15:15">
      <c r="O12056" s="4288"/>
    </row>
    <row r="12057" spans="15:15">
      <c r="O12057" s="4288"/>
    </row>
    <row r="12058" spans="15:15">
      <c r="O12058" s="4288"/>
    </row>
    <row r="12059" spans="15:15">
      <c r="O12059" s="4288"/>
    </row>
    <row r="12060" spans="15:15">
      <c r="O12060" s="4288"/>
    </row>
    <row r="12061" spans="15:15">
      <c r="O12061" s="4288"/>
    </row>
    <row r="12062" spans="15:15">
      <c r="O12062" s="4288"/>
    </row>
    <row r="12063" spans="15:15">
      <c r="O12063" s="4288"/>
    </row>
    <row r="12064" spans="15:15">
      <c r="O12064" s="4288"/>
    </row>
    <row r="12065" spans="15:15">
      <c r="O12065" s="4288"/>
    </row>
    <row r="12066" spans="15:15">
      <c r="O12066" s="4288"/>
    </row>
    <row r="12067" spans="15:15">
      <c r="O12067" s="4288"/>
    </row>
    <row r="12068" spans="15:15">
      <c r="O12068" s="4288"/>
    </row>
    <row r="12069" spans="15:15">
      <c r="O12069" s="4288"/>
    </row>
    <row r="12070" spans="15:15">
      <c r="O12070" s="4288"/>
    </row>
    <row r="12071" spans="15:15">
      <c r="O12071" s="4288"/>
    </row>
    <row r="12072" spans="15:15">
      <c r="O12072" s="4288"/>
    </row>
    <row r="12073" spans="15:15">
      <c r="O12073" s="4288"/>
    </row>
    <row r="12074" spans="15:15">
      <c r="O12074" s="4288"/>
    </row>
    <row r="12075" spans="15:15">
      <c r="O12075" s="4288"/>
    </row>
    <row r="12076" spans="15:15">
      <c r="O12076" s="4288"/>
    </row>
    <row r="12077" spans="15:15">
      <c r="O12077" s="4288"/>
    </row>
    <row r="12078" spans="15:15">
      <c r="O12078" s="4288"/>
    </row>
    <row r="12079" spans="15:15">
      <c r="O12079" s="4288"/>
    </row>
    <row r="12080" spans="15:15">
      <c r="O12080" s="4288"/>
    </row>
    <row r="12081" spans="15:15">
      <c r="O12081" s="4288"/>
    </row>
    <row r="12082" spans="15:15">
      <c r="O12082" s="4288"/>
    </row>
    <row r="12083" spans="15:15">
      <c r="O12083" s="4288"/>
    </row>
    <row r="12084" spans="15:15">
      <c r="O12084" s="4288"/>
    </row>
    <row r="12085" spans="15:15">
      <c r="O12085" s="4288"/>
    </row>
    <row r="12086" spans="15:15">
      <c r="O12086" s="4288"/>
    </row>
    <row r="12087" spans="15:15">
      <c r="O12087" s="4288"/>
    </row>
    <row r="12088" spans="15:15">
      <c r="O12088" s="4288"/>
    </row>
    <row r="12089" spans="15:15">
      <c r="O12089" s="4288"/>
    </row>
    <row r="12090" spans="15:15">
      <c r="O12090" s="4288"/>
    </row>
    <row r="12091" spans="15:15">
      <c r="O12091" s="4288"/>
    </row>
    <row r="12092" spans="15:15">
      <c r="O12092" s="4288"/>
    </row>
    <row r="12093" spans="15:15">
      <c r="O12093" s="4288"/>
    </row>
    <row r="12094" spans="15:15">
      <c r="O12094" s="4288"/>
    </row>
    <row r="12095" spans="15:15">
      <c r="O12095" s="4288"/>
    </row>
    <row r="12096" spans="15:15">
      <c r="O12096" s="4288"/>
    </row>
    <row r="12097" spans="15:15">
      <c r="O12097" s="4288"/>
    </row>
    <row r="12098" spans="15:15">
      <c r="O12098" s="4288"/>
    </row>
    <row r="12099" spans="15:15">
      <c r="O12099" s="4288"/>
    </row>
    <row r="12100" spans="15:15">
      <c r="O12100" s="4288"/>
    </row>
    <row r="12101" spans="15:15">
      <c r="O12101" s="4288"/>
    </row>
    <row r="12102" spans="15:15">
      <c r="O12102" s="4288"/>
    </row>
    <row r="12103" spans="15:15">
      <c r="O12103" s="4288"/>
    </row>
    <row r="12104" spans="15:15">
      <c r="O12104" s="4288"/>
    </row>
    <row r="12105" spans="15:15">
      <c r="O12105" s="4288"/>
    </row>
    <row r="12106" spans="15:15">
      <c r="O12106" s="4288"/>
    </row>
    <row r="12107" spans="15:15">
      <c r="O12107" s="4288"/>
    </row>
    <row r="12108" spans="15:15">
      <c r="O12108" s="4288"/>
    </row>
    <row r="12109" spans="15:15">
      <c r="O12109" s="4288"/>
    </row>
    <row r="12110" spans="15:15">
      <c r="O12110" s="4288"/>
    </row>
    <row r="12111" spans="15:15">
      <c r="O12111" s="4288"/>
    </row>
    <row r="12112" spans="15:15">
      <c r="O12112" s="4288"/>
    </row>
    <row r="12113" spans="15:15">
      <c r="O12113" s="4288"/>
    </row>
    <row r="12114" spans="15:15">
      <c r="O12114" s="4288"/>
    </row>
    <row r="12115" spans="15:15">
      <c r="O12115" s="4288"/>
    </row>
    <row r="12116" spans="15:15">
      <c r="O12116" s="4288"/>
    </row>
    <row r="12117" spans="15:15">
      <c r="O12117" s="4288"/>
    </row>
    <row r="12118" spans="15:15">
      <c r="O12118" s="4288"/>
    </row>
    <row r="12119" spans="15:15">
      <c r="O12119" s="4288"/>
    </row>
    <row r="12120" spans="15:15">
      <c r="O12120" s="4288"/>
    </row>
    <row r="12121" spans="15:15">
      <c r="O12121" s="4288"/>
    </row>
    <row r="12122" spans="15:15">
      <c r="O12122" s="4288"/>
    </row>
    <row r="12123" spans="15:15">
      <c r="O12123" s="4288"/>
    </row>
    <row r="12124" spans="15:15">
      <c r="O12124" s="4288"/>
    </row>
    <row r="12125" spans="15:15">
      <c r="O12125" s="4288"/>
    </row>
    <row r="12126" spans="15:15">
      <c r="O12126" s="4288"/>
    </row>
    <row r="12127" spans="15:15">
      <c r="O12127" s="4288"/>
    </row>
    <row r="12128" spans="15:15">
      <c r="O12128" s="4288"/>
    </row>
    <row r="12129" spans="15:15">
      <c r="O12129" s="4288"/>
    </row>
    <row r="12130" spans="15:15">
      <c r="O12130" s="4288"/>
    </row>
    <row r="12131" spans="15:15">
      <c r="O12131" s="4288"/>
    </row>
    <row r="12132" spans="15:15">
      <c r="O12132" s="4288"/>
    </row>
    <row r="12133" spans="15:15">
      <c r="O12133" s="4288"/>
    </row>
    <row r="12134" spans="15:15">
      <c r="O12134" s="4288"/>
    </row>
    <row r="12135" spans="15:15">
      <c r="O12135" s="4288"/>
    </row>
    <row r="12136" spans="15:15">
      <c r="O12136" s="4288"/>
    </row>
    <row r="12137" spans="15:15">
      <c r="O12137" s="4288"/>
    </row>
    <row r="12138" spans="15:15">
      <c r="O12138" s="4288"/>
    </row>
    <row r="12139" spans="15:15">
      <c r="O12139" s="4288"/>
    </row>
    <row r="12140" spans="15:15">
      <c r="O12140" s="4288"/>
    </row>
    <row r="12141" spans="15:15">
      <c r="O12141" s="4288"/>
    </row>
    <row r="12142" spans="15:15">
      <c r="O12142" s="4288"/>
    </row>
    <row r="12143" spans="15:15">
      <c r="O12143" s="4288"/>
    </row>
    <row r="12144" spans="15:15">
      <c r="O12144" s="4288"/>
    </row>
    <row r="12145" spans="15:15">
      <c r="O12145" s="4288"/>
    </row>
    <row r="12146" spans="15:15">
      <c r="O12146" s="4288"/>
    </row>
    <row r="12147" spans="15:15">
      <c r="O12147" s="4288"/>
    </row>
    <row r="12148" spans="15:15">
      <c r="O12148" s="4288"/>
    </row>
    <row r="12149" spans="15:15">
      <c r="O12149" s="4288"/>
    </row>
    <row r="12150" spans="15:15">
      <c r="O12150" s="4288"/>
    </row>
    <row r="12151" spans="15:15">
      <c r="O12151" s="4288"/>
    </row>
    <row r="12152" spans="15:15">
      <c r="O12152" s="4288"/>
    </row>
    <row r="12153" spans="15:15">
      <c r="O12153" s="4288"/>
    </row>
    <row r="12154" spans="15:15">
      <c r="O12154" s="4288"/>
    </row>
    <row r="12155" spans="15:15">
      <c r="O12155" s="4288"/>
    </row>
    <row r="12156" spans="15:15">
      <c r="O12156" s="4288"/>
    </row>
    <row r="12157" spans="15:15">
      <c r="O12157" s="4288"/>
    </row>
    <row r="12158" spans="15:15">
      <c r="O12158" s="4288"/>
    </row>
    <row r="12159" spans="15:15">
      <c r="O12159" s="4288"/>
    </row>
    <row r="12160" spans="15:15">
      <c r="O12160" s="4288"/>
    </row>
    <row r="12161" spans="15:15">
      <c r="O12161" s="4288"/>
    </row>
    <row r="12162" spans="15:15">
      <c r="O12162" s="4288"/>
    </row>
    <row r="12163" spans="15:15">
      <c r="O12163" s="4288"/>
    </row>
    <row r="12164" spans="15:15">
      <c r="O12164" s="4288"/>
    </row>
    <row r="12165" spans="15:15">
      <c r="O12165" s="4288"/>
    </row>
    <row r="12166" spans="15:15">
      <c r="O12166" s="4288"/>
    </row>
    <row r="12167" spans="15:15">
      <c r="O12167" s="4288"/>
    </row>
    <row r="12168" spans="15:15">
      <c r="O12168" s="4288"/>
    </row>
    <row r="12169" spans="15:15">
      <c r="O12169" s="4288"/>
    </row>
    <row r="12170" spans="15:15">
      <c r="O12170" s="4288"/>
    </row>
    <row r="12171" spans="15:15">
      <c r="O12171" s="4288"/>
    </row>
    <row r="12172" spans="15:15">
      <c r="O12172" s="4288"/>
    </row>
    <row r="12173" spans="15:15">
      <c r="O12173" s="4288"/>
    </row>
    <row r="12174" spans="15:15">
      <c r="O12174" s="4288"/>
    </row>
    <row r="12175" spans="15:15">
      <c r="O12175" s="4288"/>
    </row>
    <row r="12176" spans="15:15">
      <c r="O12176" s="4288"/>
    </row>
    <row r="12177" spans="15:15">
      <c r="O12177" s="4288"/>
    </row>
    <row r="12178" spans="15:15">
      <c r="O12178" s="4288"/>
    </row>
    <row r="12179" spans="15:15">
      <c r="O12179" s="4288"/>
    </row>
    <row r="12180" spans="15:15">
      <c r="O12180" s="4288"/>
    </row>
    <row r="12181" spans="15:15">
      <c r="O12181" s="4288"/>
    </row>
    <row r="12182" spans="15:15">
      <c r="O12182" s="4288"/>
    </row>
    <row r="12183" spans="15:15">
      <c r="O12183" s="4288"/>
    </row>
    <row r="12184" spans="15:15">
      <c r="O12184" s="4288"/>
    </row>
    <row r="12185" spans="15:15">
      <c r="O12185" s="4288"/>
    </row>
    <row r="12186" spans="15:15">
      <c r="O12186" s="4288"/>
    </row>
    <row r="12187" spans="15:15">
      <c r="O12187" s="4288"/>
    </row>
    <row r="12188" spans="15:15">
      <c r="O12188" s="4288"/>
    </row>
    <row r="12189" spans="15:15">
      <c r="O12189" s="4288"/>
    </row>
    <row r="12190" spans="15:15">
      <c r="O12190" s="4288"/>
    </row>
    <row r="12191" spans="15:15">
      <c r="O12191" s="4288"/>
    </row>
    <row r="12192" spans="15:15">
      <c r="O12192" s="4288"/>
    </row>
    <row r="12193" spans="15:15">
      <c r="O12193" s="4288"/>
    </row>
    <row r="12194" spans="15:15">
      <c r="O12194" s="4288"/>
    </row>
    <row r="12195" spans="15:15">
      <c r="O12195" s="4288"/>
    </row>
    <row r="12196" spans="15:15">
      <c r="O12196" s="4288"/>
    </row>
    <row r="12197" spans="15:15">
      <c r="O12197" s="4288"/>
    </row>
    <row r="12198" spans="15:15">
      <c r="O12198" s="4288"/>
    </row>
    <row r="12199" spans="15:15">
      <c r="O12199" s="4288"/>
    </row>
    <row r="12200" spans="15:15">
      <c r="O12200" s="4288"/>
    </row>
    <row r="12201" spans="15:15">
      <c r="O12201" s="4288"/>
    </row>
    <row r="12202" spans="15:15">
      <c r="O12202" s="4288"/>
    </row>
    <row r="12203" spans="15:15">
      <c r="O12203" s="4288"/>
    </row>
    <row r="12204" spans="15:15">
      <c r="O12204" s="4288"/>
    </row>
    <row r="12205" spans="15:15">
      <c r="O12205" s="4288"/>
    </row>
    <row r="12206" spans="15:15">
      <c r="O12206" s="4288"/>
    </row>
    <row r="12207" spans="15:15">
      <c r="O12207" s="4288"/>
    </row>
    <row r="12208" spans="15:15">
      <c r="O12208" s="4288"/>
    </row>
    <row r="12209" spans="15:15">
      <c r="O12209" s="4288"/>
    </row>
    <row r="12210" spans="15:15">
      <c r="O12210" s="4288"/>
    </row>
    <row r="12211" spans="15:15">
      <c r="O12211" s="4288"/>
    </row>
    <row r="12212" spans="15:15">
      <c r="O12212" s="4288"/>
    </row>
    <row r="12213" spans="15:15">
      <c r="O12213" s="4288"/>
    </row>
    <row r="12214" spans="15:15">
      <c r="O12214" s="4288"/>
    </row>
    <row r="12215" spans="15:15">
      <c r="O12215" s="4288"/>
    </row>
    <row r="12216" spans="15:15">
      <c r="O12216" s="4288"/>
    </row>
    <row r="12217" spans="15:15">
      <c r="O12217" s="4288"/>
    </row>
    <row r="12218" spans="15:15">
      <c r="O12218" s="4288"/>
    </row>
    <row r="12219" spans="15:15">
      <c r="O12219" s="4288"/>
    </row>
    <row r="12220" spans="15:15">
      <c r="O12220" s="4288"/>
    </row>
    <row r="12221" spans="15:15">
      <c r="O12221" s="4288"/>
    </row>
    <row r="12222" spans="15:15">
      <c r="O12222" s="4288"/>
    </row>
    <row r="12223" spans="15:15">
      <c r="O12223" s="4288"/>
    </row>
    <row r="12224" spans="15:15">
      <c r="O12224" s="4288"/>
    </row>
    <row r="12225" spans="15:15">
      <c r="O12225" s="4288"/>
    </row>
    <row r="12226" spans="15:15">
      <c r="O12226" s="4288"/>
    </row>
    <row r="12227" spans="15:15">
      <c r="O12227" s="4288"/>
    </row>
    <row r="12228" spans="15:15">
      <c r="O12228" s="4288"/>
    </row>
    <row r="12229" spans="15:15">
      <c r="O12229" s="4288"/>
    </row>
    <row r="12230" spans="15:15">
      <c r="O12230" s="4288"/>
    </row>
    <row r="12231" spans="15:15">
      <c r="O12231" s="4288"/>
    </row>
    <row r="12232" spans="15:15">
      <c r="O12232" s="4288"/>
    </row>
    <row r="12233" spans="15:15">
      <c r="O12233" s="4288"/>
    </row>
    <row r="12234" spans="15:15">
      <c r="O12234" s="4288"/>
    </row>
    <row r="12235" spans="15:15">
      <c r="O12235" s="4288"/>
    </row>
    <row r="12236" spans="15:15">
      <c r="O12236" s="4288"/>
    </row>
    <row r="12237" spans="15:15">
      <c r="O12237" s="4288"/>
    </row>
    <row r="12238" spans="15:15">
      <c r="O12238" s="4288"/>
    </row>
    <row r="12239" spans="15:15">
      <c r="O12239" s="4288"/>
    </row>
    <row r="12240" spans="15:15">
      <c r="O12240" s="4288"/>
    </row>
    <row r="12241" spans="15:15">
      <c r="O12241" s="4288"/>
    </row>
    <row r="12242" spans="15:15">
      <c r="O12242" s="4288"/>
    </row>
    <row r="12243" spans="15:15">
      <c r="O12243" s="4288"/>
    </row>
    <row r="12244" spans="15:15">
      <c r="O12244" s="4288"/>
    </row>
    <row r="12245" spans="15:15">
      <c r="O12245" s="4288"/>
    </row>
    <row r="12246" spans="15:15">
      <c r="O12246" s="4288"/>
    </row>
    <row r="12247" spans="15:15">
      <c r="O12247" s="4288"/>
    </row>
    <row r="12248" spans="15:15">
      <c r="O12248" s="4288"/>
    </row>
    <row r="12249" spans="15:15">
      <c r="O12249" s="4288"/>
    </row>
    <row r="12250" spans="15:15">
      <c r="O12250" s="4288"/>
    </row>
    <row r="12251" spans="15:15">
      <c r="O12251" s="4288"/>
    </row>
    <row r="12252" spans="15:15">
      <c r="O12252" s="4288"/>
    </row>
    <row r="12253" spans="15:15">
      <c r="O12253" s="4288"/>
    </row>
    <row r="12254" spans="15:15">
      <c r="O12254" s="4288"/>
    </row>
    <row r="12255" spans="15:15">
      <c r="O12255" s="4288"/>
    </row>
    <row r="12256" spans="15:15">
      <c r="O12256" s="4288"/>
    </row>
    <row r="12257" spans="15:15">
      <c r="O12257" s="4288"/>
    </row>
    <row r="12258" spans="15:15">
      <c r="O12258" s="4288"/>
    </row>
    <row r="12259" spans="15:15">
      <c r="O12259" s="4288"/>
    </row>
    <row r="12260" spans="15:15">
      <c r="O12260" s="4288"/>
    </row>
    <row r="12261" spans="15:15">
      <c r="O12261" s="4288"/>
    </row>
    <row r="12262" spans="15:15">
      <c r="O12262" s="4288"/>
    </row>
    <row r="12263" spans="15:15">
      <c r="O12263" s="4288"/>
    </row>
    <row r="12264" spans="15:15">
      <c r="O12264" s="4288"/>
    </row>
    <row r="12265" spans="15:15">
      <c r="O12265" s="4288"/>
    </row>
    <row r="12266" spans="15:15">
      <c r="O12266" s="4288"/>
    </row>
    <row r="12267" spans="15:15">
      <c r="O12267" s="4288"/>
    </row>
    <row r="12268" spans="15:15">
      <c r="O12268" s="4288"/>
    </row>
    <row r="12269" spans="15:15">
      <c r="O12269" s="4288"/>
    </row>
    <row r="12270" spans="15:15">
      <c r="O12270" s="4288"/>
    </row>
    <row r="12271" spans="15:15">
      <c r="O12271" s="4288"/>
    </row>
    <row r="12272" spans="15:15">
      <c r="O12272" s="4288"/>
    </row>
    <row r="12273" spans="15:15">
      <c r="O12273" s="4288"/>
    </row>
    <row r="12274" spans="15:15">
      <c r="O12274" s="4288"/>
    </row>
    <row r="12275" spans="15:15">
      <c r="O12275" s="4288"/>
    </row>
    <row r="12276" spans="15:15">
      <c r="O12276" s="4288"/>
    </row>
    <row r="12277" spans="15:15">
      <c r="O12277" s="4288"/>
    </row>
    <row r="12278" spans="15:15">
      <c r="O12278" s="4288"/>
    </row>
    <row r="12279" spans="15:15">
      <c r="O12279" s="4288"/>
    </row>
    <row r="12280" spans="15:15">
      <c r="O12280" s="4288"/>
    </row>
    <row r="12281" spans="15:15">
      <c r="O12281" s="4288"/>
    </row>
    <row r="12282" spans="15:15">
      <c r="O12282" s="4288"/>
    </row>
    <row r="12283" spans="15:15">
      <c r="O12283" s="4288"/>
    </row>
    <row r="12284" spans="15:15">
      <c r="O12284" s="4288"/>
    </row>
    <row r="12285" spans="15:15">
      <c r="O12285" s="4288"/>
    </row>
    <row r="12286" spans="15:15">
      <c r="O12286" s="4288"/>
    </row>
    <row r="12287" spans="15:15">
      <c r="O12287" s="4288"/>
    </row>
    <row r="12288" spans="15:15">
      <c r="O12288" s="4288"/>
    </row>
    <row r="12289" spans="15:15">
      <c r="O12289" s="4288"/>
    </row>
    <row r="12290" spans="15:15">
      <c r="O12290" s="4288"/>
    </row>
    <row r="12291" spans="15:15">
      <c r="O12291" s="4288"/>
    </row>
    <row r="12292" spans="15:15">
      <c r="O12292" s="4288"/>
    </row>
    <row r="12293" spans="15:15">
      <c r="O12293" s="4288"/>
    </row>
    <row r="12294" spans="15:15">
      <c r="O12294" s="4288"/>
    </row>
    <row r="12295" spans="15:15">
      <c r="O12295" s="4288"/>
    </row>
    <row r="12296" spans="15:15">
      <c r="O12296" s="4288"/>
    </row>
    <row r="12297" spans="15:15">
      <c r="O12297" s="4288"/>
    </row>
    <row r="12298" spans="15:15">
      <c r="O12298" s="4288"/>
    </row>
    <row r="12299" spans="15:15">
      <c r="O12299" s="4288"/>
    </row>
    <row r="12300" spans="15:15">
      <c r="O12300" s="4288"/>
    </row>
    <row r="12301" spans="15:15">
      <c r="O12301" s="4288"/>
    </row>
    <row r="12302" spans="15:15">
      <c r="O12302" s="4288"/>
    </row>
    <row r="12303" spans="15:15">
      <c r="O12303" s="4288"/>
    </row>
    <row r="12304" spans="15:15">
      <c r="O12304" s="4288"/>
    </row>
    <row r="12305" spans="15:15">
      <c r="O12305" s="4288"/>
    </row>
    <row r="12306" spans="15:15">
      <c r="O12306" s="4288"/>
    </row>
    <row r="12307" spans="15:15">
      <c r="O12307" s="4288"/>
    </row>
    <row r="12308" spans="15:15">
      <c r="O12308" s="4288"/>
    </row>
    <row r="12309" spans="15:15">
      <c r="O12309" s="4288"/>
    </row>
    <row r="12310" spans="15:15">
      <c r="O12310" s="4288"/>
    </row>
    <row r="12311" spans="15:15">
      <c r="O12311" s="4288"/>
    </row>
    <row r="12312" spans="15:15">
      <c r="O12312" s="4288"/>
    </row>
    <row r="12313" spans="15:15">
      <c r="O12313" s="4288"/>
    </row>
    <row r="12314" spans="15:15">
      <c r="O12314" s="4288"/>
    </row>
    <row r="12315" spans="15:15">
      <c r="O12315" s="4288"/>
    </row>
    <row r="12316" spans="15:15">
      <c r="O12316" s="4288"/>
    </row>
    <row r="12317" spans="15:15">
      <c r="O12317" s="4288"/>
    </row>
    <row r="12318" spans="15:15">
      <c r="O12318" s="4288"/>
    </row>
    <row r="12319" spans="15:15">
      <c r="O12319" s="4288"/>
    </row>
    <row r="12320" spans="15:15">
      <c r="O12320" s="4288"/>
    </row>
    <row r="12321" spans="15:15">
      <c r="O12321" s="4288"/>
    </row>
    <row r="12322" spans="15:15">
      <c r="O12322" s="4288"/>
    </row>
    <row r="12323" spans="15:15">
      <c r="O12323" s="4288"/>
    </row>
    <row r="12324" spans="15:15">
      <c r="O12324" s="4288"/>
    </row>
    <row r="12325" spans="15:15">
      <c r="O12325" s="4288"/>
    </row>
    <row r="12326" spans="15:15">
      <c r="O12326" s="4288"/>
    </row>
    <row r="12327" spans="15:15">
      <c r="O12327" s="4288"/>
    </row>
    <row r="12328" spans="15:15">
      <c r="O12328" s="4288"/>
    </row>
    <row r="12329" spans="15:15">
      <c r="O12329" s="4288"/>
    </row>
    <row r="12330" spans="15:15">
      <c r="O12330" s="4288"/>
    </row>
    <row r="12331" spans="15:15">
      <c r="O12331" s="4288"/>
    </row>
    <row r="12332" spans="15:15">
      <c r="O12332" s="4288"/>
    </row>
    <row r="12333" spans="15:15">
      <c r="O12333" s="4288"/>
    </row>
    <row r="12334" spans="15:15">
      <c r="O12334" s="4288"/>
    </row>
    <row r="12335" spans="15:15">
      <c r="O12335" s="4288"/>
    </row>
    <row r="12336" spans="15:15">
      <c r="O12336" s="4288"/>
    </row>
    <row r="12337" spans="15:15">
      <c r="O12337" s="4288"/>
    </row>
    <row r="12338" spans="15:15">
      <c r="O12338" s="4288"/>
    </row>
    <row r="12339" spans="15:15">
      <c r="O12339" s="4288"/>
    </row>
    <row r="12340" spans="15:15">
      <c r="O12340" s="4288"/>
    </row>
    <row r="12341" spans="15:15">
      <c r="O12341" s="4288"/>
    </row>
    <row r="12342" spans="15:15">
      <c r="O12342" s="4288"/>
    </row>
    <row r="12343" spans="15:15">
      <c r="O12343" s="4288"/>
    </row>
    <row r="12344" spans="15:15">
      <c r="O12344" s="4288"/>
    </row>
    <row r="12345" spans="15:15">
      <c r="O12345" s="4288"/>
    </row>
    <row r="12346" spans="15:15">
      <c r="O12346" s="4288"/>
    </row>
    <row r="12347" spans="15:15">
      <c r="O12347" s="4288"/>
    </row>
    <row r="12348" spans="15:15">
      <c r="O12348" s="4288"/>
    </row>
    <row r="12349" spans="15:15">
      <c r="O12349" s="4288"/>
    </row>
    <row r="12350" spans="15:15">
      <c r="O12350" s="4288"/>
    </row>
    <row r="12351" spans="15:15">
      <c r="O12351" s="4288"/>
    </row>
    <row r="12352" spans="15:15">
      <c r="O12352" s="4288"/>
    </row>
    <row r="12353" spans="15:15">
      <c r="O12353" s="4288"/>
    </row>
    <row r="12354" spans="15:15">
      <c r="O12354" s="4288"/>
    </row>
    <row r="12355" spans="15:15">
      <c r="O12355" s="4288"/>
    </row>
    <row r="12356" spans="15:15">
      <c r="O12356" s="4288"/>
    </row>
    <row r="12357" spans="15:15">
      <c r="O12357" s="4288"/>
    </row>
    <row r="12358" spans="15:15">
      <c r="O12358" s="4288"/>
    </row>
    <row r="12359" spans="15:15">
      <c r="O12359" s="4288"/>
    </row>
    <row r="12360" spans="15:15">
      <c r="O12360" s="4288"/>
    </row>
    <row r="12361" spans="15:15">
      <c r="O12361" s="4288"/>
    </row>
    <row r="12362" spans="15:15">
      <c r="O12362" s="4288"/>
    </row>
    <row r="12363" spans="15:15">
      <c r="O12363" s="4288"/>
    </row>
    <row r="12364" spans="15:15">
      <c r="O12364" s="4288"/>
    </row>
    <row r="12365" spans="15:15">
      <c r="O12365" s="4288"/>
    </row>
    <row r="12366" spans="15:15">
      <c r="O12366" s="4288"/>
    </row>
    <row r="12367" spans="15:15">
      <c r="O12367" s="4288"/>
    </row>
    <row r="12368" spans="15:15">
      <c r="O12368" s="4288"/>
    </row>
    <row r="12369" spans="15:15">
      <c r="O12369" s="4288"/>
    </row>
    <row r="12370" spans="15:15">
      <c r="O12370" s="4288"/>
    </row>
    <row r="12371" spans="15:15">
      <c r="O12371" s="4288"/>
    </row>
    <row r="12372" spans="15:15">
      <c r="O12372" s="4288"/>
    </row>
    <row r="12373" spans="15:15">
      <c r="O12373" s="4288"/>
    </row>
    <row r="12374" spans="15:15">
      <c r="O12374" s="4288"/>
    </row>
    <row r="12375" spans="15:15">
      <c r="O12375" s="4288"/>
    </row>
    <row r="12376" spans="15:15">
      <c r="O12376" s="4288"/>
    </row>
    <row r="12377" spans="15:15">
      <c r="O12377" s="4288"/>
    </row>
    <row r="12378" spans="15:15">
      <c r="O12378" s="4288"/>
    </row>
    <row r="12379" spans="15:15">
      <c r="O12379" s="4288"/>
    </row>
    <row r="12380" spans="15:15">
      <c r="O12380" s="4288"/>
    </row>
    <row r="12381" spans="15:15">
      <c r="O12381" s="4288"/>
    </row>
    <row r="12382" spans="15:15">
      <c r="O12382" s="4288"/>
    </row>
    <row r="12383" spans="15:15">
      <c r="O12383" s="4288"/>
    </row>
    <row r="12384" spans="15:15">
      <c r="O12384" s="4288"/>
    </row>
    <row r="12385" spans="15:15">
      <c r="O12385" s="4288"/>
    </row>
    <row r="12386" spans="15:15">
      <c r="O12386" s="4288"/>
    </row>
    <row r="12387" spans="15:15">
      <c r="O12387" s="4288"/>
    </row>
    <row r="12388" spans="15:15">
      <c r="O12388" s="4288"/>
    </row>
    <row r="12389" spans="15:15">
      <c r="O12389" s="4288"/>
    </row>
    <row r="12390" spans="15:15">
      <c r="O12390" s="4288"/>
    </row>
    <row r="12391" spans="15:15">
      <c r="O12391" s="4288"/>
    </row>
    <row r="12392" spans="15:15">
      <c r="O12392" s="4288"/>
    </row>
    <row r="12393" spans="15:15">
      <c r="O12393" s="4288"/>
    </row>
    <row r="12394" spans="15:15">
      <c r="O12394" s="4288"/>
    </row>
    <row r="12395" spans="15:15">
      <c r="O12395" s="4288"/>
    </row>
    <row r="12396" spans="15:15">
      <c r="O12396" s="4288"/>
    </row>
    <row r="12397" spans="15:15">
      <c r="O12397" s="4288"/>
    </row>
    <row r="12398" spans="15:15">
      <c r="O12398" s="4288"/>
    </row>
    <row r="12399" spans="15:15">
      <c r="O12399" s="4288"/>
    </row>
    <row r="12400" spans="15:15">
      <c r="O12400" s="4288"/>
    </row>
    <row r="12401" spans="15:15">
      <c r="O12401" s="4288"/>
    </row>
    <row r="12402" spans="15:15">
      <c r="O12402" s="4288"/>
    </row>
    <row r="12403" spans="15:15">
      <c r="O12403" s="4288"/>
    </row>
    <row r="12404" spans="15:15">
      <c r="O12404" s="4288"/>
    </row>
    <row r="12405" spans="15:15">
      <c r="O12405" s="4288"/>
    </row>
    <row r="12406" spans="15:15">
      <c r="O12406" s="4288"/>
    </row>
    <row r="12407" spans="15:15">
      <c r="O12407" s="4288"/>
    </row>
    <row r="12408" spans="15:15">
      <c r="O12408" s="4288"/>
    </row>
    <row r="12409" spans="15:15">
      <c r="O12409" s="4288"/>
    </row>
    <row r="12410" spans="15:15">
      <c r="O12410" s="4288"/>
    </row>
    <row r="12411" spans="15:15">
      <c r="O12411" s="4288"/>
    </row>
    <row r="12412" spans="15:15">
      <c r="O12412" s="4288"/>
    </row>
    <row r="12413" spans="15:15">
      <c r="O12413" s="4288"/>
    </row>
    <row r="12414" spans="15:15">
      <c r="O12414" s="4288"/>
    </row>
    <row r="12415" spans="15:15">
      <c r="O12415" s="4288"/>
    </row>
    <row r="12416" spans="15:15">
      <c r="O12416" s="4288"/>
    </row>
    <row r="12417" spans="15:15">
      <c r="O12417" s="4288"/>
    </row>
    <row r="12418" spans="15:15">
      <c r="O12418" s="4288"/>
    </row>
    <row r="12419" spans="15:15">
      <c r="O12419" s="4288"/>
    </row>
    <row r="12420" spans="15:15">
      <c r="O12420" s="4288"/>
    </row>
    <row r="12421" spans="15:15">
      <c r="O12421" s="4288"/>
    </row>
    <row r="12422" spans="15:15">
      <c r="O12422" s="4288"/>
    </row>
    <row r="12423" spans="15:15">
      <c r="O12423" s="4288"/>
    </row>
    <row r="12424" spans="15:15">
      <c r="O12424" s="4288"/>
    </row>
    <row r="12425" spans="15:15">
      <c r="O12425" s="4288"/>
    </row>
    <row r="12426" spans="15:15">
      <c r="O12426" s="4288"/>
    </row>
    <row r="12427" spans="15:15">
      <c r="O12427" s="4288"/>
    </row>
    <row r="12428" spans="15:15">
      <c r="O12428" s="4288"/>
    </row>
    <row r="12429" spans="15:15">
      <c r="O12429" s="4288"/>
    </row>
    <row r="12430" spans="15:15">
      <c r="O12430" s="4288"/>
    </row>
    <row r="12431" spans="15:15">
      <c r="O12431" s="4288"/>
    </row>
    <row r="12432" spans="15:15">
      <c r="O12432" s="4288"/>
    </row>
    <row r="12433" spans="15:15">
      <c r="O12433" s="4288"/>
    </row>
    <row r="12434" spans="15:15">
      <c r="O12434" s="4288"/>
    </row>
    <row r="12435" spans="15:15">
      <c r="O12435" s="4288"/>
    </row>
    <row r="12436" spans="15:15">
      <c r="O12436" s="4288"/>
    </row>
    <row r="12437" spans="15:15">
      <c r="O12437" s="4288"/>
    </row>
    <row r="12438" spans="15:15">
      <c r="O12438" s="4288"/>
    </row>
    <row r="12439" spans="15:15">
      <c r="O12439" s="4288"/>
    </row>
    <row r="12440" spans="15:15">
      <c r="O12440" s="4288"/>
    </row>
    <row r="12441" spans="15:15">
      <c r="O12441" s="4288"/>
    </row>
    <row r="12442" spans="15:15">
      <c r="O12442" s="4288"/>
    </row>
    <row r="12443" spans="15:15">
      <c r="O12443" s="4288"/>
    </row>
    <row r="12444" spans="15:15">
      <c r="O12444" s="4288"/>
    </row>
    <row r="12445" spans="15:15">
      <c r="O12445" s="4288"/>
    </row>
    <row r="12446" spans="15:15">
      <c r="O12446" s="4288"/>
    </row>
    <row r="12447" spans="15:15">
      <c r="O12447" s="4288"/>
    </row>
    <row r="12448" spans="15:15">
      <c r="O12448" s="4288"/>
    </row>
    <row r="12449" spans="15:15">
      <c r="O12449" s="4288"/>
    </row>
    <row r="12450" spans="15:15">
      <c r="O12450" s="4288"/>
    </row>
    <row r="12451" spans="15:15">
      <c r="O12451" s="4288"/>
    </row>
    <row r="12452" spans="15:15">
      <c r="O12452" s="4288"/>
    </row>
    <row r="12453" spans="15:15">
      <c r="O12453" s="4288"/>
    </row>
    <row r="12454" spans="15:15">
      <c r="O12454" s="4288"/>
    </row>
    <row r="12455" spans="15:15">
      <c r="O12455" s="4288"/>
    </row>
    <row r="12456" spans="15:15">
      <c r="O12456" s="4288"/>
    </row>
    <row r="12457" spans="15:15">
      <c r="O12457" s="4288"/>
    </row>
    <row r="12458" spans="15:15">
      <c r="O12458" s="4288"/>
    </row>
    <row r="12459" spans="15:15">
      <c r="O12459" s="4288"/>
    </row>
    <row r="12460" spans="15:15">
      <c r="O12460" s="4288"/>
    </row>
    <row r="12461" spans="15:15">
      <c r="O12461" s="4288"/>
    </row>
    <row r="12462" spans="15:15">
      <c r="O12462" s="4288"/>
    </row>
    <row r="12463" spans="15:15">
      <c r="O12463" s="4288"/>
    </row>
    <row r="12464" spans="15:15">
      <c r="O12464" s="4288"/>
    </row>
    <row r="12465" spans="15:15">
      <c r="O12465" s="4288"/>
    </row>
    <row r="12466" spans="15:15">
      <c r="O12466" s="4288"/>
    </row>
    <row r="12467" spans="15:15">
      <c r="O12467" s="4288"/>
    </row>
    <row r="12468" spans="15:15">
      <c r="O12468" s="4288"/>
    </row>
    <row r="12469" spans="15:15">
      <c r="O12469" s="4288"/>
    </row>
    <row r="12470" spans="15:15">
      <c r="O12470" s="4288"/>
    </row>
    <row r="12471" spans="15:15">
      <c r="O12471" s="4288"/>
    </row>
    <row r="12472" spans="15:15">
      <c r="O12472" s="4288"/>
    </row>
    <row r="12473" spans="15:15">
      <c r="O12473" s="4288"/>
    </row>
    <row r="12474" spans="15:15">
      <c r="O12474" s="4288"/>
    </row>
    <row r="12475" spans="15:15">
      <c r="O12475" s="4288"/>
    </row>
    <row r="12476" spans="15:15">
      <c r="O12476" s="4288"/>
    </row>
    <row r="12477" spans="15:15">
      <c r="O12477" s="4288"/>
    </row>
    <row r="12478" spans="15:15">
      <c r="O12478" s="4288"/>
    </row>
    <row r="12479" spans="15:15">
      <c r="O12479" s="4288"/>
    </row>
    <row r="12480" spans="15:15">
      <c r="O12480" s="4288"/>
    </row>
    <row r="12481" spans="15:15">
      <c r="O12481" s="4288"/>
    </row>
    <row r="12482" spans="15:15">
      <c r="O12482" s="4288"/>
    </row>
    <row r="12483" spans="15:15">
      <c r="O12483" s="4288"/>
    </row>
    <row r="12484" spans="15:15">
      <c r="O12484" s="4288"/>
    </row>
    <row r="12485" spans="15:15">
      <c r="O12485" s="4288"/>
    </row>
    <row r="12486" spans="15:15">
      <c r="O12486" s="4288"/>
    </row>
    <row r="12487" spans="15:15">
      <c r="O12487" s="4288"/>
    </row>
    <row r="12488" spans="15:15">
      <c r="O12488" s="4288"/>
    </row>
    <row r="12489" spans="15:15">
      <c r="O12489" s="4288"/>
    </row>
    <row r="12490" spans="15:15">
      <c r="O12490" s="4288"/>
    </row>
    <row r="12491" spans="15:15">
      <c r="O12491" s="4288"/>
    </row>
    <row r="12492" spans="15:15">
      <c r="O12492" s="4288"/>
    </row>
    <row r="12493" spans="15:15">
      <c r="O12493" s="4288"/>
    </row>
    <row r="12494" spans="15:15">
      <c r="O12494" s="4288"/>
    </row>
    <row r="12495" spans="15:15">
      <c r="O12495" s="4288"/>
    </row>
    <row r="12496" spans="15:15">
      <c r="O12496" s="4288"/>
    </row>
    <row r="12497" spans="15:15">
      <c r="O12497" s="4288"/>
    </row>
    <row r="12498" spans="15:15">
      <c r="O12498" s="4288"/>
    </row>
    <row r="12499" spans="15:15">
      <c r="O12499" s="4288"/>
    </row>
    <row r="12500" spans="15:15">
      <c r="O12500" s="4288"/>
    </row>
    <row r="12501" spans="15:15">
      <c r="O12501" s="4288"/>
    </row>
    <row r="12502" spans="15:15">
      <c r="O12502" s="4288"/>
    </row>
    <row r="12503" spans="15:15">
      <c r="O12503" s="4288"/>
    </row>
    <row r="12504" spans="15:15">
      <c r="O12504" s="4288"/>
    </row>
    <row r="12505" spans="15:15">
      <c r="O12505" s="4288"/>
    </row>
    <row r="12506" spans="15:15">
      <c r="O12506" s="4288"/>
    </row>
    <row r="12507" spans="15:15">
      <c r="O12507" s="4288"/>
    </row>
    <row r="12508" spans="15:15">
      <c r="O12508" s="4288"/>
    </row>
    <row r="12509" spans="15:15">
      <c r="O12509" s="4288"/>
    </row>
    <row r="12510" spans="15:15">
      <c r="O12510" s="4288"/>
    </row>
    <row r="12511" spans="15:15">
      <c r="O12511" s="4288"/>
    </row>
    <row r="12512" spans="15:15">
      <c r="O12512" s="4288"/>
    </row>
    <row r="12513" spans="15:15">
      <c r="O12513" s="4288"/>
    </row>
    <row r="12514" spans="15:15">
      <c r="O12514" s="4288"/>
    </row>
    <row r="12515" spans="15:15">
      <c r="O12515" s="4288"/>
    </row>
    <row r="12516" spans="15:15">
      <c r="O12516" s="4288"/>
    </row>
    <row r="12517" spans="15:15">
      <c r="O12517" s="4288"/>
    </row>
    <row r="12518" spans="15:15">
      <c r="O12518" s="4288"/>
    </row>
    <row r="12519" spans="15:15">
      <c r="O12519" s="4288"/>
    </row>
    <row r="12520" spans="15:15">
      <c r="O12520" s="4288"/>
    </row>
    <row r="12521" spans="15:15">
      <c r="O12521" s="4288"/>
    </row>
    <row r="12522" spans="15:15">
      <c r="O12522" s="4288"/>
    </row>
    <row r="12523" spans="15:15">
      <c r="O12523" s="4288"/>
    </row>
    <row r="12524" spans="15:15">
      <c r="O12524" s="4288"/>
    </row>
    <row r="12525" spans="15:15">
      <c r="O12525" s="4288"/>
    </row>
    <row r="12526" spans="15:15">
      <c r="O12526" s="4288"/>
    </row>
    <row r="12527" spans="15:15">
      <c r="O12527" s="4288"/>
    </row>
    <row r="12528" spans="15:15">
      <c r="O12528" s="4288"/>
    </row>
    <row r="12529" spans="15:15">
      <c r="O12529" s="4288"/>
    </row>
    <row r="12530" spans="15:15">
      <c r="O12530" s="4288"/>
    </row>
    <row r="12531" spans="15:15">
      <c r="O12531" s="4288"/>
    </row>
    <row r="12532" spans="15:15">
      <c r="O12532" s="4288"/>
    </row>
    <row r="12533" spans="15:15">
      <c r="O12533" s="4288"/>
    </row>
    <row r="12534" spans="15:15">
      <c r="O12534" s="4288"/>
    </row>
    <row r="12535" spans="15:15">
      <c r="O12535" s="4288"/>
    </row>
    <row r="12536" spans="15:15">
      <c r="O12536" s="4288"/>
    </row>
    <row r="12537" spans="15:15">
      <c r="O12537" s="4288"/>
    </row>
    <row r="12538" spans="15:15">
      <c r="O12538" s="4288"/>
    </row>
    <row r="12539" spans="15:15">
      <c r="O12539" s="4288"/>
    </row>
    <row r="12540" spans="15:15">
      <c r="O12540" s="4288"/>
    </row>
    <row r="12541" spans="15:15">
      <c r="O12541" s="4288"/>
    </row>
    <row r="12542" spans="15:15">
      <c r="O12542" s="4288"/>
    </row>
    <row r="12543" spans="15:15">
      <c r="O12543" s="4288"/>
    </row>
    <row r="12544" spans="15:15">
      <c r="O12544" s="4288"/>
    </row>
    <row r="12545" spans="15:15">
      <c r="O12545" s="4288"/>
    </row>
    <row r="12546" spans="15:15">
      <c r="O12546" s="4288"/>
    </row>
    <row r="12547" spans="15:15">
      <c r="O12547" s="4288"/>
    </row>
    <row r="12548" spans="15:15">
      <c r="O12548" s="4288"/>
    </row>
    <row r="12549" spans="15:15">
      <c r="O12549" s="4288"/>
    </row>
    <row r="12550" spans="15:15">
      <c r="O12550" s="4288"/>
    </row>
    <row r="12551" spans="15:15">
      <c r="O12551" s="4288"/>
    </row>
    <row r="12552" spans="15:15">
      <c r="O12552" s="4288"/>
    </row>
    <row r="12553" spans="15:15">
      <c r="O12553" s="4288"/>
    </row>
    <row r="12554" spans="15:15">
      <c r="O12554" s="4288"/>
    </row>
    <row r="12555" spans="15:15">
      <c r="O12555" s="4288"/>
    </row>
    <row r="12556" spans="15:15">
      <c r="O12556" s="4288"/>
    </row>
    <row r="12557" spans="15:15">
      <c r="O12557" s="4288"/>
    </row>
    <row r="12558" spans="15:15">
      <c r="O12558" s="4288"/>
    </row>
    <row r="12559" spans="15:15">
      <c r="O12559" s="4288"/>
    </row>
    <row r="12560" spans="15:15">
      <c r="O12560" s="4288"/>
    </row>
    <row r="12561" spans="15:15">
      <c r="O12561" s="4288"/>
    </row>
    <row r="12562" spans="15:15">
      <c r="O12562" s="4288"/>
    </row>
    <row r="12563" spans="15:15">
      <c r="O12563" s="4288"/>
    </row>
    <row r="12564" spans="15:15">
      <c r="O12564" s="4288"/>
    </row>
    <row r="12565" spans="15:15">
      <c r="O12565" s="4288"/>
    </row>
    <row r="12566" spans="15:15">
      <c r="O12566" s="4288"/>
    </row>
    <row r="12567" spans="15:15">
      <c r="O12567" s="4288"/>
    </row>
    <row r="12568" spans="15:15">
      <c r="O12568" s="4288"/>
    </row>
    <row r="12569" spans="15:15">
      <c r="O12569" s="4288"/>
    </row>
    <row r="12570" spans="15:15">
      <c r="O12570" s="4288"/>
    </row>
    <row r="12571" spans="15:15">
      <c r="O12571" s="4288"/>
    </row>
    <row r="12572" spans="15:15">
      <c r="O12572" s="4288"/>
    </row>
    <row r="12573" spans="15:15">
      <c r="O12573" s="4288"/>
    </row>
    <row r="12574" spans="15:15">
      <c r="O12574" s="4288"/>
    </row>
    <row r="12575" spans="15:15">
      <c r="O12575" s="4288"/>
    </row>
    <row r="12576" spans="15:15">
      <c r="O12576" s="4288"/>
    </row>
    <row r="12577" spans="15:15">
      <c r="O12577" s="4288"/>
    </row>
    <row r="12578" spans="15:15">
      <c r="O12578" s="4288"/>
    </row>
    <row r="12579" spans="15:15">
      <c r="O12579" s="4288"/>
    </row>
    <row r="12580" spans="15:15">
      <c r="O12580" s="4288"/>
    </row>
    <row r="12581" spans="15:15">
      <c r="O12581" s="4288"/>
    </row>
    <row r="12582" spans="15:15">
      <c r="O12582" s="4288"/>
    </row>
    <row r="12583" spans="15:15">
      <c r="O12583" s="4288"/>
    </row>
    <row r="12584" spans="15:15">
      <c r="O12584" s="4288"/>
    </row>
    <row r="12585" spans="15:15">
      <c r="O12585" s="4288"/>
    </row>
    <row r="12586" spans="15:15">
      <c r="O12586" s="4288"/>
    </row>
    <row r="12587" spans="15:15">
      <c r="O12587" s="4288"/>
    </row>
    <row r="12588" spans="15:15">
      <c r="O12588" s="4288"/>
    </row>
    <row r="12589" spans="15:15">
      <c r="O12589" s="4288"/>
    </row>
    <row r="12590" spans="15:15">
      <c r="O12590" s="4288"/>
    </row>
    <row r="12591" spans="15:15">
      <c r="O12591" s="4288"/>
    </row>
    <row r="12592" spans="15:15">
      <c r="O12592" s="4288"/>
    </row>
    <row r="12593" spans="15:15">
      <c r="O12593" s="4288"/>
    </row>
    <row r="12594" spans="15:15">
      <c r="O12594" s="4288"/>
    </row>
    <row r="12595" spans="15:15">
      <c r="O12595" s="4288"/>
    </row>
    <row r="12596" spans="15:15">
      <c r="O12596" s="4288"/>
    </row>
    <row r="12597" spans="15:15">
      <c r="O12597" s="4288"/>
    </row>
    <row r="12598" spans="15:15">
      <c r="O12598" s="4288"/>
    </row>
    <row r="12599" spans="15:15">
      <c r="O12599" s="4288"/>
    </row>
    <row r="12600" spans="15:15">
      <c r="O12600" s="4288"/>
    </row>
    <row r="12601" spans="15:15">
      <c r="O12601" s="4288"/>
    </row>
    <row r="12602" spans="15:15">
      <c r="O12602" s="4288"/>
    </row>
    <row r="12603" spans="15:15">
      <c r="O12603" s="4288"/>
    </row>
    <row r="12604" spans="15:15">
      <c r="O12604" s="4288"/>
    </row>
    <row r="12605" spans="15:15">
      <c r="O12605" s="4288"/>
    </row>
    <row r="12606" spans="15:15">
      <c r="O12606" s="4288"/>
    </row>
    <row r="12607" spans="15:15">
      <c r="O12607" s="4288"/>
    </row>
    <row r="12608" spans="15:15">
      <c r="O12608" s="4288"/>
    </row>
    <row r="12609" spans="15:15">
      <c r="O12609" s="4288"/>
    </row>
    <row r="12610" spans="15:15">
      <c r="O12610" s="4288"/>
    </row>
    <row r="12611" spans="15:15">
      <c r="O12611" s="4288"/>
    </row>
    <row r="12612" spans="15:15">
      <c r="O12612" s="4288"/>
    </row>
    <row r="12613" spans="15:15">
      <c r="O12613" s="4288"/>
    </row>
    <row r="12614" spans="15:15">
      <c r="O12614" s="4288"/>
    </row>
    <row r="12615" spans="15:15">
      <c r="O12615" s="4288"/>
    </row>
    <row r="12616" spans="15:15">
      <c r="O12616" s="4288"/>
    </row>
    <row r="12617" spans="15:15">
      <c r="O12617" s="4288"/>
    </row>
    <row r="12618" spans="15:15">
      <c r="O12618" s="4288"/>
    </row>
    <row r="12619" spans="15:15">
      <c r="O12619" s="4288"/>
    </row>
    <row r="12620" spans="15:15">
      <c r="O12620" s="4288"/>
    </row>
    <row r="12621" spans="15:15">
      <c r="O12621" s="4288"/>
    </row>
    <row r="12622" spans="15:15">
      <c r="O12622" s="4288"/>
    </row>
    <row r="12623" spans="15:15">
      <c r="O12623" s="4288"/>
    </row>
    <row r="12624" spans="15:15">
      <c r="O12624" s="4288"/>
    </row>
    <row r="12625" spans="15:15">
      <c r="O12625" s="4288"/>
    </row>
    <row r="12626" spans="15:15">
      <c r="O12626" s="4288"/>
    </row>
    <row r="12627" spans="15:15">
      <c r="O12627" s="4288"/>
    </row>
    <row r="12628" spans="15:15">
      <c r="O12628" s="4288"/>
    </row>
    <row r="12629" spans="15:15">
      <c r="O12629" s="4288"/>
    </row>
    <row r="12630" spans="15:15">
      <c r="O12630" s="4288"/>
    </row>
    <row r="12631" spans="15:15">
      <c r="O12631" s="4288"/>
    </row>
    <row r="12632" spans="15:15">
      <c r="O12632" s="4288"/>
    </row>
    <row r="12633" spans="15:15">
      <c r="O12633" s="4288"/>
    </row>
    <row r="12634" spans="15:15">
      <c r="O12634" s="4288"/>
    </row>
    <row r="12635" spans="15:15">
      <c r="O12635" s="4288"/>
    </row>
    <row r="12636" spans="15:15">
      <c r="O12636" s="4288"/>
    </row>
    <row r="12637" spans="15:15">
      <c r="O12637" s="4288"/>
    </row>
    <row r="12638" spans="15:15">
      <c r="O12638" s="4288"/>
    </row>
    <row r="12639" spans="15:15">
      <c r="O12639" s="4288"/>
    </row>
    <row r="12640" spans="15:15">
      <c r="O12640" s="4288"/>
    </row>
    <row r="12641" spans="15:15">
      <c r="O12641" s="4288"/>
    </row>
    <row r="12642" spans="15:15">
      <c r="O12642" s="4288"/>
    </row>
    <row r="12643" spans="15:15">
      <c r="O12643" s="4288"/>
    </row>
    <row r="12644" spans="15:15">
      <c r="O12644" s="4288"/>
    </row>
    <row r="12645" spans="15:15">
      <c r="O12645" s="4288"/>
    </row>
    <row r="12646" spans="15:15">
      <c r="O12646" s="4288"/>
    </row>
    <row r="12647" spans="15:15">
      <c r="O12647" s="4288"/>
    </row>
    <row r="12648" spans="15:15">
      <c r="O12648" s="4288"/>
    </row>
    <row r="12649" spans="15:15">
      <c r="O12649" s="4288"/>
    </row>
    <row r="12650" spans="15:15">
      <c r="O12650" s="4288"/>
    </row>
    <row r="12651" spans="15:15">
      <c r="O12651" s="4288"/>
    </row>
    <row r="12652" spans="15:15">
      <c r="O12652" s="4288"/>
    </row>
    <row r="12653" spans="15:15">
      <c r="O12653" s="4288"/>
    </row>
    <row r="12654" spans="15:15">
      <c r="O12654" s="4288"/>
    </row>
    <row r="12655" spans="15:15">
      <c r="O12655" s="4288"/>
    </row>
    <row r="12656" spans="15:15">
      <c r="O12656" s="4288"/>
    </row>
    <row r="12657" spans="15:15">
      <c r="O12657" s="4288"/>
    </row>
    <row r="12658" spans="15:15">
      <c r="O12658" s="4288"/>
    </row>
    <row r="12659" spans="15:15">
      <c r="O12659" s="4288"/>
    </row>
    <row r="12660" spans="15:15">
      <c r="O12660" s="4288"/>
    </row>
    <row r="12661" spans="15:15">
      <c r="O12661" s="4288"/>
    </row>
    <row r="12662" spans="15:15">
      <c r="O12662" s="4288"/>
    </row>
    <row r="12663" spans="15:15">
      <c r="O12663" s="4288"/>
    </row>
    <row r="12664" spans="15:15">
      <c r="O12664" s="4288"/>
    </row>
    <row r="12665" spans="15:15">
      <c r="O12665" s="4288"/>
    </row>
    <row r="12666" spans="15:15">
      <c r="O12666" s="4288"/>
    </row>
    <row r="12667" spans="15:15">
      <c r="O12667" s="4288"/>
    </row>
    <row r="12668" spans="15:15">
      <c r="O12668" s="4288"/>
    </row>
    <row r="12669" spans="15:15">
      <c r="O12669" s="4288"/>
    </row>
    <row r="12670" spans="15:15">
      <c r="O12670" s="4288"/>
    </row>
    <row r="12671" spans="15:15">
      <c r="O12671" s="4288"/>
    </row>
    <row r="12672" spans="15:15">
      <c r="O12672" s="4288"/>
    </row>
    <row r="12673" spans="15:15">
      <c r="O12673" s="4288"/>
    </row>
    <row r="12674" spans="15:15">
      <c r="O12674" s="4288"/>
    </row>
    <row r="12675" spans="15:15">
      <c r="O12675" s="4288"/>
    </row>
    <row r="12676" spans="15:15">
      <c r="O12676" s="4288"/>
    </row>
    <row r="12677" spans="15:15">
      <c r="O12677" s="4288"/>
    </row>
    <row r="12678" spans="15:15">
      <c r="O12678" s="4288"/>
    </row>
    <row r="12679" spans="15:15">
      <c r="O12679" s="4288"/>
    </row>
    <row r="12680" spans="15:15">
      <c r="O12680" s="4288"/>
    </row>
    <row r="12681" spans="15:15">
      <c r="O12681" s="4288"/>
    </row>
    <row r="12682" spans="15:15">
      <c r="O12682" s="4288"/>
    </row>
    <row r="12683" spans="15:15">
      <c r="O12683" s="4288"/>
    </row>
    <row r="12684" spans="15:15">
      <c r="O12684" s="4288"/>
    </row>
    <row r="12685" spans="15:15">
      <c r="O12685" s="4288"/>
    </row>
    <row r="12686" spans="15:15">
      <c r="O12686" s="4288"/>
    </row>
    <row r="12687" spans="15:15">
      <c r="O12687" s="4288"/>
    </row>
    <row r="12688" spans="15:15">
      <c r="O12688" s="4288"/>
    </row>
    <row r="12689" spans="15:15">
      <c r="O12689" s="4288"/>
    </row>
    <row r="12690" spans="15:15">
      <c r="O12690" s="4288"/>
    </row>
    <row r="12691" spans="15:15">
      <c r="O12691" s="4288"/>
    </row>
    <row r="12692" spans="15:15">
      <c r="O12692" s="4288"/>
    </row>
    <row r="12693" spans="15:15">
      <c r="O12693" s="4288"/>
    </row>
    <row r="12694" spans="15:15">
      <c r="O12694" s="4288"/>
    </row>
    <row r="12695" spans="15:15">
      <c r="O12695" s="4288"/>
    </row>
    <row r="12696" spans="15:15">
      <c r="O12696" s="4288"/>
    </row>
    <row r="12697" spans="15:15">
      <c r="O12697" s="4288"/>
    </row>
    <row r="12698" spans="15:15">
      <c r="O12698" s="4288"/>
    </row>
    <row r="12699" spans="15:15">
      <c r="O12699" s="4288"/>
    </row>
    <row r="12700" spans="15:15">
      <c r="O12700" s="4288"/>
    </row>
    <row r="12701" spans="15:15">
      <c r="O12701" s="4288"/>
    </row>
    <row r="12702" spans="15:15">
      <c r="O12702" s="4288"/>
    </row>
    <row r="12703" spans="15:15">
      <c r="O12703" s="4288"/>
    </row>
    <row r="12704" spans="15:15">
      <c r="O12704" s="4288"/>
    </row>
    <row r="12705" spans="15:15">
      <c r="O12705" s="4288"/>
    </row>
    <row r="12706" spans="15:15">
      <c r="O12706" s="4288"/>
    </row>
    <row r="12707" spans="15:15">
      <c r="O12707" s="4288"/>
    </row>
    <row r="12708" spans="15:15">
      <c r="O12708" s="4288"/>
    </row>
    <row r="12709" spans="15:15">
      <c r="O12709" s="4288"/>
    </row>
    <row r="12710" spans="15:15">
      <c r="O12710" s="4288"/>
    </row>
    <row r="12711" spans="15:15">
      <c r="O12711" s="4288"/>
    </row>
    <row r="12712" spans="15:15">
      <c r="O12712" s="4288"/>
    </row>
    <row r="12713" spans="15:15">
      <c r="O12713" s="4288"/>
    </row>
    <row r="12714" spans="15:15">
      <c r="O12714" s="4288"/>
    </row>
    <row r="12715" spans="15:15">
      <c r="O12715" s="4288"/>
    </row>
    <row r="12716" spans="15:15">
      <c r="O12716" s="4288"/>
    </row>
    <row r="12717" spans="15:15">
      <c r="O12717" s="4288"/>
    </row>
    <row r="12718" spans="15:15">
      <c r="O12718" s="4288"/>
    </row>
    <row r="12719" spans="15:15">
      <c r="O12719" s="4288"/>
    </row>
    <row r="12720" spans="15:15">
      <c r="O12720" s="4288"/>
    </row>
    <row r="12721" spans="15:15">
      <c r="O12721" s="4288"/>
    </row>
    <row r="12722" spans="15:15">
      <c r="O12722" s="4288"/>
    </row>
    <row r="12723" spans="15:15">
      <c r="O12723" s="4288"/>
    </row>
    <row r="12724" spans="15:15">
      <c r="O12724" s="4288"/>
    </row>
    <row r="12725" spans="15:15">
      <c r="O12725" s="4288"/>
    </row>
    <row r="12726" spans="15:15">
      <c r="O12726" s="4288"/>
    </row>
    <row r="12727" spans="15:15">
      <c r="O12727" s="4288"/>
    </row>
    <row r="12728" spans="15:15">
      <c r="O12728" s="4288"/>
    </row>
    <row r="12729" spans="15:15">
      <c r="O12729" s="4288"/>
    </row>
    <row r="12730" spans="15:15">
      <c r="O12730" s="4288"/>
    </row>
    <row r="12731" spans="15:15">
      <c r="O12731" s="4288"/>
    </row>
    <row r="12732" spans="15:15">
      <c r="O12732" s="4288"/>
    </row>
    <row r="12733" spans="15:15">
      <c r="O12733" s="4288"/>
    </row>
    <row r="12734" spans="15:15">
      <c r="O12734" s="4288"/>
    </row>
    <row r="12735" spans="15:15">
      <c r="O12735" s="4288"/>
    </row>
    <row r="12736" spans="15:15">
      <c r="O12736" s="4288"/>
    </row>
    <row r="12737" spans="15:15">
      <c r="O12737" s="4288"/>
    </row>
    <row r="12738" spans="15:15">
      <c r="O12738" s="4288"/>
    </row>
    <row r="12739" spans="15:15">
      <c r="O12739" s="4288"/>
    </row>
    <row r="12740" spans="15:15">
      <c r="O12740" s="4288"/>
    </row>
    <row r="12741" spans="15:15">
      <c r="O12741" s="4288"/>
    </row>
    <row r="12742" spans="15:15">
      <c r="O12742" s="4288"/>
    </row>
    <row r="12743" spans="15:15">
      <c r="O12743" s="4288"/>
    </row>
    <row r="12744" spans="15:15">
      <c r="O12744" s="4288"/>
    </row>
    <row r="12745" spans="15:15">
      <c r="O12745" s="4288"/>
    </row>
    <row r="12746" spans="15:15">
      <c r="O12746" s="4288"/>
    </row>
    <row r="12747" spans="15:15">
      <c r="O12747" s="4288"/>
    </row>
    <row r="12748" spans="15:15">
      <c r="O12748" s="4288"/>
    </row>
    <row r="12749" spans="15:15">
      <c r="O12749" s="4288"/>
    </row>
    <row r="12750" spans="15:15">
      <c r="O12750" s="4288"/>
    </row>
    <row r="12751" spans="15:15">
      <c r="O12751" s="4288"/>
    </row>
    <row r="12752" spans="15:15">
      <c r="O12752" s="4288"/>
    </row>
    <row r="12753" spans="15:15">
      <c r="O12753" s="4288"/>
    </row>
    <row r="12754" spans="15:15">
      <c r="O12754" s="4288"/>
    </row>
    <row r="12755" spans="15:15">
      <c r="O12755" s="4288"/>
    </row>
    <row r="12756" spans="15:15">
      <c r="O12756" s="4288"/>
    </row>
    <row r="12757" spans="15:15">
      <c r="O12757" s="4288"/>
    </row>
    <row r="12758" spans="15:15">
      <c r="O12758" s="4288"/>
    </row>
    <row r="12759" spans="15:15">
      <c r="O12759" s="4288"/>
    </row>
    <row r="12760" spans="15:15">
      <c r="O12760" s="4288"/>
    </row>
    <row r="12761" spans="15:15">
      <c r="O12761" s="4288"/>
    </row>
    <row r="12762" spans="15:15">
      <c r="O12762" s="4288"/>
    </row>
    <row r="12763" spans="15:15">
      <c r="O12763" s="4288"/>
    </row>
    <row r="12764" spans="15:15">
      <c r="O12764" s="4288"/>
    </row>
    <row r="12765" spans="15:15">
      <c r="O12765" s="4288"/>
    </row>
    <row r="12766" spans="15:15">
      <c r="O12766" s="4288"/>
    </row>
    <row r="12767" spans="15:15">
      <c r="O12767" s="4288"/>
    </row>
    <row r="12768" spans="15:15">
      <c r="O12768" s="4288"/>
    </row>
    <row r="12769" spans="15:15">
      <c r="O12769" s="4288"/>
    </row>
    <row r="12770" spans="15:15">
      <c r="O12770" s="4288"/>
    </row>
    <row r="12771" spans="15:15">
      <c r="O12771" s="4288"/>
    </row>
    <row r="12772" spans="15:15">
      <c r="O12772" s="4288"/>
    </row>
    <row r="12773" spans="15:15">
      <c r="O12773" s="4288"/>
    </row>
    <row r="12774" spans="15:15">
      <c r="O12774" s="4288"/>
    </row>
    <row r="12775" spans="15:15">
      <c r="O12775" s="4288"/>
    </row>
    <row r="12776" spans="15:15">
      <c r="O12776" s="4288"/>
    </row>
    <row r="12777" spans="15:15">
      <c r="O12777" s="4288"/>
    </row>
    <row r="12778" spans="15:15">
      <c r="O12778" s="4288"/>
    </row>
    <row r="12779" spans="15:15">
      <c r="O12779" s="4288"/>
    </row>
    <row r="12780" spans="15:15">
      <c r="O12780" s="4288"/>
    </row>
    <row r="12781" spans="15:15">
      <c r="O12781" s="4288"/>
    </row>
    <row r="12782" spans="15:15">
      <c r="O12782" s="4288"/>
    </row>
    <row r="12783" spans="15:15">
      <c r="O12783" s="4288"/>
    </row>
    <row r="12784" spans="15:15">
      <c r="O12784" s="4288"/>
    </row>
    <row r="12785" spans="15:15">
      <c r="O12785" s="4288"/>
    </row>
    <row r="12786" spans="15:15">
      <c r="O12786" s="4288"/>
    </row>
    <row r="12787" spans="15:15">
      <c r="O12787" s="4288"/>
    </row>
    <row r="12788" spans="15:15">
      <c r="O12788" s="4288"/>
    </row>
    <row r="12789" spans="15:15">
      <c r="O12789" s="4288"/>
    </row>
    <row r="12790" spans="15:15">
      <c r="O12790" s="4288"/>
    </row>
    <row r="12791" spans="15:15">
      <c r="O12791" s="4288"/>
    </row>
    <row r="12792" spans="15:15">
      <c r="O12792" s="4288"/>
    </row>
    <row r="12793" spans="15:15">
      <c r="O12793" s="4288"/>
    </row>
    <row r="12794" spans="15:15">
      <c r="O12794" s="4288"/>
    </row>
    <row r="12795" spans="15:15">
      <c r="O12795" s="4288"/>
    </row>
    <row r="12796" spans="15:15">
      <c r="O12796" s="4288"/>
    </row>
    <row r="12797" spans="15:15">
      <c r="O12797" s="4288"/>
    </row>
    <row r="12798" spans="15:15">
      <c r="O12798" s="4288"/>
    </row>
    <row r="12799" spans="15:15">
      <c r="O12799" s="4288"/>
    </row>
    <row r="12800" spans="15:15">
      <c r="O12800" s="4288"/>
    </row>
    <row r="12801" spans="15:15">
      <c r="O12801" s="4288"/>
    </row>
    <row r="12802" spans="15:15">
      <c r="O12802" s="4288"/>
    </row>
    <row r="12803" spans="15:15">
      <c r="O12803" s="4288"/>
    </row>
    <row r="12804" spans="15:15">
      <c r="O12804" s="4288"/>
    </row>
    <row r="12805" spans="15:15">
      <c r="O12805" s="4288"/>
    </row>
    <row r="12806" spans="15:15">
      <c r="O12806" s="4288"/>
    </row>
    <row r="12807" spans="15:15">
      <c r="O12807" s="4288"/>
    </row>
    <row r="12808" spans="15:15">
      <c r="O12808" s="4288"/>
    </row>
    <row r="12809" spans="15:15">
      <c r="O12809" s="4288"/>
    </row>
    <row r="12810" spans="15:15">
      <c r="O12810" s="4288"/>
    </row>
    <row r="12811" spans="15:15">
      <c r="O12811" s="4288"/>
    </row>
    <row r="12812" spans="15:15">
      <c r="O12812" s="4288"/>
    </row>
    <row r="12813" spans="15:15">
      <c r="O12813" s="4288"/>
    </row>
    <row r="12814" spans="15:15">
      <c r="O12814" s="4288"/>
    </row>
    <row r="12815" spans="15:15">
      <c r="O12815" s="4288"/>
    </row>
    <row r="12816" spans="15:15">
      <c r="O12816" s="4288"/>
    </row>
    <row r="12817" spans="15:15">
      <c r="O12817" s="4288"/>
    </row>
    <row r="12818" spans="15:15">
      <c r="O12818" s="4288"/>
    </row>
    <row r="12819" spans="15:15">
      <c r="O12819" s="4288"/>
    </row>
    <row r="12820" spans="15:15">
      <c r="O12820" s="4288"/>
    </row>
    <row r="12821" spans="15:15">
      <c r="O12821" s="4288"/>
    </row>
    <row r="12822" spans="15:15">
      <c r="O12822" s="4288"/>
    </row>
    <row r="12823" spans="15:15">
      <c r="O12823" s="4288"/>
    </row>
    <row r="12824" spans="15:15">
      <c r="O12824" s="4288"/>
    </row>
    <row r="12825" spans="15:15">
      <c r="O12825" s="4288"/>
    </row>
    <row r="12826" spans="15:15">
      <c r="O12826" s="4288"/>
    </row>
    <row r="12827" spans="15:15">
      <c r="O12827" s="4288"/>
    </row>
    <row r="12828" spans="15:15">
      <c r="O12828" s="4288"/>
    </row>
    <row r="12829" spans="15:15">
      <c r="O12829" s="4288"/>
    </row>
    <row r="12830" spans="15:15">
      <c r="O12830" s="4288"/>
    </row>
    <row r="12831" spans="15:15">
      <c r="O12831" s="4288"/>
    </row>
    <row r="12832" spans="15:15">
      <c r="O12832" s="4288"/>
    </row>
    <row r="12833" spans="15:15">
      <c r="O12833" s="4288"/>
    </row>
    <row r="12834" spans="15:15">
      <c r="O12834" s="4288"/>
    </row>
    <row r="12835" spans="15:15">
      <c r="O12835" s="4288"/>
    </row>
    <row r="12836" spans="15:15">
      <c r="O12836" s="4288"/>
    </row>
    <row r="12837" spans="15:15">
      <c r="O12837" s="4288"/>
    </row>
    <row r="12838" spans="15:15">
      <c r="O12838" s="4288"/>
    </row>
    <row r="12839" spans="15:15">
      <c r="O12839" s="4288"/>
    </row>
    <row r="12840" spans="15:15">
      <c r="O12840" s="4288"/>
    </row>
    <row r="12841" spans="15:15">
      <c r="O12841" s="4288"/>
    </row>
    <row r="12842" spans="15:15">
      <c r="O12842" s="4288"/>
    </row>
    <row r="12843" spans="15:15">
      <c r="O12843" s="4288"/>
    </row>
    <row r="12844" spans="15:15">
      <c r="O12844" s="4288"/>
    </row>
    <row r="12845" spans="15:15">
      <c r="O12845" s="4288"/>
    </row>
    <row r="12846" spans="15:15">
      <c r="O12846" s="4288"/>
    </row>
    <row r="12847" spans="15:15">
      <c r="O12847" s="4288"/>
    </row>
    <row r="12848" spans="15:15">
      <c r="O12848" s="4288"/>
    </row>
    <row r="12849" spans="15:15">
      <c r="O12849" s="4288"/>
    </row>
    <row r="12850" spans="15:15">
      <c r="O12850" s="4288"/>
    </row>
    <row r="12851" spans="15:15">
      <c r="O12851" s="4288"/>
    </row>
    <row r="12852" spans="15:15">
      <c r="O12852" s="4288"/>
    </row>
    <row r="12853" spans="15:15">
      <c r="O12853" s="4288"/>
    </row>
    <row r="12854" spans="15:15">
      <c r="O12854" s="4288"/>
    </row>
    <row r="12855" spans="15:15">
      <c r="O12855" s="4288"/>
    </row>
    <row r="12856" spans="15:15">
      <c r="O12856" s="4288"/>
    </row>
    <row r="12857" spans="15:15">
      <c r="O12857" s="4288"/>
    </row>
    <row r="12858" spans="15:15">
      <c r="O12858" s="4288"/>
    </row>
    <row r="12859" spans="15:15">
      <c r="O12859" s="4288"/>
    </row>
    <row r="12860" spans="15:15">
      <c r="O12860" s="4288"/>
    </row>
    <row r="12861" spans="15:15">
      <c r="O12861" s="4288"/>
    </row>
    <row r="12862" spans="15:15">
      <c r="O12862" s="4288"/>
    </row>
    <row r="12863" spans="15:15">
      <c r="O12863" s="4288"/>
    </row>
    <row r="12864" spans="15:15">
      <c r="O12864" s="4288"/>
    </row>
    <row r="12865" spans="15:15">
      <c r="O12865" s="4288"/>
    </row>
    <row r="12866" spans="15:15">
      <c r="O12866" s="4288"/>
    </row>
    <row r="12867" spans="15:15">
      <c r="O12867" s="4288"/>
    </row>
    <row r="12868" spans="15:15">
      <c r="O12868" s="4288"/>
    </row>
    <row r="12869" spans="15:15">
      <c r="O12869" s="4288"/>
    </row>
    <row r="12870" spans="15:15">
      <c r="O12870" s="4288"/>
    </row>
    <row r="12871" spans="15:15">
      <c r="O12871" s="4288"/>
    </row>
    <row r="12872" spans="15:15">
      <c r="O12872" s="4288"/>
    </row>
    <row r="12873" spans="15:15">
      <c r="O12873" s="4288"/>
    </row>
    <row r="12874" spans="15:15">
      <c r="O12874" s="4288"/>
    </row>
    <row r="12875" spans="15:15">
      <c r="O12875" s="4288"/>
    </row>
    <row r="12876" spans="15:15">
      <c r="O12876" s="4288"/>
    </row>
    <row r="12877" spans="15:15">
      <c r="O12877" s="4288"/>
    </row>
    <row r="12878" spans="15:15">
      <c r="O12878" s="4288"/>
    </row>
    <row r="12879" spans="15:15">
      <c r="O12879" s="4288"/>
    </row>
    <row r="12880" spans="15:15">
      <c r="O12880" s="4288"/>
    </row>
    <row r="12881" spans="15:15">
      <c r="O12881" s="4288"/>
    </row>
    <row r="12882" spans="15:15">
      <c r="O12882" s="4288"/>
    </row>
    <row r="12883" spans="15:15">
      <c r="O12883" s="4288"/>
    </row>
    <row r="12884" spans="15:15">
      <c r="O12884" s="4288"/>
    </row>
    <row r="12885" spans="15:15">
      <c r="O12885" s="4288"/>
    </row>
    <row r="12886" spans="15:15">
      <c r="O12886" s="4288"/>
    </row>
    <row r="12887" spans="15:15">
      <c r="O12887" s="4288"/>
    </row>
    <row r="12888" spans="15:15">
      <c r="O12888" s="4288"/>
    </row>
    <row r="12889" spans="15:15">
      <c r="O12889" s="4288"/>
    </row>
    <row r="12890" spans="15:15">
      <c r="O12890" s="4288"/>
    </row>
    <row r="12891" spans="15:15">
      <c r="O12891" s="4288"/>
    </row>
    <row r="12892" spans="15:15">
      <c r="O12892" s="4288"/>
    </row>
    <row r="12893" spans="15:15">
      <c r="O12893" s="4288"/>
    </row>
    <row r="12894" spans="15:15">
      <c r="O12894" s="4288"/>
    </row>
    <row r="12895" spans="15:15">
      <c r="O12895" s="4288"/>
    </row>
    <row r="12896" spans="15:15">
      <c r="O12896" s="4288"/>
    </row>
    <row r="12897" spans="15:15">
      <c r="O12897" s="4288"/>
    </row>
    <row r="12898" spans="15:15">
      <c r="O12898" s="4288"/>
    </row>
    <row r="12899" spans="15:15">
      <c r="O12899" s="4288"/>
    </row>
    <row r="12900" spans="15:15">
      <c r="O12900" s="4288"/>
    </row>
    <row r="12901" spans="15:15">
      <c r="O12901" s="4288"/>
    </row>
    <row r="12902" spans="15:15">
      <c r="O12902" s="4288"/>
    </row>
    <row r="12903" spans="15:15">
      <c r="O12903" s="4288"/>
    </row>
    <row r="12904" spans="15:15">
      <c r="O12904" s="4288"/>
    </row>
    <row r="12905" spans="15:15">
      <c r="O12905" s="4288"/>
    </row>
    <row r="12906" spans="15:15">
      <c r="O12906" s="4288"/>
    </row>
    <row r="12907" spans="15:15">
      <c r="O12907" s="4288"/>
    </row>
    <row r="12908" spans="15:15">
      <c r="O12908" s="4288"/>
    </row>
    <row r="12909" spans="15:15">
      <c r="O12909" s="4288"/>
    </row>
    <row r="12910" spans="15:15">
      <c r="O12910" s="4288"/>
    </row>
    <row r="12911" spans="15:15">
      <c r="O12911" s="4288"/>
    </row>
    <row r="12912" spans="15:15">
      <c r="O12912" s="4288"/>
    </row>
    <row r="12913" spans="15:15">
      <c r="O12913" s="4288"/>
    </row>
    <row r="12914" spans="15:15">
      <c r="O12914" s="4288"/>
    </row>
    <row r="12915" spans="15:15">
      <c r="O12915" s="4288"/>
    </row>
    <row r="12916" spans="15:15">
      <c r="O12916" s="4288"/>
    </row>
    <row r="12917" spans="15:15">
      <c r="O12917" s="4288"/>
    </row>
    <row r="12918" spans="15:15">
      <c r="O12918" s="4288"/>
    </row>
    <row r="12919" spans="15:15">
      <c r="O12919" s="4288"/>
    </row>
    <row r="12920" spans="15:15">
      <c r="O12920" s="4288"/>
    </row>
    <row r="12921" spans="15:15">
      <c r="O12921" s="4288"/>
    </row>
    <row r="12922" spans="15:15">
      <c r="O12922" s="4288"/>
    </row>
    <row r="12923" spans="15:15">
      <c r="O12923" s="4288"/>
    </row>
    <row r="12924" spans="15:15">
      <c r="O12924" s="4288"/>
    </row>
    <row r="12925" spans="15:15">
      <c r="O12925" s="4288"/>
    </row>
    <row r="12926" spans="15:15">
      <c r="O12926" s="4288"/>
    </row>
    <row r="12927" spans="15:15">
      <c r="O12927" s="4288"/>
    </row>
    <row r="12928" spans="15:15">
      <c r="O12928" s="4288"/>
    </row>
    <row r="12929" spans="15:15">
      <c r="O12929" s="4288"/>
    </row>
    <row r="12930" spans="15:15">
      <c r="O12930" s="4288"/>
    </row>
    <row r="12931" spans="15:15">
      <c r="O12931" s="4288"/>
    </row>
    <row r="12932" spans="15:15">
      <c r="O12932" s="4288"/>
    </row>
    <row r="12933" spans="15:15">
      <c r="O12933" s="4288"/>
    </row>
    <row r="12934" spans="15:15">
      <c r="O12934" s="4288"/>
    </row>
    <row r="12935" spans="15:15">
      <c r="O12935" s="4288"/>
    </row>
    <row r="12936" spans="15:15">
      <c r="O12936" s="4288"/>
    </row>
    <row r="12937" spans="15:15">
      <c r="O12937" s="4288"/>
    </row>
    <row r="12938" spans="15:15">
      <c r="O12938" s="4288"/>
    </row>
    <row r="12939" spans="15:15">
      <c r="O12939" s="4288"/>
    </row>
    <row r="12940" spans="15:15">
      <c r="O12940" s="4288"/>
    </row>
    <row r="12941" spans="15:15">
      <c r="O12941" s="4288"/>
    </row>
    <row r="12942" spans="15:15">
      <c r="O12942" s="4288"/>
    </row>
    <row r="12943" spans="15:15">
      <c r="O12943" s="4288"/>
    </row>
    <row r="12944" spans="15:15">
      <c r="O12944" s="4288"/>
    </row>
    <row r="12945" spans="15:15">
      <c r="O12945" s="4288"/>
    </row>
    <row r="12946" spans="15:15">
      <c r="O12946" s="4288"/>
    </row>
    <row r="12947" spans="15:15">
      <c r="O12947" s="4288"/>
    </row>
    <row r="12948" spans="15:15">
      <c r="O12948" s="4288"/>
    </row>
    <row r="12949" spans="15:15">
      <c r="O12949" s="4288"/>
    </row>
    <row r="12950" spans="15:15">
      <c r="O12950" s="4288"/>
    </row>
    <row r="12951" spans="15:15">
      <c r="O12951" s="4288"/>
    </row>
    <row r="12952" spans="15:15">
      <c r="O12952" s="4288"/>
    </row>
    <row r="12953" spans="15:15">
      <c r="O12953" s="4288"/>
    </row>
    <row r="12954" spans="15:15">
      <c r="O12954" s="4288"/>
    </row>
    <row r="12955" spans="15:15">
      <c r="O12955" s="4288"/>
    </row>
    <row r="12956" spans="15:15">
      <c r="O12956" s="4288"/>
    </row>
    <row r="12957" spans="15:15">
      <c r="O12957" s="4288"/>
    </row>
    <row r="12958" spans="15:15">
      <c r="O12958" s="4288"/>
    </row>
    <row r="12959" spans="15:15">
      <c r="O12959" s="4288"/>
    </row>
    <row r="12960" spans="15:15">
      <c r="O12960" s="4288"/>
    </row>
    <row r="12961" spans="15:15">
      <c r="O12961" s="4288"/>
    </row>
    <row r="12962" spans="15:15">
      <c r="O12962" s="4288"/>
    </row>
    <row r="12963" spans="15:15">
      <c r="O12963" s="4288"/>
    </row>
    <row r="12964" spans="15:15">
      <c r="O12964" s="4288"/>
    </row>
    <row r="12965" spans="15:15">
      <c r="O12965" s="4288"/>
    </row>
    <row r="12966" spans="15:15">
      <c r="O12966" s="4288"/>
    </row>
    <row r="12967" spans="15:15">
      <c r="O12967" s="4288"/>
    </row>
    <row r="12968" spans="15:15">
      <c r="O12968" s="4288"/>
    </row>
    <row r="12969" spans="15:15">
      <c r="O12969" s="4288"/>
    </row>
    <row r="12970" spans="15:15">
      <c r="O12970" s="4288"/>
    </row>
    <row r="12971" spans="15:15">
      <c r="O12971" s="4288"/>
    </row>
    <row r="12972" spans="15:15">
      <c r="O12972" s="4288"/>
    </row>
    <row r="12973" spans="15:15">
      <c r="O12973" s="4288"/>
    </row>
    <row r="12974" spans="15:15">
      <c r="O12974" s="4288"/>
    </row>
    <row r="12975" spans="15:15">
      <c r="O12975" s="4288"/>
    </row>
    <row r="12976" spans="15:15">
      <c r="O12976" s="4288"/>
    </row>
    <row r="12977" spans="15:15">
      <c r="O12977" s="4288"/>
    </row>
    <row r="12978" spans="15:15">
      <c r="O12978" s="4288"/>
    </row>
    <row r="12979" spans="15:15">
      <c r="O12979" s="4288"/>
    </row>
    <row r="12980" spans="15:15">
      <c r="O12980" s="4288"/>
    </row>
    <row r="12981" spans="15:15">
      <c r="O12981" s="4288"/>
    </row>
    <row r="12982" spans="15:15">
      <c r="O12982" s="4288"/>
    </row>
    <row r="12983" spans="15:15">
      <c r="O12983" s="4288"/>
    </row>
    <row r="12984" spans="15:15">
      <c r="O12984" s="4288"/>
    </row>
    <row r="12985" spans="15:15">
      <c r="O12985" s="4288"/>
    </row>
    <row r="12986" spans="15:15">
      <c r="O12986" s="4288"/>
    </row>
    <row r="12987" spans="15:15">
      <c r="O12987" s="4288"/>
    </row>
    <row r="12988" spans="15:15">
      <c r="O12988" s="4288"/>
    </row>
    <row r="12989" spans="15:15">
      <c r="O12989" s="4288"/>
    </row>
    <row r="12990" spans="15:15">
      <c r="O12990" s="4288"/>
    </row>
    <row r="12991" spans="15:15">
      <c r="O12991" s="4288"/>
    </row>
    <row r="12992" spans="15:15">
      <c r="O12992" s="4288"/>
    </row>
    <row r="12993" spans="15:15">
      <c r="O12993" s="4288"/>
    </row>
    <row r="12994" spans="15:15">
      <c r="O12994" s="4288"/>
    </row>
    <row r="12995" spans="15:15">
      <c r="O12995" s="4288"/>
    </row>
    <row r="12996" spans="15:15">
      <c r="O12996" s="4288"/>
    </row>
    <row r="12997" spans="15:15">
      <c r="O12997" s="4288"/>
    </row>
    <row r="12998" spans="15:15">
      <c r="O12998" s="4288"/>
    </row>
    <row r="12999" spans="15:15">
      <c r="O12999" s="4288"/>
    </row>
    <row r="13000" spans="15:15">
      <c r="O13000" s="4288"/>
    </row>
    <row r="13001" spans="15:15">
      <c r="O13001" s="4288"/>
    </row>
    <row r="13002" spans="15:15">
      <c r="O13002" s="4288"/>
    </row>
    <row r="13003" spans="15:15">
      <c r="O13003" s="4288"/>
    </row>
    <row r="13004" spans="15:15">
      <c r="O13004" s="4288"/>
    </row>
    <row r="13005" spans="15:15">
      <c r="O13005" s="4288"/>
    </row>
    <row r="13006" spans="15:15">
      <c r="O13006" s="4288"/>
    </row>
    <row r="13007" spans="15:15">
      <c r="O13007" s="4288"/>
    </row>
    <row r="13008" spans="15:15">
      <c r="O13008" s="4288"/>
    </row>
    <row r="13009" spans="15:15">
      <c r="O13009" s="4288"/>
    </row>
    <row r="13010" spans="15:15">
      <c r="O13010" s="4288"/>
    </row>
    <row r="13011" spans="15:15">
      <c r="O13011" s="4288"/>
    </row>
    <row r="13012" spans="15:15">
      <c r="O13012" s="4288"/>
    </row>
    <row r="13013" spans="15:15">
      <c r="O13013" s="4288"/>
    </row>
    <row r="13014" spans="15:15">
      <c r="O13014" s="4288"/>
    </row>
    <row r="13015" spans="15:15">
      <c r="O13015" s="4288"/>
    </row>
    <row r="13016" spans="15:15">
      <c r="O13016" s="4288"/>
    </row>
    <row r="13017" spans="15:15">
      <c r="O13017" s="4288"/>
    </row>
    <row r="13018" spans="15:15">
      <c r="O13018" s="4288"/>
    </row>
    <row r="13019" spans="15:15">
      <c r="O13019" s="4288"/>
    </row>
    <row r="13020" spans="15:15">
      <c r="O13020" s="4288"/>
    </row>
    <row r="13021" spans="15:15">
      <c r="O13021" s="4288"/>
    </row>
    <row r="13022" spans="15:15">
      <c r="O13022" s="4288"/>
    </row>
    <row r="13023" spans="15:15">
      <c r="O13023" s="4288"/>
    </row>
    <row r="13024" spans="15:15">
      <c r="O13024" s="4288"/>
    </row>
    <row r="13025" spans="15:15">
      <c r="O13025" s="4288"/>
    </row>
    <row r="13026" spans="15:15">
      <c r="O13026" s="4288"/>
    </row>
    <row r="13027" spans="15:15">
      <c r="O13027" s="4288"/>
    </row>
    <row r="13028" spans="15:15">
      <c r="O13028" s="4288"/>
    </row>
    <row r="13029" spans="15:15">
      <c r="O13029" s="4288"/>
    </row>
    <row r="13030" spans="15:15">
      <c r="O13030" s="4288"/>
    </row>
    <row r="13031" spans="15:15">
      <c r="O13031" s="4288"/>
    </row>
    <row r="13032" spans="15:15">
      <c r="O13032" s="4288"/>
    </row>
    <row r="13033" spans="15:15">
      <c r="O13033" s="4288"/>
    </row>
    <row r="13034" spans="15:15">
      <c r="O13034" s="4288"/>
    </row>
    <row r="13035" spans="15:15">
      <c r="O13035" s="4288"/>
    </row>
    <row r="13036" spans="15:15">
      <c r="O13036" s="4288"/>
    </row>
    <row r="13037" spans="15:15">
      <c r="O13037" s="4288"/>
    </row>
    <row r="13038" spans="15:15">
      <c r="O13038" s="4288"/>
    </row>
    <row r="13039" spans="15:15">
      <c r="O13039" s="4288"/>
    </row>
    <row r="13040" spans="15:15">
      <c r="O13040" s="4288"/>
    </row>
    <row r="13041" spans="15:15">
      <c r="O13041" s="4288"/>
    </row>
    <row r="13042" spans="15:15">
      <c r="O13042" s="4288"/>
    </row>
    <row r="13043" spans="15:15">
      <c r="O13043" s="4288"/>
    </row>
    <row r="13044" spans="15:15">
      <c r="O13044" s="4288"/>
    </row>
    <row r="13045" spans="15:15">
      <c r="O13045" s="4288"/>
    </row>
    <row r="13046" spans="15:15">
      <c r="O13046" s="4288"/>
    </row>
    <row r="13047" spans="15:15">
      <c r="O13047" s="4288"/>
    </row>
    <row r="13048" spans="15:15">
      <c r="O13048" s="4288"/>
    </row>
    <row r="13049" spans="15:15">
      <c r="O13049" s="4288"/>
    </row>
    <row r="13050" spans="15:15">
      <c r="O13050" s="4288"/>
    </row>
    <row r="13051" spans="15:15">
      <c r="O13051" s="4288"/>
    </row>
    <row r="13052" spans="15:15">
      <c r="O13052" s="4288"/>
    </row>
    <row r="13053" spans="15:15">
      <c r="O13053" s="4288"/>
    </row>
    <row r="13054" spans="15:15">
      <c r="O13054" s="4288"/>
    </row>
    <row r="13055" spans="15:15">
      <c r="O13055" s="4288"/>
    </row>
    <row r="13056" spans="15:15">
      <c r="O13056" s="4288"/>
    </row>
    <row r="13057" spans="15:15">
      <c r="O13057" s="4288"/>
    </row>
    <row r="13058" spans="15:15">
      <c r="O13058" s="4288"/>
    </row>
    <row r="13059" spans="15:15">
      <c r="O13059" s="4288"/>
    </row>
    <row r="13060" spans="15:15">
      <c r="O13060" s="4288"/>
    </row>
    <row r="13061" spans="15:15">
      <c r="O13061" s="4288"/>
    </row>
    <row r="13062" spans="15:15">
      <c r="O13062" s="4288"/>
    </row>
    <row r="13063" spans="15:15">
      <c r="O13063" s="4288"/>
    </row>
    <row r="13064" spans="15:15">
      <c r="O13064" s="4288"/>
    </row>
    <row r="13065" spans="15:15">
      <c r="O13065" s="4288"/>
    </row>
    <row r="13066" spans="15:15">
      <c r="O13066" s="4288"/>
    </row>
    <row r="13067" spans="15:15">
      <c r="O13067" s="4288"/>
    </row>
    <row r="13068" spans="15:15">
      <c r="O13068" s="4288"/>
    </row>
    <row r="13069" spans="15:15">
      <c r="O13069" s="4288"/>
    </row>
    <row r="13070" spans="15:15">
      <c r="O13070" s="4288"/>
    </row>
    <row r="13071" spans="15:15">
      <c r="O13071" s="4288"/>
    </row>
    <row r="13072" spans="15:15">
      <c r="O13072" s="4288"/>
    </row>
    <row r="13073" spans="15:15">
      <c r="O13073" s="4288"/>
    </row>
    <row r="13074" spans="15:15">
      <c r="O13074" s="4288"/>
    </row>
    <row r="13075" spans="15:15">
      <c r="O13075" s="4288"/>
    </row>
    <row r="13076" spans="15:15">
      <c r="O13076" s="4288"/>
    </row>
    <row r="13077" spans="15:15">
      <c r="O13077" s="4288"/>
    </row>
    <row r="13078" spans="15:15">
      <c r="O13078" s="4288"/>
    </row>
    <row r="13079" spans="15:15">
      <c r="O13079" s="4288"/>
    </row>
    <row r="13080" spans="15:15">
      <c r="O13080" s="4288"/>
    </row>
    <row r="13081" spans="15:15">
      <c r="O13081" s="4288"/>
    </row>
    <row r="13082" spans="15:15">
      <c r="O13082" s="4288"/>
    </row>
    <row r="13083" spans="15:15">
      <c r="O13083" s="4288"/>
    </row>
    <row r="13084" spans="15:15">
      <c r="O13084" s="4288"/>
    </row>
    <row r="13085" spans="15:15">
      <c r="O13085" s="4288"/>
    </row>
    <row r="13086" spans="15:15">
      <c r="O13086" s="4288"/>
    </row>
    <row r="13087" spans="15:15">
      <c r="O13087" s="4288"/>
    </row>
    <row r="13088" spans="15:15">
      <c r="O13088" s="4288"/>
    </row>
    <row r="13089" spans="15:15">
      <c r="O13089" s="4288"/>
    </row>
    <row r="13090" spans="15:15">
      <c r="O13090" s="4288"/>
    </row>
    <row r="13091" spans="15:15">
      <c r="O13091" s="4288"/>
    </row>
    <row r="13092" spans="15:15">
      <c r="O13092" s="4288"/>
    </row>
    <row r="13093" spans="15:15">
      <c r="O13093" s="4288"/>
    </row>
    <row r="13094" spans="15:15">
      <c r="O13094" s="4288"/>
    </row>
    <row r="13095" spans="15:15">
      <c r="O13095" s="4288"/>
    </row>
    <row r="13096" spans="15:15">
      <c r="O13096" s="4288"/>
    </row>
    <row r="13097" spans="15:15">
      <c r="O13097" s="4288"/>
    </row>
    <row r="13098" spans="15:15">
      <c r="O13098" s="4288"/>
    </row>
    <row r="13099" spans="15:15">
      <c r="O13099" s="4288"/>
    </row>
    <row r="13100" spans="15:15">
      <c r="O13100" s="4288"/>
    </row>
    <row r="13101" spans="15:15">
      <c r="O13101" s="4288"/>
    </row>
    <row r="13102" spans="15:15">
      <c r="O13102" s="4288"/>
    </row>
    <row r="13103" spans="15:15">
      <c r="O13103" s="4288"/>
    </row>
    <row r="13104" spans="15:15">
      <c r="O13104" s="4288"/>
    </row>
    <row r="13105" spans="15:15">
      <c r="O13105" s="4288"/>
    </row>
    <row r="13106" spans="15:15">
      <c r="O13106" s="4288"/>
    </row>
    <row r="13107" spans="15:15">
      <c r="O13107" s="4288"/>
    </row>
    <row r="13108" spans="15:15">
      <c r="O13108" s="4288"/>
    </row>
    <row r="13109" spans="15:15">
      <c r="O13109" s="4288"/>
    </row>
    <row r="13110" spans="15:15">
      <c r="O13110" s="4288"/>
    </row>
    <row r="13111" spans="15:15">
      <c r="O13111" s="4288"/>
    </row>
    <row r="13112" spans="15:15">
      <c r="O13112" s="4288"/>
    </row>
    <row r="13113" spans="15:15">
      <c r="O13113" s="4288"/>
    </row>
    <row r="13114" spans="15:15">
      <c r="O13114" s="4288"/>
    </row>
    <row r="13115" spans="15:15">
      <c r="O13115" s="4288"/>
    </row>
    <row r="13116" spans="15:15">
      <c r="O13116" s="4288"/>
    </row>
    <row r="13117" spans="15:15">
      <c r="O13117" s="4288"/>
    </row>
    <row r="13118" spans="15:15">
      <c r="O13118" s="4288"/>
    </row>
    <row r="13119" spans="15:15">
      <c r="O13119" s="4288"/>
    </row>
    <row r="13120" spans="15:15">
      <c r="O13120" s="4288"/>
    </row>
    <row r="13121" spans="15:15">
      <c r="O13121" s="4288"/>
    </row>
    <row r="13122" spans="15:15">
      <c r="O13122" s="4288"/>
    </row>
    <row r="13123" spans="15:15">
      <c r="O13123" s="4288"/>
    </row>
    <row r="13124" spans="15:15">
      <c r="O13124" s="4288"/>
    </row>
    <row r="13125" spans="15:15">
      <c r="O13125" s="4288"/>
    </row>
    <row r="13126" spans="15:15">
      <c r="O13126" s="4288"/>
    </row>
    <row r="13127" spans="15:15">
      <c r="O13127" s="4288"/>
    </row>
    <row r="13128" spans="15:15">
      <c r="O13128" s="4288"/>
    </row>
    <row r="13129" spans="15:15">
      <c r="O13129" s="4288"/>
    </row>
    <row r="13130" spans="15:15">
      <c r="O13130" s="4288"/>
    </row>
    <row r="13131" spans="15:15">
      <c r="O13131" s="4288"/>
    </row>
    <row r="13132" spans="15:15">
      <c r="O13132" s="4288"/>
    </row>
    <row r="13133" spans="15:15">
      <c r="O13133" s="4288"/>
    </row>
    <row r="13134" spans="15:15">
      <c r="O13134" s="4288"/>
    </row>
    <row r="13135" spans="15:15">
      <c r="O13135" s="4288"/>
    </row>
    <row r="13136" spans="15:15">
      <c r="O13136" s="4288"/>
    </row>
    <row r="13137" spans="15:15">
      <c r="O13137" s="4288"/>
    </row>
    <row r="13138" spans="15:15">
      <c r="O13138" s="4288"/>
    </row>
    <row r="13139" spans="15:15">
      <c r="O13139" s="4288"/>
    </row>
    <row r="13140" spans="15:15">
      <c r="O13140" s="4288"/>
    </row>
    <row r="13141" spans="15:15">
      <c r="O13141" s="4288"/>
    </row>
    <row r="13142" spans="15:15">
      <c r="O13142" s="4288"/>
    </row>
    <row r="13143" spans="15:15">
      <c r="O13143" s="4288"/>
    </row>
    <row r="13144" spans="15:15">
      <c r="O13144" s="4288"/>
    </row>
    <row r="13145" spans="15:15">
      <c r="O13145" s="4288"/>
    </row>
    <row r="13146" spans="15:15">
      <c r="O13146" s="4288"/>
    </row>
    <row r="13147" spans="15:15">
      <c r="O13147" s="4288"/>
    </row>
    <row r="13148" spans="15:15">
      <c r="O13148" s="4288"/>
    </row>
    <row r="13149" spans="15:15">
      <c r="O13149" s="4288"/>
    </row>
    <row r="13150" spans="15:15">
      <c r="O13150" s="4288"/>
    </row>
    <row r="13151" spans="15:15">
      <c r="O13151" s="4288"/>
    </row>
    <row r="13152" spans="15:15">
      <c r="O13152" s="4288"/>
    </row>
    <row r="13153" spans="15:15">
      <c r="O13153" s="4288"/>
    </row>
    <row r="13154" spans="15:15">
      <c r="O13154" s="4288"/>
    </row>
    <row r="13155" spans="15:15">
      <c r="O13155" s="4288"/>
    </row>
    <row r="13156" spans="15:15">
      <c r="O13156" s="4288"/>
    </row>
    <row r="13157" spans="15:15">
      <c r="O13157" s="4288"/>
    </row>
    <row r="13158" spans="15:15">
      <c r="O13158" s="4288"/>
    </row>
    <row r="13159" spans="15:15">
      <c r="O13159" s="4288"/>
    </row>
    <row r="13160" spans="15:15">
      <c r="O13160" s="4288"/>
    </row>
    <row r="13161" spans="15:15">
      <c r="O13161" s="4288"/>
    </row>
    <row r="13162" spans="15:15">
      <c r="O13162" s="4288"/>
    </row>
    <row r="13163" spans="15:15">
      <c r="O13163" s="4288"/>
    </row>
    <row r="13164" spans="15:15">
      <c r="O13164" s="4288"/>
    </row>
    <row r="13165" spans="15:15">
      <c r="O13165" s="4288"/>
    </row>
    <row r="13166" spans="15:15">
      <c r="O13166" s="4288"/>
    </row>
    <row r="13167" spans="15:15">
      <c r="O13167" s="4288"/>
    </row>
    <row r="13168" spans="15:15">
      <c r="O13168" s="4288"/>
    </row>
    <row r="13169" spans="15:15">
      <c r="O13169" s="4288"/>
    </row>
    <row r="13170" spans="15:15">
      <c r="O13170" s="4288"/>
    </row>
    <row r="13171" spans="15:15">
      <c r="O13171" s="4288"/>
    </row>
    <row r="13172" spans="15:15">
      <c r="O13172" s="4288"/>
    </row>
    <row r="13173" spans="15:15">
      <c r="O13173" s="4288"/>
    </row>
    <row r="13174" spans="15:15">
      <c r="O13174" s="4288"/>
    </row>
    <row r="13175" spans="15:15">
      <c r="O13175" s="4288"/>
    </row>
    <row r="13176" spans="15:15">
      <c r="O13176" s="4288"/>
    </row>
    <row r="13177" spans="15:15">
      <c r="O13177" s="4288"/>
    </row>
    <row r="13178" spans="15:15">
      <c r="O13178" s="4288"/>
    </row>
    <row r="13179" spans="15:15">
      <c r="O13179" s="4288"/>
    </row>
    <row r="13180" spans="15:15">
      <c r="O13180" s="4288"/>
    </row>
    <row r="13181" spans="15:15">
      <c r="O13181" s="4288"/>
    </row>
    <row r="13182" spans="15:15">
      <c r="O13182" s="4288"/>
    </row>
    <row r="13183" spans="15:15">
      <c r="O13183" s="4288"/>
    </row>
    <row r="13184" spans="15:15">
      <c r="O13184" s="4288"/>
    </row>
    <row r="13185" spans="15:15">
      <c r="O13185" s="4288"/>
    </row>
    <row r="13186" spans="15:15">
      <c r="O13186" s="4288"/>
    </row>
    <row r="13187" spans="15:15">
      <c r="O13187" s="4288"/>
    </row>
    <row r="13188" spans="15:15">
      <c r="O13188" s="4288"/>
    </row>
    <row r="13189" spans="15:15">
      <c r="O13189" s="4288"/>
    </row>
    <row r="13190" spans="15:15">
      <c r="O13190" s="4288"/>
    </row>
    <row r="13191" spans="15:15">
      <c r="O13191" s="4288"/>
    </row>
    <row r="13192" spans="15:15">
      <c r="O13192" s="4288"/>
    </row>
    <row r="13193" spans="15:15">
      <c r="O13193" s="4288"/>
    </row>
    <row r="13194" spans="15:15">
      <c r="O13194" s="4288"/>
    </row>
    <row r="13195" spans="15:15">
      <c r="O13195" s="4288"/>
    </row>
    <row r="13196" spans="15:15">
      <c r="O13196" s="4288"/>
    </row>
    <row r="13197" spans="15:15">
      <c r="O13197" s="4288"/>
    </row>
    <row r="13198" spans="15:15">
      <c r="O13198" s="4288"/>
    </row>
    <row r="13199" spans="15:15">
      <c r="O13199" s="4288"/>
    </row>
    <row r="13200" spans="15:15">
      <c r="O13200" s="4288"/>
    </row>
    <row r="13201" spans="15:15">
      <c r="O13201" s="4288"/>
    </row>
    <row r="13202" spans="15:15">
      <c r="O13202" s="4288"/>
    </row>
    <row r="13203" spans="15:15">
      <c r="O13203" s="4288"/>
    </row>
    <row r="13204" spans="15:15">
      <c r="O13204" s="4288"/>
    </row>
    <row r="13205" spans="15:15">
      <c r="O13205" s="4288"/>
    </row>
    <row r="13206" spans="15:15">
      <c r="O13206" s="4288"/>
    </row>
    <row r="13207" spans="15:15">
      <c r="O13207" s="4288"/>
    </row>
    <row r="13208" spans="15:15">
      <c r="O13208" s="4288"/>
    </row>
    <row r="13209" spans="15:15">
      <c r="O13209" s="4288"/>
    </row>
    <row r="13210" spans="15:15">
      <c r="O13210" s="4288"/>
    </row>
    <row r="13211" spans="15:15">
      <c r="O13211" s="4288"/>
    </row>
    <row r="13212" spans="15:15">
      <c r="O13212" s="4288"/>
    </row>
    <row r="13213" spans="15:15">
      <c r="O13213" s="4288"/>
    </row>
    <row r="13214" spans="15:15">
      <c r="O13214" s="4288"/>
    </row>
    <row r="13215" spans="15:15">
      <c r="O13215" s="4288"/>
    </row>
    <row r="13216" spans="15:15">
      <c r="O13216" s="4288"/>
    </row>
    <row r="13217" spans="15:15">
      <c r="O13217" s="4288"/>
    </row>
    <row r="13218" spans="15:15">
      <c r="O13218" s="4288"/>
    </row>
    <row r="13219" spans="15:15">
      <c r="O13219" s="4288"/>
    </row>
    <row r="13220" spans="15:15">
      <c r="O13220" s="4288"/>
    </row>
    <row r="13221" spans="15:15">
      <c r="O13221" s="4288"/>
    </row>
    <row r="13222" spans="15:15">
      <c r="O13222" s="4288"/>
    </row>
    <row r="13223" spans="15:15">
      <c r="O13223" s="4288"/>
    </row>
    <row r="13224" spans="15:15">
      <c r="O13224" s="4288"/>
    </row>
    <row r="13225" spans="15:15">
      <c r="O13225" s="4288"/>
    </row>
    <row r="13226" spans="15:15">
      <c r="O13226" s="4288"/>
    </row>
    <row r="13227" spans="15:15">
      <c r="O13227" s="4288"/>
    </row>
    <row r="13228" spans="15:15">
      <c r="O13228" s="4288"/>
    </row>
    <row r="13229" spans="15:15">
      <c r="O13229" s="4288"/>
    </row>
    <row r="13230" spans="15:15">
      <c r="O13230" s="4288"/>
    </row>
    <row r="13231" spans="15:15">
      <c r="O13231" s="4288"/>
    </row>
    <row r="13232" spans="15:15">
      <c r="O13232" s="4288"/>
    </row>
    <row r="13233" spans="15:15">
      <c r="O13233" s="4288"/>
    </row>
    <row r="13234" spans="15:15">
      <c r="O13234" s="4288"/>
    </row>
    <row r="13235" spans="15:15">
      <c r="O13235" s="4288"/>
    </row>
    <row r="13236" spans="15:15">
      <c r="O13236" s="4288"/>
    </row>
    <row r="13237" spans="15:15">
      <c r="O13237" s="4288"/>
    </row>
    <row r="13238" spans="15:15">
      <c r="O13238" s="4288"/>
    </row>
    <row r="13239" spans="15:15">
      <c r="O13239" s="4288"/>
    </row>
    <row r="13240" spans="15:15">
      <c r="O13240" s="4288"/>
    </row>
    <row r="13241" spans="15:15">
      <c r="O13241" s="4288"/>
    </row>
    <row r="13242" spans="15:15">
      <c r="O13242" s="4288"/>
    </row>
    <row r="13243" spans="15:15">
      <c r="O13243" s="4288"/>
    </row>
    <row r="13244" spans="15:15">
      <c r="O13244" s="4288"/>
    </row>
    <row r="13245" spans="15:15">
      <c r="O13245" s="4288"/>
    </row>
    <row r="13246" spans="15:15">
      <c r="O13246" s="4288"/>
    </row>
    <row r="13247" spans="15:15">
      <c r="O13247" s="4288"/>
    </row>
    <row r="13248" spans="15:15">
      <c r="O13248" s="4288"/>
    </row>
    <row r="13249" spans="15:15">
      <c r="O13249" s="4288"/>
    </row>
    <row r="13250" spans="15:15">
      <c r="O13250" s="4288"/>
    </row>
    <row r="13251" spans="15:15">
      <c r="O13251" s="4288"/>
    </row>
    <row r="13252" spans="15:15">
      <c r="O13252" s="4288"/>
    </row>
    <row r="13253" spans="15:15">
      <c r="O13253" s="4288"/>
    </row>
    <row r="13254" spans="15:15">
      <c r="O13254" s="4288"/>
    </row>
    <row r="13255" spans="15:15">
      <c r="O13255" s="4288"/>
    </row>
    <row r="13256" spans="15:15">
      <c r="O13256" s="4288"/>
    </row>
    <row r="13257" spans="15:15">
      <c r="O13257" s="4288"/>
    </row>
    <row r="13258" spans="15:15">
      <c r="O13258" s="4288"/>
    </row>
    <row r="13259" spans="15:15">
      <c r="O13259" s="4288"/>
    </row>
    <row r="13260" spans="15:15">
      <c r="O13260" s="4288"/>
    </row>
    <row r="13261" spans="15:15">
      <c r="O13261" s="4288"/>
    </row>
    <row r="13262" spans="15:15">
      <c r="O13262" s="4288"/>
    </row>
    <row r="13263" spans="15:15">
      <c r="O13263" s="4288"/>
    </row>
    <row r="13264" spans="15:15">
      <c r="O13264" s="4288"/>
    </row>
    <row r="13265" spans="15:15">
      <c r="O13265" s="4288"/>
    </row>
    <row r="13266" spans="15:15">
      <c r="O13266" s="4288"/>
    </row>
    <row r="13267" spans="15:15">
      <c r="O13267" s="4288"/>
    </row>
    <row r="13268" spans="15:15">
      <c r="O13268" s="4288"/>
    </row>
    <row r="13269" spans="15:15">
      <c r="O13269" s="4288"/>
    </row>
    <row r="13270" spans="15:15">
      <c r="O13270" s="4288"/>
    </row>
    <row r="13271" spans="15:15">
      <c r="O13271" s="4288"/>
    </row>
    <row r="13272" spans="15:15">
      <c r="O13272" s="4288"/>
    </row>
    <row r="13273" spans="15:15">
      <c r="O13273" s="4288"/>
    </row>
    <row r="13274" spans="15:15">
      <c r="O13274" s="4288"/>
    </row>
    <row r="13275" spans="15:15">
      <c r="O13275" s="4288"/>
    </row>
    <row r="13276" spans="15:15">
      <c r="O13276" s="4288"/>
    </row>
    <row r="13277" spans="15:15">
      <c r="O13277" s="4288"/>
    </row>
    <row r="13278" spans="15:15">
      <c r="O13278" s="4288"/>
    </row>
    <row r="13279" spans="15:15">
      <c r="O13279" s="4288"/>
    </row>
    <row r="13280" spans="15:15">
      <c r="O13280" s="4288"/>
    </row>
    <row r="13281" spans="15:15">
      <c r="O13281" s="4288"/>
    </row>
    <row r="13282" spans="15:15">
      <c r="O13282" s="4288"/>
    </row>
    <row r="13283" spans="15:15">
      <c r="O13283" s="4288"/>
    </row>
    <row r="13284" spans="15:15">
      <c r="O13284" s="4288"/>
    </row>
    <row r="13285" spans="15:15">
      <c r="O13285" s="4288"/>
    </row>
    <row r="13286" spans="15:15">
      <c r="O13286" s="4288"/>
    </row>
    <row r="13287" spans="15:15">
      <c r="O13287" s="4288"/>
    </row>
    <row r="13288" spans="15:15">
      <c r="O13288" s="4288"/>
    </row>
    <row r="13289" spans="15:15">
      <c r="O13289" s="4288"/>
    </row>
    <row r="13290" spans="15:15">
      <c r="O13290" s="4288"/>
    </row>
    <row r="13291" spans="15:15">
      <c r="O13291" s="4288"/>
    </row>
    <row r="13292" spans="15:15">
      <c r="O13292" s="4288"/>
    </row>
    <row r="13293" spans="15:15">
      <c r="O13293" s="4288"/>
    </row>
    <row r="13294" spans="15:15">
      <c r="O13294" s="4288"/>
    </row>
    <row r="13295" spans="15:15">
      <c r="O13295" s="4288"/>
    </row>
    <row r="13296" spans="15:15">
      <c r="O13296" s="4288"/>
    </row>
    <row r="13297" spans="15:15">
      <c r="O13297" s="4288"/>
    </row>
    <row r="13298" spans="15:15">
      <c r="O13298" s="4288"/>
    </row>
    <row r="13299" spans="15:15">
      <c r="O13299" s="4288"/>
    </row>
    <row r="13300" spans="15:15">
      <c r="O13300" s="4288"/>
    </row>
    <row r="13301" spans="15:15">
      <c r="O13301" s="4288"/>
    </row>
    <row r="13302" spans="15:15">
      <c r="O13302" s="4288"/>
    </row>
    <row r="13303" spans="15:15">
      <c r="O13303" s="4288"/>
    </row>
    <row r="13304" spans="15:15">
      <c r="O13304" s="4288"/>
    </row>
    <row r="13305" spans="15:15">
      <c r="O13305" s="4288"/>
    </row>
    <row r="13306" spans="15:15">
      <c r="O13306" s="4288"/>
    </row>
    <row r="13307" spans="15:15">
      <c r="O13307" s="4288"/>
    </row>
    <row r="13308" spans="15:15">
      <c r="O13308" s="4288"/>
    </row>
    <row r="13309" spans="15:15">
      <c r="O13309" s="4288"/>
    </row>
    <row r="13310" spans="15:15">
      <c r="O13310" s="4288"/>
    </row>
    <row r="13311" spans="15:15">
      <c r="O13311" s="4288"/>
    </row>
    <row r="13312" spans="15:15">
      <c r="O13312" s="4288"/>
    </row>
    <row r="13313" spans="15:15">
      <c r="O13313" s="4288"/>
    </row>
    <row r="13314" spans="15:15">
      <c r="O13314" s="4288"/>
    </row>
    <row r="13315" spans="15:15">
      <c r="O13315" s="4288"/>
    </row>
    <row r="13316" spans="15:15">
      <c r="O13316" s="4288"/>
    </row>
    <row r="13317" spans="15:15">
      <c r="O13317" s="4288"/>
    </row>
    <row r="13318" spans="15:15">
      <c r="O13318" s="4288"/>
    </row>
    <row r="13319" spans="15:15">
      <c r="O13319" s="4288"/>
    </row>
    <row r="13320" spans="15:15">
      <c r="O13320" s="4288"/>
    </row>
    <row r="13321" spans="15:15">
      <c r="O13321" s="4288"/>
    </row>
    <row r="13322" spans="15:15">
      <c r="O13322" s="4288"/>
    </row>
    <row r="13323" spans="15:15">
      <c r="O13323" s="4288"/>
    </row>
    <row r="13324" spans="15:15">
      <c r="O13324" s="4288"/>
    </row>
    <row r="13325" spans="15:15">
      <c r="O13325" s="4288"/>
    </row>
    <row r="13326" spans="15:15">
      <c r="O13326" s="4288"/>
    </row>
    <row r="13327" spans="15:15">
      <c r="O13327" s="4288"/>
    </row>
    <row r="13328" spans="15:15">
      <c r="O13328" s="4288"/>
    </row>
  </sheetData>
  <mergeCells count="5">
    <mergeCell ref="A1:G1"/>
    <mergeCell ref="H1:J1"/>
    <mergeCell ref="L1:M1"/>
    <mergeCell ref="N1:P1"/>
    <mergeCell ref="F51:F52"/>
  </mergeCells>
  <phoneticPr fontId="134" type="noConversion"/>
  <dataValidations count="7">
    <dataValidation type="list" allowBlank="1" showInputMessage="1" showErrorMessage="1" sqref="F1:F1048576" xr:uid="{BE165915-7A51-4CC1-813A-C22C82A63AAA}">
      <formula1>"办公"</formula1>
    </dataValidation>
    <dataValidation type="list" allowBlank="1" showInputMessage="1" showErrorMessage="1" sqref="E18:E19" xr:uid="{936D4565-9C28-4F7B-8741-1430DEF8C311}">
      <formula1>"生物医疗"</formula1>
    </dataValidation>
    <dataValidation type="list" allowBlank="1" showInputMessage="1" showErrorMessage="1" sqref="E36" xr:uid="{82F7F499-761D-42DC-B3D7-47028EE90822}">
      <formula1>"#REF!,金融业"</formula1>
    </dataValidation>
    <dataValidation type="list" allowBlank="1" showInputMessage="1" showErrorMessage="1" sqref="E28 E30 E32 E14:E15" xr:uid="{EF9449B5-803B-4589-B847-601C33C623EB}">
      <formula1>$F$1:$F$3</formula1>
    </dataValidation>
    <dataValidation type="list" allowBlank="1" showInputMessage="1" showErrorMessage="1" sqref="E22" xr:uid="{D2403D0A-0316-4EA7-BC8D-913AF123D65C}">
      <formula1>"设备工程（智能环保/电网）"</formula1>
    </dataValidation>
    <dataValidation type="list" allowBlank="1" showInputMessage="1" showErrorMessage="1" sqref="E20 E27 E29 E31 E4:E10 E12:E13 E16:E17 E23:E25 E33:E35 E37:E41" xr:uid="{F1B407A5-6165-4B6C-BB5F-8D3C9D135A86}">
      <formula1>#REF!</formula1>
    </dataValidation>
    <dataValidation type="list" allowBlank="1" showInputMessage="1" showErrorMessage="1" sqref="E11" xr:uid="{8F234B05-2495-4C9A-91C2-22F88B249D09}">
      <formula1>"能源行业"</formula1>
    </dataValidation>
  </dataValidations>
  <pageMargins left="0.7" right="0.7" top="0.75" bottom="0.75" header="0.3" footer="0.3"/>
  <pageSetup paperSize="9"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08A89-F7AC-4D67-89DD-96B1F0928687}">
  <dimension ref="A1:U28"/>
  <sheetViews>
    <sheetView topLeftCell="B1" zoomScaleNormal="100" workbookViewId="0">
      <selection activeCell="N13" sqref="N13"/>
    </sheetView>
  </sheetViews>
  <sheetFormatPr defaultColWidth="8.75" defaultRowHeight="13.5"/>
  <cols>
    <col min="1" max="1" width="14.75" style="4258" customWidth="1"/>
    <col min="2" max="2" width="6.75" style="4258" customWidth="1"/>
    <col min="3" max="3" width="26" style="4258" customWidth="1"/>
    <col min="4" max="4" width="36.875" style="4258" customWidth="1"/>
    <col min="5" max="5" width="19" style="4258" customWidth="1"/>
    <col min="6" max="6" width="10.375" style="4258" customWidth="1"/>
    <col min="7" max="7" width="13.25" style="4258" customWidth="1"/>
    <col min="8" max="9" width="12.375" style="4258" customWidth="1"/>
    <col min="10" max="10" width="7" style="4258" customWidth="1"/>
    <col min="11" max="11" width="20.125" style="4258" customWidth="1"/>
    <col min="12" max="12" width="9.5" style="4260" customWidth="1"/>
    <col min="13" max="13" width="10.375" style="4258" customWidth="1"/>
    <col min="14" max="14" width="13.25" style="4258" customWidth="1"/>
    <col min="15" max="15" width="7.25" style="4258" customWidth="1"/>
    <col min="16" max="16" width="15" style="4260" customWidth="1"/>
    <col min="17" max="17" width="13.25" style="4258" customWidth="1"/>
    <col min="18" max="18" width="9.5" style="4258" bestFit="1" customWidth="1"/>
    <col min="19" max="19" width="14" style="4258" customWidth="1"/>
    <col min="20" max="16384" width="8.75" style="4217"/>
  </cols>
  <sheetData>
    <row r="1" spans="1:21" ht="23.1" customHeight="1">
      <c r="A1" s="4657" t="s">
        <v>4024</v>
      </c>
      <c r="B1" s="4658"/>
      <c r="C1" s="4658"/>
      <c r="D1" s="4658"/>
      <c r="E1" s="4658"/>
      <c r="F1" s="4658"/>
      <c r="G1" s="4658"/>
      <c r="H1" s="4658" t="s">
        <v>4025</v>
      </c>
      <c r="I1" s="4658"/>
      <c r="J1" s="4658"/>
      <c r="K1" s="4289" t="s">
        <v>4026</v>
      </c>
      <c r="L1" s="4659" t="s">
        <v>4027</v>
      </c>
      <c r="M1" s="4658"/>
      <c r="N1" s="4658" t="s">
        <v>4028</v>
      </c>
      <c r="O1" s="4658"/>
      <c r="P1" s="4659"/>
      <c r="Q1" s="4658"/>
      <c r="R1" s="4658"/>
      <c r="S1" s="4658"/>
    </row>
    <row r="2" spans="1:21" ht="18.600000000000001" customHeight="1">
      <c r="A2" s="4290" t="s">
        <v>4029</v>
      </c>
      <c r="B2" s="4291" t="s">
        <v>4030</v>
      </c>
      <c r="C2" s="4291" t="s">
        <v>4031</v>
      </c>
      <c r="D2" s="4291" t="s">
        <v>4032</v>
      </c>
      <c r="E2" s="4291" t="s">
        <v>4033</v>
      </c>
      <c r="F2" s="4291" t="s">
        <v>4034</v>
      </c>
      <c r="G2" s="4291" t="s">
        <v>4035</v>
      </c>
      <c r="H2" s="4291" t="s">
        <v>4036</v>
      </c>
      <c r="I2" s="4291" t="s">
        <v>4037</v>
      </c>
      <c r="J2" s="4291" t="s">
        <v>4038</v>
      </c>
      <c r="K2" s="4291" t="s">
        <v>4039</v>
      </c>
      <c r="L2" s="4292" t="s">
        <v>4039</v>
      </c>
      <c r="M2" s="4291" t="s">
        <v>4040</v>
      </c>
      <c r="N2" s="4291" t="s">
        <v>4041</v>
      </c>
      <c r="O2" s="4291" t="s">
        <v>4042</v>
      </c>
      <c r="P2" s="4292" t="s">
        <v>4043</v>
      </c>
      <c r="Q2" s="4291" t="s">
        <v>4136</v>
      </c>
      <c r="R2" s="4291" t="s">
        <v>4042</v>
      </c>
      <c r="S2" s="4291" t="s">
        <v>4043</v>
      </c>
    </row>
    <row r="3" spans="1:21" ht="18.600000000000001" customHeight="1">
      <c r="A3" s="4293" t="s">
        <v>4044</v>
      </c>
      <c r="B3" s="4294" t="s">
        <v>4045</v>
      </c>
      <c r="C3" s="4295" t="s">
        <v>4045</v>
      </c>
      <c r="D3" s="4294" t="s">
        <v>4045</v>
      </c>
      <c r="E3" s="4294" t="s">
        <v>4045</v>
      </c>
      <c r="F3" s="4294" t="s">
        <v>4045</v>
      </c>
      <c r="G3" s="4294" t="s">
        <v>4045</v>
      </c>
      <c r="H3" s="4296"/>
      <c r="I3" s="4297" t="s">
        <v>4045</v>
      </c>
      <c r="J3" s="4294" t="s">
        <v>4045</v>
      </c>
      <c r="K3" s="4294" t="s">
        <v>4045</v>
      </c>
      <c r="L3" s="4298" t="s">
        <v>4045</v>
      </c>
      <c r="M3" s="4294" t="s">
        <v>4045</v>
      </c>
      <c r="N3" s="4297" t="s">
        <v>4045</v>
      </c>
      <c r="O3" s="4294" t="s">
        <v>4045</v>
      </c>
      <c r="P3" s="4298" t="s">
        <v>4045</v>
      </c>
      <c r="Q3" s="4297" t="s">
        <v>4045</v>
      </c>
      <c r="R3" s="4294" t="s">
        <v>4045</v>
      </c>
      <c r="S3" s="4294" t="s">
        <v>4045</v>
      </c>
    </row>
    <row r="4" spans="1:21" ht="18.600000000000001" customHeight="1">
      <c r="A4" s="4299">
        <v>1</v>
      </c>
      <c r="B4" s="4300">
        <v>31</v>
      </c>
      <c r="C4" s="4301">
        <v>101</v>
      </c>
      <c r="D4" s="4300" t="s">
        <v>4137</v>
      </c>
      <c r="E4" s="4300" t="s">
        <v>4055</v>
      </c>
      <c r="F4" s="4300" t="s">
        <v>660</v>
      </c>
      <c r="G4" s="4302">
        <v>186</v>
      </c>
      <c r="H4" s="4303">
        <v>42156</v>
      </c>
      <c r="I4" s="4303">
        <v>47634</v>
      </c>
      <c r="J4" s="4300">
        <f t="shared" ref="J4" si="0">I4-H4+1</f>
        <v>5479</v>
      </c>
      <c r="K4" s="4304">
        <f>S4+M4*12/365</f>
        <v>7.7794520547945201</v>
      </c>
      <c r="L4" s="4305">
        <v>4.5</v>
      </c>
      <c r="M4" s="4300">
        <v>45</v>
      </c>
      <c r="N4" s="4303">
        <v>44348</v>
      </c>
      <c r="O4" s="4306">
        <f t="shared" ref="O4:O13" si="1">(P4-L4)/L4</f>
        <v>0.1111111111111111</v>
      </c>
      <c r="P4" s="4305">
        <v>5</v>
      </c>
      <c r="Q4" s="4303">
        <v>45809</v>
      </c>
      <c r="R4" s="4306">
        <f t="shared" ref="R4:R12" si="2">(S4-P4)/P4</f>
        <v>0.25999999999999995</v>
      </c>
      <c r="S4" s="4305">
        <v>6.3</v>
      </c>
      <c r="T4" s="4217">
        <f>K4*G4*365</f>
        <v>528147</v>
      </c>
      <c r="U4" s="4217">
        <f>S4*G4</f>
        <v>1171.8</v>
      </c>
    </row>
    <row r="5" spans="1:21" ht="18.600000000000001" customHeight="1">
      <c r="A5" s="4299">
        <v>2</v>
      </c>
      <c r="B5" s="4300">
        <v>31</v>
      </c>
      <c r="C5" s="4301" t="s">
        <v>4138</v>
      </c>
      <c r="D5" s="4300" t="s">
        <v>4063</v>
      </c>
      <c r="E5" s="4300"/>
      <c r="F5" s="4300"/>
      <c r="G5" s="4302">
        <f>1189-156</f>
        <v>1033</v>
      </c>
      <c r="H5" s="4303"/>
      <c r="I5" s="4303"/>
      <c r="J5" s="4300"/>
      <c r="K5" s="4304"/>
      <c r="L5" s="4305"/>
      <c r="M5" s="4300"/>
      <c r="N5" s="4303"/>
      <c r="O5" s="4300"/>
      <c r="P5" s="4305"/>
      <c r="Q5" s="4303"/>
      <c r="R5" s="4300"/>
      <c r="S5" s="4300"/>
      <c r="T5" s="4217">
        <f t="shared" ref="T5:T14" si="3">K5*G5*365</f>
        <v>0</v>
      </c>
      <c r="U5" s="4217">
        <f t="shared" ref="U5:U14" si="4">S5*G5</f>
        <v>0</v>
      </c>
    </row>
    <row r="6" spans="1:21" ht="51.6" customHeight="1">
      <c r="A6" s="4299">
        <v>3</v>
      </c>
      <c r="B6" s="4300">
        <v>31</v>
      </c>
      <c r="C6" s="4301" t="s">
        <v>4139</v>
      </c>
      <c r="D6" s="4300" t="s">
        <v>4140</v>
      </c>
      <c r="E6" s="4300" t="s">
        <v>4057</v>
      </c>
      <c r="F6" s="4300" t="s">
        <v>660</v>
      </c>
      <c r="G6" s="4302">
        <v>2890.89</v>
      </c>
      <c r="H6" s="4303">
        <v>45245</v>
      </c>
      <c r="I6" s="4303">
        <v>46340</v>
      </c>
      <c r="J6" s="4300">
        <f t="shared" ref="J6:J14" si="5">I6-H6+1</f>
        <v>1096</v>
      </c>
      <c r="K6" s="4304">
        <f>5.3+M6*12/365</f>
        <v>6.7794520547945201</v>
      </c>
      <c r="L6" s="4305">
        <v>5.3</v>
      </c>
      <c r="M6" s="4300">
        <v>45</v>
      </c>
      <c r="N6" s="4303"/>
      <c r="O6" s="4300"/>
      <c r="P6" s="4305"/>
      <c r="Q6" s="4303"/>
      <c r="R6" s="4300"/>
      <c r="S6" s="4300">
        <f>L6</f>
        <v>5.3</v>
      </c>
      <c r="T6" s="4217">
        <f t="shared" si="3"/>
        <v>7153507.3049999997</v>
      </c>
      <c r="U6" s="4217">
        <f t="shared" si="4"/>
        <v>15321.716999999999</v>
      </c>
    </row>
    <row r="7" spans="1:21" s="4227" customFormat="1" ht="51.6" customHeight="1">
      <c r="A7" s="4307">
        <v>4</v>
      </c>
      <c r="B7" s="4308">
        <v>31</v>
      </c>
      <c r="C7" s="4309" t="s">
        <v>4141</v>
      </c>
      <c r="D7" s="4308" t="s">
        <v>4142</v>
      </c>
      <c r="E7" s="4308" t="s">
        <v>4057</v>
      </c>
      <c r="F7" s="4308" t="s">
        <v>660</v>
      </c>
      <c r="G7" s="4256">
        <v>3221.49</v>
      </c>
      <c r="H7" s="4310">
        <v>46027</v>
      </c>
      <c r="I7" s="4310">
        <v>50409</v>
      </c>
      <c r="J7" s="4308">
        <f t="shared" si="5"/>
        <v>4383</v>
      </c>
      <c r="K7" s="4311">
        <f>L7+M7*12/365</f>
        <v>4.9794520547945202</v>
      </c>
      <c r="L7" s="4312">
        <v>3.5</v>
      </c>
      <c r="M7" s="4308">
        <v>45</v>
      </c>
      <c r="N7" s="4310">
        <v>47488</v>
      </c>
      <c r="O7" s="4313">
        <v>0.05</v>
      </c>
      <c r="P7" s="4312">
        <f>L7*1.05</f>
        <v>3.6750000000000003</v>
      </c>
      <c r="Q7" s="4310">
        <v>48949</v>
      </c>
      <c r="R7" s="4313">
        <v>0.05</v>
      </c>
      <c r="S7" s="4314">
        <v>3.86</v>
      </c>
      <c r="T7" s="4217">
        <f t="shared" si="3"/>
        <v>5855058.0749999993</v>
      </c>
      <c r="U7" s="4217">
        <f t="shared" si="4"/>
        <v>12434.951399999998</v>
      </c>
    </row>
    <row r="8" spans="1:21" s="4227" customFormat="1" ht="51.6" customHeight="1">
      <c r="A8" s="4307">
        <v>5</v>
      </c>
      <c r="B8" s="4308">
        <v>31</v>
      </c>
      <c r="C8" s="4309" t="s">
        <v>4143</v>
      </c>
      <c r="D8" s="4308" t="s">
        <v>4142</v>
      </c>
      <c r="E8" s="4308" t="s">
        <v>4057</v>
      </c>
      <c r="F8" s="4308" t="s">
        <v>660</v>
      </c>
      <c r="G8" s="4256">
        <v>156</v>
      </c>
      <c r="H8" s="4310">
        <v>46027</v>
      </c>
      <c r="I8" s="4310">
        <v>50409</v>
      </c>
      <c r="J8" s="4308">
        <f t="shared" si="5"/>
        <v>4383</v>
      </c>
      <c r="K8" s="4311">
        <f>L8+M8*12/365</f>
        <v>3.7794520547945201</v>
      </c>
      <c r="L8" s="4312">
        <v>2.2999999999999998</v>
      </c>
      <c r="M8" s="4308">
        <v>45</v>
      </c>
      <c r="N8" s="4310">
        <v>47488</v>
      </c>
      <c r="O8" s="4313">
        <v>0.05</v>
      </c>
      <c r="P8" s="4312">
        <f>L8*1.05</f>
        <v>2.415</v>
      </c>
      <c r="Q8" s="4310">
        <v>48949</v>
      </c>
      <c r="R8" s="4313">
        <v>0.05</v>
      </c>
      <c r="S8" s="4314">
        <f>P8*1.05</f>
        <v>2.5357500000000002</v>
      </c>
      <c r="T8" s="4217">
        <f t="shared" si="3"/>
        <v>215201.99999999994</v>
      </c>
      <c r="U8" s="4217">
        <f t="shared" si="4"/>
        <v>395.577</v>
      </c>
    </row>
    <row r="9" spans="1:21" ht="18.600000000000001" customHeight="1">
      <c r="A9" s="4299">
        <v>6</v>
      </c>
      <c r="B9" s="4300">
        <v>31</v>
      </c>
      <c r="C9" s="4301" t="s">
        <v>4144</v>
      </c>
      <c r="D9" s="4300" t="s">
        <v>4145</v>
      </c>
      <c r="E9" s="4300" t="s">
        <v>4055</v>
      </c>
      <c r="F9" s="4300" t="s">
        <v>660</v>
      </c>
      <c r="G9" s="4302">
        <v>1401.33</v>
      </c>
      <c r="H9" s="4303">
        <v>45102</v>
      </c>
      <c r="I9" s="4303">
        <v>47293</v>
      </c>
      <c r="J9" s="4300">
        <f t="shared" si="5"/>
        <v>2192</v>
      </c>
      <c r="K9" s="4304">
        <f>0.61+M9*12/365</f>
        <v>1.5963013698630135</v>
      </c>
      <c r="L9" s="4305">
        <v>0.61</v>
      </c>
      <c r="M9" s="4300">
        <v>30</v>
      </c>
      <c r="N9" s="4303">
        <v>46198</v>
      </c>
      <c r="O9" s="4306">
        <f t="shared" si="1"/>
        <v>9.8360655737705013E-2</v>
      </c>
      <c r="P9" s="4305">
        <v>0.67</v>
      </c>
      <c r="Q9" s="4303"/>
      <c r="R9" s="4306"/>
      <c r="S9" s="4305">
        <f>L9</f>
        <v>0.61</v>
      </c>
      <c r="T9" s="4217">
        <f t="shared" si="3"/>
        <v>816484.92449999985</v>
      </c>
      <c r="U9" s="4217">
        <f t="shared" si="4"/>
        <v>854.81129999999996</v>
      </c>
    </row>
    <row r="10" spans="1:21" ht="36" customHeight="1">
      <c r="A10" s="4299">
        <v>7</v>
      </c>
      <c r="B10" s="4300">
        <v>31</v>
      </c>
      <c r="C10" s="4301" t="s">
        <v>4146</v>
      </c>
      <c r="D10" s="4300" t="s">
        <v>4147</v>
      </c>
      <c r="E10" s="4300" t="s">
        <v>4057</v>
      </c>
      <c r="F10" s="4300" t="s">
        <v>660</v>
      </c>
      <c r="G10" s="4302">
        <v>2505.85</v>
      </c>
      <c r="H10" s="4303">
        <v>45792</v>
      </c>
      <c r="I10" s="4303">
        <v>48713</v>
      </c>
      <c r="J10" s="4300">
        <f t="shared" si="5"/>
        <v>2922</v>
      </c>
      <c r="K10" s="4304">
        <f>3.5+M10*12/365</f>
        <v>4.9794520547945202</v>
      </c>
      <c r="L10" s="4305">
        <v>3.5</v>
      </c>
      <c r="M10" s="4300">
        <v>45</v>
      </c>
      <c r="N10" s="4303">
        <v>46888</v>
      </c>
      <c r="O10" s="4306">
        <f t="shared" si="1"/>
        <v>5.1428571428571476E-2</v>
      </c>
      <c r="P10" s="4305">
        <v>3.68</v>
      </c>
      <c r="Q10" s="4303">
        <v>47983</v>
      </c>
      <c r="R10" s="4306">
        <f t="shared" si="2"/>
        <v>4.8913043478260788E-2</v>
      </c>
      <c r="S10" s="4305">
        <v>3.86</v>
      </c>
      <c r="T10" s="4217">
        <f t="shared" si="3"/>
        <v>4554382.3749999991</v>
      </c>
      <c r="U10" s="4217">
        <f t="shared" si="4"/>
        <v>9672.5810000000001</v>
      </c>
    </row>
    <row r="11" spans="1:21" s="4316" customFormat="1" ht="18.600000000000001" customHeight="1">
      <c r="A11" s="4299">
        <v>8</v>
      </c>
      <c r="B11" s="4300">
        <v>31</v>
      </c>
      <c r="C11" s="4301" t="s">
        <v>4148</v>
      </c>
      <c r="D11" s="4300" t="s">
        <v>4147</v>
      </c>
      <c r="E11" s="4300" t="s">
        <v>4057</v>
      </c>
      <c r="F11" s="4300" t="s">
        <v>660</v>
      </c>
      <c r="G11" s="4302">
        <v>378.26</v>
      </c>
      <c r="H11" s="4303">
        <v>45976</v>
      </c>
      <c r="I11" s="4303">
        <v>48713</v>
      </c>
      <c r="J11" s="4300">
        <f t="shared" si="5"/>
        <v>2738</v>
      </c>
      <c r="K11" s="4304">
        <f>2.91+M11*12/365</f>
        <v>4.3894520547945204</v>
      </c>
      <c r="L11" s="4315">
        <v>2.91</v>
      </c>
      <c r="M11" s="4300">
        <v>45</v>
      </c>
      <c r="N11" s="4303">
        <v>46888</v>
      </c>
      <c r="O11" s="4306">
        <f>(P11-L11)/L11</f>
        <v>4.8109965635738716E-2</v>
      </c>
      <c r="P11" s="4315">
        <v>3.05</v>
      </c>
      <c r="Q11" s="4303">
        <v>47983</v>
      </c>
      <c r="R11" s="4306">
        <f t="shared" si="2"/>
        <v>4.9180327868852576E-2</v>
      </c>
      <c r="S11" s="4315">
        <v>3.2</v>
      </c>
      <c r="T11" s="4217">
        <f t="shared" si="3"/>
        <v>606029.25899999996</v>
      </c>
      <c r="U11" s="4217">
        <f t="shared" si="4"/>
        <v>1210.432</v>
      </c>
    </row>
    <row r="12" spans="1:21" s="4316" customFormat="1" ht="18.600000000000001" customHeight="1">
      <c r="A12" s="4299">
        <v>9</v>
      </c>
      <c r="B12" s="4300">
        <v>31</v>
      </c>
      <c r="C12" s="4301" t="s">
        <v>4148</v>
      </c>
      <c r="D12" s="4300" t="s">
        <v>4147</v>
      </c>
      <c r="E12" s="4300" t="s">
        <v>4057</v>
      </c>
      <c r="F12" s="4300" t="s">
        <v>660</v>
      </c>
      <c r="G12" s="4302">
        <v>427.84</v>
      </c>
      <c r="H12" s="4303">
        <v>45976</v>
      </c>
      <c r="I12" s="4303">
        <v>48713</v>
      </c>
      <c r="J12" s="4300">
        <f t="shared" si="5"/>
        <v>2738</v>
      </c>
      <c r="K12" s="4304">
        <f>2.91+M12*12/365</f>
        <v>4.3894520547945204</v>
      </c>
      <c r="L12" s="4315">
        <v>2.91</v>
      </c>
      <c r="M12" s="4300">
        <v>45</v>
      </c>
      <c r="N12" s="4303">
        <v>46888</v>
      </c>
      <c r="O12" s="4306">
        <f t="shared" si="1"/>
        <v>4.8109965635738716E-2</v>
      </c>
      <c r="P12" s="4315">
        <v>3.05</v>
      </c>
      <c r="Q12" s="4303">
        <v>47983</v>
      </c>
      <c r="R12" s="4306">
        <f t="shared" si="2"/>
        <v>4.9180327868852576E-2</v>
      </c>
      <c r="S12" s="4315">
        <v>3.2</v>
      </c>
      <c r="T12" s="4217">
        <f t="shared" si="3"/>
        <v>685463.85599999991</v>
      </c>
      <c r="U12" s="4217">
        <f t="shared" si="4"/>
        <v>1369.088</v>
      </c>
    </row>
    <row r="13" spans="1:21" ht="36" customHeight="1">
      <c r="A13" s="4299">
        <v>10</v>
      </c>
      <c r="B13" s="4300">
        <v>31</v>
      </c>
      <c r="C13" s="4301" t="s">
        <v>4149</v>
      </c>
      <c r="D13" s="4300" t="s">
        <v>4150</v>
      </c>
      <c r="E13" s="4300" t="s">
        <v>4055</v>
      </c>
      <c r="F13" s="4300" t="s">
        <v>660</v>
      </c>
      <c r="G13" s="4302">
        <v>128.26</v>
      </c>
      <c r="H13" s="4303">
        <v>44802</v>
      </c>
      <c r="I13" s="4303">
        <v>46993</v>
      </c>
      <c r="J13" s="4300">
        <f t="shared" si="5"/>
        <v>2192</v>
      </c>
      <c r="K13" s="4304">
        <f>6.91+M13*12/365</f>
        <v>8.3894520547945213</v>
      </c>
      <c r="L13" s="4305">
        <v>6.91</v>
      </c>
      <c r="M13" s="4300">
        <v>45</v>
      </c>
      <c r="N13" s="4303">
        <v>46263</v>
      </c>
      <c r="O13" s="4306">
        <f t="shared" si="1"/>
        <v>5.9334298118668617E-2</v>
      </c>
      <c r="P13" s="4305">
        <v>7.32</v>
      </c>
      <c r="Q13" s="4275"/>
      <c r="R13" s="4306"/>
      <c r="S13" s="4305">
        <f>L13</f>
        <v>6.91</v>
      </c>
      <c r="T13" s="4217">
        <f t="shared" si="3"/>
        <v>392751.359</v>
      </c>
      <c r="U13" s="4217">
        <f t="shared" si="4"/>
        <v>886.27659999999992</v>
      </c>
    </row>
    <row r="14" spans="1:21" ht="18.600000000000001" customHeight="1">
      <c r="A14" s="4299">
        <v>11</v>
      </c>
      <c r="B14" s="4300">
        <v>31</v>
      </c>
      <c r="C14" s="4301" t="s">
        <v>4151</v>
      </c>
      <c r="D14" s="4300" t="s">
        <v>4152</v>
      </c>
      <c r="E14" s="4300" t="s">
        <v>4055</v>
      </c>
      <c r="F14" s="4300" t="s">
        <v>660</v>
      </c>
      <c r="G14" s="4302">
        <v>430</v>
      </c>
      <c r="H14" s="4303">
        <v>44348</v>
      </c>
      <c r="I14" s="4303">
        <v>46173</v>
      </c>
      <c r="J14" s="4300">
        <f t="shared" si="5"/>
        <v>1826</v>
      </c>
      <c r="K14" s="4304">
        <f>+L14+M14*12/365</f>
        <v>3.9994520547945207</v>
      </c>
      <c r="L14" s="4312">
        <f>4-1.48</f>
        <v>2.52</v>
      </c>
      <c r="M14" s="4300">
        <v>45</v>
      </c>
      <c r="N14" s="4275"/>
      <c r="O14" s="4306"/>
      <c r="P14" s="4305"/>
      <c r="Q14" s="4303"/>
      <c r="R14" s="4306"/>
      <c r="S14" s="4305">
        <f>L14</f>
        <v>2.52</v>
      </c>
      <c r="T14" s="4217">
        <f t="shared" si="3"/>
        <v>627714</v>
      </c>
      <c r="U14" s="4217">
        <f t="shared" si="4"/>
        <v>1083.5999999999999</v>
      </c>
    </row>
    <row r="15" spans="1:21" ht="18.600000000000001" customHeight="1">
      <c r="A15" s="4299"/>
      <c r="B15" s="4300"/>
      <c r="C15" s="4300"/>
      <c r="D15" s="4300"/>
      <c r="E15" s="4300"/>
      <c r="F15" s="4300"/>
      <c r="G15" s="4302">
        <f>SUM(G4:G14)-G5</f>
        <v>11725.92</v>
      </c>
      <c r="H15" s="4303"/>
      <c r="I15" s="4303"/>
      <c r="J15" s="4300"/>
      <c r="K15" s="4302"/>
      <c r="L15" s="4305"/>
      <c r="M15" s="4300"/>
      <c r="N15" s="4303"/>
      <c r="O15" s="4306"/>
      <c r="P15" s="4305"/>
      <c r="Q15" s="4303"/>
      <c r="R15" s="4306" t="s">
        <v>4298</v>
      </c>
      <c r="S15" s="4305">
        <f>U15/G15</f>
        <v>3.7865544281386878</v>
      </c>
      <c r="U15" s="4217">
        <f>SUM(U4:U14)</f>
        <v>44400.834300000002</v>
      </c>
    </row>
    <row r="16" spans="1:21" ht="18.600000000000001" customHeight="1">
      <c r="A16" s="4317"/>
      <c r="B16" s="4275"/>
      <c r="C16" s="4318"/>
      <c r="D16" s="4276" t="s">
        <v>4087</v>
      </c>
      <c r="E16" s="4275">
        <f>SUM(G4:G14)</f>
        <v>12758.92</v>
      </c>
      <c r="F16" s="4275"/>
      <c r="G16" s="4276"/>
      <c r="H16" s="4275"/>
      <c r="I16" s="4275"/>
      <c r="J16" s="4275"/>
      <c r="K16" s="4275"/>
      <c r="L16" s="4277"/>
      <c r="M16" s="4275"/>
      <c r="N16" s="4275"/>
      <c r="O16" s="4275"/>
      <c r="P16" s="4277"/>
      <c r="Q16" s="4275"/>
      <c r="R16" s="4306" t="s">
        <v>4297</v>
      </c>
      <c r="S16" s="4277">
        <f>S15/1.09</f>
        <v>3.4739031450813647</v>
      </c>
    </row>
    <row r="17" spans="1:20" ht="18.600000000000001" customHeight="1">
      <c r="A17" s="4317"/>
      <c r="B17" s="4275"/>
      <c r="C17" s="4318"/>
      <c r="D17" s="4276" t="s">
        <v>4088</v>
      </c>
      <c r="E17" s="4275">
        <f>SUMIF(F3:F14,"商业",G3:G14)</f>
        <v>11725.92</v>
      </c>
      <c r="F17" s="4275"/>
      <c r="G17" s="4276"/>
      <c r="H17" s="4275"/>
      <c r="I17" s="4275"/>
      <c r="J17" s="4277"/>
      <c r="K17" s="4275"/>
      <c r="L17" s="4277"/>
      <c r="M17" s="4275"/>
      <c r="N17" s="4275"/>
      <c r="O17" s="4275"/>
      <c r="P17" s="4277"/>
      <c r="Q17" s="4275"/>
      <c r="R17" s="4275"/>
      <c r="S17" s="4275"/>
    </row>
    <row r="18" spans="1:20" ht="18.600000000000001" customHeight="1">
      <c r="A18" s="4317"/>
      <c r="B18" s="4275"/>
      <c r="C18" s="4318"/>
      <c r="D18" s="4276" t="s">
        <v>4092</v>
      </c>
      <c r="E18" s="4279">
        <f>(E17)/E16</f>
        <v>0.91903703448254237</v>
      </c>
      <c r="F18" s="4279"/>
      <c r="G18" s="4276"/>
      <c r="H18" s="4280"/>
      <c r="I18" s="4275"/>
      <c r="J18" s="4275"/>
      <c r="K18" s="4275"/>
      <c r="L18" s="4277"/>
      <c r="M18" s="4275"/>
      <c r="N18" s="4275"/>
      <c r="O18" s="4275"/>
      <c r="P18" s="4277"/>
      <c r="Q18" s="4275"/>
      <c r="R18" s="4275"/>
      <c r="S18" s="4275"/>
      <c r="T18" s="4217">
        <f>SUM(T4:T17)</f>
        <v>21434740.153499998</v>
      </c>
    </row>
    <row r="19" spans="1:20" ht="18.600000000000001" customHeight="1">
      <c r="A19" s="4319"/>
      <c r="B19" s="4283"/>
      <c r="C19" s="4320"/>
      <c r="D19" s="4281"/>
      <c r="E19" s="4282"/>
      <c r="F19" s="4282"/>
      <c r="G19" s="4281"/>
      <c r="H19" s="4283"/>
      <c r="I19" s="4283"/>
      <c r="J19" s="4283"/>
      <c r="K19" s="4283"/>
      <c r="L19" s="4284"/>
      <c r="M19" s="4283"/>
      <c r="N19" s="4283"/>
      <c r="O19" s="4283"/>
      <c r="P19" s="4284"/>
      <c r="Q19" s="4283"/>
      <c r="R19" s="4283"/>
      <c r="S19" s="4283"/>
      <c r="T19" s="4217">
        <f>T18/10000</f>
        <v>2143.4740153499997</v>
      </c>
    </row>
    <row r="20" spans="1:20" ht="14.25">
      <c r="A20" s="4286"/>
      <c r="G20" s="4321"/>
    </row>
    <row r="21" spans="1:20" ht="14.25">
      <c r="A21" s="4286"/>
      <c r="E21" s="4259"/>
      <c r="F21" s="4259"/>
      <c r="G21" s="4321"/>
    </row>
    <row r="22" spans="1:20" ht="14.25">
      <c r="E22" s="4260"/>
      <c r="G22" s="4321"/>
    </row>
    <row r="23" spans="1:20">
      <c r="E23" s="4260"/>
    </row>
    <row r="25" spans="1:20">
      <c r="F25" s="4656"/>
    </row>
    <row r="26" spans="1:20">
      <c r="F26" s="4656"/>
    </row>
    <row r="27" spans="1:20">
      <c r="E27" s="4260"/>
      <c r="F27" s="4261"/>
    </row>
    <row r="28" spans="1:20">
      <c r="D28" s="4262"/>
    </row>
  </sheetData>
  <mergeCells count="5">
    <mergeCell ref="A1:G1"/>
    <mergeCell ref="H1:J1"/>
    <mergeCell ref="L1:M1"/>
    <mergeCell ref="N1:S1"/>
    <mergeCell ref="F25:F26"/>
  </mergeCells>
  <phoneticPr fontId="134" type="noConversion"/>
  <dataValidations count="1">
    <dataValidation type="list" allowBlank="1" showInputMessage="1" showErrorMessage="1" sqref="E4:F10 E13:F15" xr:uid="{B2A0C5C4-6CCC-4CDB-A126-546C86F6601C}">
      <formula1>#REF!</formula1>
    </dataValidation>
  </dataValidations>
  <pageMargins left="0.7" right="0.7" top="0.75" bottom="0.75" header="0.3" footer="0.3"/>
  <pageSetup paperSize="9"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1" sqref="C1:S1"/>
      <selection pane="bottomLeft" activeCell="C1" sqref="C1:S1"/>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77" t="s">
        <v>1995</v>
      </c>
      <c r="C1" s="4663" t="s">
        <v>1996</v>
      </c>
      <c r="D1" s="4664"/>
      <c r="E1" s="4664"/>
      <c r="F1" s="4664"/>
      <c r="G1" s="4664"/>
      <c r="H1" s="4664"/>
      <c r="I1" s="4664"/>
      <c r="J1" s="4664"/>
      <c r="K1" s="4664"/>
      <c r="L1" s="4664"/>
      <c r="M1" s="4664"/>
      <c r="N1" s="4664"/>
      <c r="O1" s="4664"/>
      <c r="P1" s="4664"/>
      <c r="Q1" s="4664"/>
      <c r="R1" s="4664"/>
      <c r="S1" s="4665"/>
      <c r="T1" s="677" t="s">
        <v>1997</v>
      </c>
    </row>
    <row r="2" spans="1:45" s="457" customFormat="1">
      <c r="A2" s="678"/>
      <c r="B2" s="453" t="s">
        <v>1998</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79"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80"/>
      <c r="B3" s="458"/>
      <c r="C3" s="3797"/>
      <c r="D3" s="712"/>
      <c r="E3" s="712"/>
      <c r="F3" s="3798"/>
      <c r="G3" s="3798"/>
      <c r="H3" s="3798"/>
      <c r="I3" s="3798"/>
      <c r="J3" s="3798"/>
      <c r="K3" s="3798"/>
      <c r="L3" s="902"/>
      <c r="M3" s="3799"/>
      <c r="N3" s="3799"/>
      <c r="O3" s="3798"/>
      <c r="P3" s="3798"/>
      <c r="Q3" s="3798"/>
      <c r="R3" s="3798"/>
      <c r="S3" s="3800"/>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81"/>
      <c r="B4" s="682"/>
      <c r="C4" s="3801"/>
      <c r="D4" s="3802"/>
      <c r="E4" s="3802"/>
      <c r="F4" s="3803"/>
      <c r="G4" s="3803"/>
      <c r="H4" s="3803"/>
      <c r="I4" s="3803"/>
      <c r="J4" s="3803"/>
      <c r="K4" s="3803"/>
      <c r="L4" s="3803"/>
      <c r="M4" s="3804"/>
      <c r="N4" s="3804"/>
      <c r="O4" s="3803"/>
      <c r="P4" s="3803"/>
      <c r="Q4" s="3803"/>
      <c r="R4" s="3803"/>
      <c r="S4" s="3805"/>
      <c r="T4" s="683"/>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73"/>
      <c r="B5" s="918" t="s">
        <v>1999</v>
      </c>
      <c r="C5" s="684"/>
      <c r="D5" s="685"/>
      <c r="E5" s="685"/>
      <c r="F5" s="903"/>
      <c r="G5" s="903"/>
      <c r="H5" s="903"/>
      <c r="I5" s="903"/>
      <c r="J5" s="903"/>
      <c r="K5" s="903"/>
      <c r="L5" s="904"/>
      <c r="M5" s="905"/>
      <c r="N5" s="905"/>
      <c r="O5" s="903"/>
      <c r="P5" s="903"/>
      <c r="Q5" s="903"/>
      <c r="R5" s="903"/>
      <c r="S5" s="906"/>
      <c r="T5" s="380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73"/>
      <c r="B6" s="598"/>
      <c r="C6" s="3807">
        <v>100</v>
      </c>
      <c r="D6" s="3808">
        <f>C6-$T5</f>
        <v>100</v>
      </c>
      <c r="E6" s="3808">
        <f t="shared" ref="E6:S6" si="7">D6-$T5</f>
        <v>100</v>
      </c>
      <c r="F6" s="3809">
        <f t="shared" si="7"/>
        <v>100</v>
      </c>
      <c r="G6" s="3809">
        <f t="shared" si="7"/>
        <v>100</v>
      </c>
      <c r="H6" s="3809">
        <f t="shared" si="7"/>
        <v>100</v>
      </c>
      <c r="I6" s="3809">
        <f t="shared" si="7"/>
        <v>100</v>
      </c>
      <c r="J6" s="3809">
        <f t="shared" si="7"/>
        <v>100</v>
      </c>
      <c r="K6" s="3809">
        <f t="shared" si="7"/>
        <v>100</v>
      </c>
      <c r="L6" s="3809">
        <f t="shared" si="7"/>
        <v>100</v>
      </c>
      <c r="M6" s="3809">
        <f t="shared" si="7"/>
        <v>100</v>
      </c>
      <c r="N6" s="3809">
        <f t="shared" si="7"/>
        <v>100</v>
      </c>
      <c r="O6" s="3809">
        <f t="shared" si="7"/>
        <v>100</v>
      </c>
      <c r="P6" s="3809">
        <f t="shared" si="7"/>
        <v>100</v>
      </c>
      <c r="Q6" s="3809">
        <f t="shared" si="7"/>
        <v>100</v>
      </c>
      <c r="R6" s="3809">
        <f t="shared" si="7"/>
        <v>100</v>
      </c>
      <c r="S6" s="3809">
        <f t="shared" si="7"/>
        <v>100</v>
      </c>
      <c r="T6" s="600"/>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73"/>
      <c r="B7" s="919" t="s">
        <v>2000</v>
      </c>
      <c r="C7" s="602"/>
      <c r="D7" s="597"/>
      <c r="E7" s="597"/>
      <c r="F7" s="907"/>
      <c r="G7" s="907"/>
      <c r="H7" s="907"/>
      <c r="I7" s="907"/>
      <c r="J7" s="907"/>
      <c r="K7" s="907"/>
      <c r="L7" s="907"/>
      <c r="M7" s="908"/>
      <c r="N7" s="3810"/>
      <c r="O7" s="909"/>
      <c r="P7" s="909"/>
      <c r="Q7" s="909"/>
      <c r="R7" s="3811"/>
      <c r="S7" s="3812"/>
      <c r="T7" s="3813"/>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73"/>
      <c r="B8" s="598"/>
      <c r="C8" s="3807">
        <v>100</v>
      </c>
      <c r="D8" s="3808">
        <f>C8-$T7</f>
        <v>100</v>
      </c>
      <c r="E8" s="3808">
        <f t="shared" ref="E8:S8" si="8">D8-$T7</f>
        <v>100</v>
      </c>
      <c r="F8" s="3809">
        <f t="shared" si="8"/>
        <v>100</v>
      </c>
      <c r="G8" s="3809">
        <f t="shared" si="8"/>
        <v>100</v>
      </c>
      <c r="H8" s="3809">
        <f t="shared" si="8"/>
        <v>100</v>
      </c>
      <c r="I8" s="3809">
        <f t="shared" si="8"/>
        <v>100</v>
      </c>
      <c r="J8" s="3809">
        <f t="shared" si="8"/>
        <v>100</v>
      </c>
      <c r="K8" s="3809">
        <f t="shared" si="8"/>
        <v>100</v>
      </c>
      <c r="L8" s="3809">
        <f t="shared" si="8"/>
        <v>100</v>
      </c>
      <c r="M8" s="3809">
        <f t="shared" si="8"/>
        <v>100</v>
      </c>
      <c r="N8" s="3809">
        <f t="shared" si="8"/>
        <v>100</v>
      </c>
      <c r="O8" s="3809">
        <f t="shared" si="8"/>
        <v>100</v>
      </c>
      <c r="P8" s="3809">
        <f t="shared" si="8"/>
        <v>100</v>
      </c>
      <c r="Q8" s="3809">
        <f t="shared" si="8"/>
        <v>100</v>
      </c>
      <c r="R8" s="3809">
        <f t="shared" si="8"/>
        <v>100</v>
      </c>
      <c r="S8" s="3809">
        <f t="shared" si="8"/>
        <v>100</v>
      </c>
      <c r="T8" s="600"/>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73"/>
      <c r="B9" s="919" t="s">
        <v>2001</v>
      </c>
      <c r="C9" s="602"/>
      <c r="D9" s="597"/>
      <c r="E9" s="597"/>
      <c r="F9" s="907"/>
      <c r="G9" s="907"/>
      <c r="H9" s="907"/>
      <c r="I9" s="907"/>
      <c r="J9" s="907"/>
      <c r="K9" s="907"/>
      <c r="L9" s="910"/>
      <c r="M9" s="908"/>
      <c r="N9" s="3810"/>
      <c r="O9" s="909"/>
      <c r="P9" s="909"/>
      <c r="Q9" s="909"/>
      <c r="R9" s="3811"/>
      <c r="S9" s="3812"/>
      <c r="T9" s="3813"/>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73"/>
      <c r="B10" s="682"/>
      <c r="C10" s="3814">
        <v>100</v>
      </c>
      <c r="D10" s="516">
        <f>C10-$T9</f>
        <v>100</v>
      </c>
      <c r="E10" s="516">
        <f t="shared" ref="E10:S10" si="9">D10-$T9</f>
        <v>100</v>
      </c>
      <c r="F10" s="911">
        <f t="shared" si="9"/>
        <v>100</v>
      </c>
      <c r="G10" s="911">
        <f t="shared" si="9"/>
        <v>100</v>
      </c>
      <c r="H10" s="911">
        <f t="shared" si="9"/>
        <v>100</v>
      </c>
      <c r="I10" s="911">
        <f t="shared" si="9"/>
        <v>100</v>
      </c>
      <c r="J10" s="911">
        <f t="shared" si="9"/>
        <v>100</v>
      </c>
      <c r="K10" s="911">
        <f t="shared" si="9"/>
        <v>100</v>
      </c>
      <c r="L10" s="911">
        <f t="shared" si="9"/>
        <v>100</v>
      </c>
      <c r="M10" s="911">
        <f t="shared" si="9"/>
        <v>100</v>
      </c>
      <c r="N10" s="911">
        <f t="shared" si="9"/>
        <v>100</v>
      </c>
      <c r="O10" s="911">
        <f t="shared" si="9"/>
        <v>100</v>
      </c>
      <c r="P10" s="911">
        <f t="shared" si="9"/>
        <v>100</v>
      </c>
      <c r="Q10" s="911">
        <f t="shared" si="9"/>
        <v>100</v>
      </c>
      <c r="R10" s="911">
        <f t="shared" si="9"/>
        <v>100</v>
      </c>
      <c r="S10" s="911">
        <f t="shared" si="9"/>
        <v>100</v>
      </c>
      <c r="T10" s="683"/>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73"/>
      <c r="B11" s="918" t="s">
        <v>2002</v>
      </c>
      <c r="C11" s="684"/>
      <c r="D11" s="685"/>
      <c r="E11" s="685"/>
      <c r="F11" s="685"/>
      <c r="G11" s="685"/>
      <c r="H11" s="685"/>
      <c r="I11" s="685"/>
      <c r="J11" s="685"/>
      <c r="K11" s="685"/>
      <c r="L11" s="685"/>
      <c r="M11" s="686"/>
      <c r="N11" s="3815"/>
      <c r="O11" s="687"/>
      <c r="P11" s="687"/>
      <c r="Q11" s="687"/>
      <c r="R11" s="3816"/>
      <c r="S11" s="3817"/>
      <c r="T11" s="3806"/>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73"/>
      <c r="B12" s="598"/>
      <c r="C12" s="3807">
        <v>100</v>
      </c>
      <c r="D12" s="3808">
        <f>C12-$T11</f>
        <v>100</v>
      </c>
      <c r="E12" s="3808">
        <f t="shared" ref="E12:S12" si="10">D12-$T11</f>
        <v>100</v>
      </c>
      <c r="F12" s="3808">
        <f t="shared" si="10"/>
        <v>100</v>
      </c>
      <c r="G12" s="3808">
        <f t="shared" si="10"/>
        <v>100</v>
      </c>
      <c r="H12" s="3808">
        <f t="shared" si="10"/>
        <v>100</v>
      </c>
      <c r="I12" s="3808">
        <f t="shared" si="10"/>
        <v>100</v>
      </c>
      <c r="J12" s="3808">
        <f t="shared" si="10"/>
        <v>100</v>
      </c>
      <c r="K12" s="3808">
        <f t="shared" si="10"/>
        <v>100</v>
      </c>
      <c r="L12" s="3808">
        <f t="shared" si="10"/>
        <v>100</v>
      </c>
      <c r="M12" s="3808">
        <f t="shared" si="10"/>
        <v>100</v>
      </c>
      <c r="N12" s="3808">
        <f t="shared" si="10"/>
        <v>100</v>
      </c>
      <c r="O12" s="3808">
        <f t="shared" si="10"/>
        <v>100</v>
      </c>
      <c r="P12" s="3808">
        <f t="shared" si="10"/>
        <v>100</v>
      </c>
      <c r="Q12" s="3808">
        <f t="shared" si="10"/>
        <v>100</v>
      </c>
      <c r="R12" s="3808">
        <f>Q12-$T11</f>
        <v>100</v>
      </c>
      <c r="S12" s="3808">
        <f t="shared" si="10"/>
        <v>100</v>
      </c>
      <c r="T12" s="600"/>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73"/>
      <c r="B13" s="918" t="s">
        <v>2003</v>
      </c>
      <c r="C13" s="684"/>
      <c r="D13" s="685"/>
      <c r="E13" s="685"/>
      <c r="F13" s="685"/>
      <c r="G13" s="685"/>
      <c r="H13" s="685"/>
      <c r="I13" s="685"/>
      <c r="J13" s="685"/>
      <c r="K13" s="685"/>
      <c r="L13" s="685"/>
      <c r="M13" s="686"/>
      <c r="N13" s="3815"/>
      <c r="O13" s="687"/>
      <c r="P13" s="687"/>
      <c r="Q13" s="687"/>
      <c r="R13" s="3816"/>
      <c r="S13" s="3817"/>
      <c r="T13" s="688"/>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73"/>
      <c r="B14" s="598"/>
      <c r="C14" s="601"/>
      <c r="D14" s="599"/>
      <c r="E14" s="599"/>
      <c r="F14" s="599"/>
      <c r="G14" s="599"/>
      <c r="H14" s="599"/>
      <c r="I14" s="599"/>
      <c r="J14" s="599"/>
      <c r="K14" s="599"/>
      <c r="L14" s="599"/>
      <c r="M14" s="689"/>
      <c r="N14" s="689"/>
      <c r="O14" s="599"/>
      <c r="P14" s="599"/>
      <c r="Q14" s="599"/>
      <c r="R14" s="599"/>
      <c r="S14" s="690"/>
      <c r="T14" s="600"/>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73"/>
      <c r="B15" s="918" t="s">
        <v>2004</v>
      </c>
      <c r="C15" s="684"/>
      <c r="D15" s="685"/>
      <c r="E15" s="685"/>
      <c r="F15" s="685"/>
      <c r="G15" s="685"/>
      <c r="H15" s="685"/>
      <c r="I15" s="685"/>
      <c r="J15" s="685"/>
      <c r="K15" s="685"/>
      <c r="L15" s="685"/>
      <c r="M15" s="686"/>
      <c r="N15" s="3815"/>
      <c r="O15" s="687"/>
      <c r="P15" s="687"/>
      <c r="Q15" s="687"/>
      <c r="R15" s="3816"/>
      <c r="S15" s="3817"/>
      <c r="T15" s="688"/>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73"/>
      <c r="B16" s="682"/>
      <c r="C16" s="3801"/>
      <c r="D16" s="3802"/>
      <c r="E16" s="3802"/>
      <c r="F16" s="3802"/>
      <c r="G16" s="3802"/>
      <c r="H16" s="3802"/>
      <c r="I16" s="3802"/>
      <c r="J16" s="3802"/>
      <c r="K16" s="3802"/>
      <c r="L16" s="3802"/>
      <c r="M16" s="3818"/>
      <c r="N16" s="3818"/>
      <c r="O16" s="3802"/>
      <c r="P16" s="3802"/>
      <c r="Q16" s="3802"/>
      <c r="R16" s="3802"/>
      <c r="S16" s="3819"/>
      <c r="T16" s="683"/>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604" t="s">
        <v>2005</v>
      </c>
      <c r="B17" s="1605" t="s">
        <v>2006</v>
      </c>
      <c r="C17" s="691"/>
      <c r="D17" s="692"/>
      <c r="E17" s="692"/>
      <c r="F17" s="692"/>
      <c r="G17" s="692"/>
      <c r="H17" s="692"/>
      <c r="I17" s="692"/>
      <c r="J17" s="692"/>
      <c r="K17" s="692"/>
      <c r="L17" s="693"/>
      <c r="M17" s="694"/>
      <c r="N17" s="3820"/>
      <c r="O17" s="695"/>
      <c r="P17" s="695"/>
      <c r="Q17" s="695"/>
      <c r="R17" s="3821"/>
      <c r="S17" s="696"/>
      <c r="T17" s="696"/>
      <c r="U17" s="696"/>
      <c r="V17" s="696"/>
      <c r="W17" s="696"/>
      <c r="X17" s="696"/>
      <c r="Y17" s="696"/>
      <c r="Z17" s="696"/>
      <c r="AA17" s="696"/>
      <c r="AB17" s="696"/>
      <c r="AC17" s="696"/>
      <c r="AD17" s="696"/>
      <c r="AE17" s="696"/>
      <c r="AF17" s="696"/>
      <c r="AG17" s="696"/>
      <c r="AH17" s="696"/>
      <c r="AI17" s="696"/>
      <c r="AJ17" s="696"/>
      <c r="AK17" s="696"/>
      <c r="AL17" s="696"/>
      <c r="AM17" s="696"/>
      <c r="AN17" s="696"/>
      <c r="AO17" s="696"/>
      <c r="AP17" s="696"/>
      <c r="AQ17" s="696"/>
      <c r="AR17" s="494"/>
      <c r="AS17" s="494"/>
    </row>
    <row r="18" spans="1:45" s="3001" customFormat="1" ht="13.5" thickBot="1">
      <c r="A18" s="2997"/>
      <c r="B18" s="2998"/>
      <c r="C18" s="3822"/>
      <c r="D18" s="3823"/>
      <c r="E18" s="3823"/>
      <c r="F18" s="3823"/>
      <c r="G18" s="3823"/>
      <c r="H18" s="3823"/>
      <c r="I18" s="3823"/>
      <c r="J18" s="3823"/>
      <c r="K18" s="3823"/>
      <c r="L18" s="3823"/>
      <c r="M18" s="3824"/>
      <c r="N18" s="3824"/>
      <c r="O18" s="3823"/>
      <c r="P18" s="3823"/>
      <c r="Q18" s="3823"/>
      <c r="R18" s="3823"/>
      <c r="S18" s="3825"/>
      <c r="T18" s="3825"/>
      <c r="U18" s="2999"/>
      <c r="V18" s="2999"/>
      <c r="W18" s="2999"/>
      <c r="X18" s="2999"/>
      <c r="Y18" s="2999"/>
      <c r="Z18" s="2999"/>
      <c r="AA18" s="2999"/>
      <c r="AB18" s="2999"/>
      <c r="AC18" s="2999"/>
      <c r="AD18" s="2999"/>
      <c r="AE18" s="2999"/>
      <c r="AF18" s="2999"/>
      <c r="AG18" s="2999"/>
      <c r="AH18" s="2999"/>
      <c r="AI18" s="2999"/>
      <c r="AJ18" s="2999"/>
      <c r="AK18" s="2999"/>
      <c r="AL18" s="2999"/>
      <c r="AM18" s="2999"/>
      <c r="AN18" s="2999"/>
      <c r="AO18" s="2999"/>
      <c r="AP18" s="2999"/>
      <c r="AQ18" s="2999"/>
      <c r="AR18" s="3000"/>
      <c r="AS18" s="3000"/>
    </row>
    <row r="19" spans="1:45">
      <c r="A19" s="47"/>
      <c r="B19" s="60"/>
      <c r="C19" s="60"/>
      <c r="D19" s="1606" t="s">
        <v>2007</v>
      </c>
      <c r="E19" s="922"/>
      <c r="F19" s="922"/>
      <c r="G19" s="922"/>
      <c r="H19" s="719"/>
      <c r="I19" s="60"/>
      <c r="J19" s="60"/>
      <c r="K19" s="60"/>
      <c r="L19" s="60"/>
      <c r="M19" s="60"/>
      <c r="N19" s="60"/>
      <c r="O19" s="60"/>
      <c r="P19" s="60"/>
      <c r="Q19" s="60"/>
      <c r="R19" s="60"/>
      <c r="S19" s="47"/>
    </row>
    <row r="20" spans="1:45" ht="16.5" thickBot="1">
      <c r="A20" s="461" t="s">
        <v>2008</v>
      </c>
      <c r="B20" s="3290" t="e">
        <f ca="1">IF(D20="——",S22,S22-F20)</f>
        <v>#REF!</v>
      </c>
      <c r="C20" s="60"/>
      <c r="D20" s="1607"/>
      <c r="E20" s="923"/>
      <c r="F20" s="3289" t="e">
        <f ca="1">SUMIF(INDIRECT("'"&amp;H20&amp;"'"&amp;"!A:A"),"承租人权益价值",INDIRECT("'"&amp;H20&amp;"'"&amp;"!c:c"))</f>
        <v>#REF!</v>
      </c>
      <c r="G20" s="677" t="s">
        <v>2009</v>
      </c>
      <c r="H20" s="1608"/>
      <c r="I20" s="60"/>
      <c r="J20" s="60"/>
      <c r="K20" s="60"/>
      <c r="L20" s="60"/>
      <c r="M20" s="60"/>
      <c r="N20" s="60"/>
      <c r="O20" s="60"/>
      <c r="P20" s="60"/>
      <c r="Q20" s="60"/>
      <c r="R20" s="60"/>
      <c r="S20" s="47"/>
    </row>
    <row r="21" spans="1:45" ht="15.75">
      <c r="A21" s="461" t="s">
        <v>2010</v>
      </c>
      <c r="B21" s="3290" t="e">
        <f ca="1">ROUND(B20*10000/B22,0)</f>
        <v>#REF!</v>
      </c>
      <c r="C21" s="60"/>
      <c r="D21" s="60"/>
      <c r="E21" s="60"/>
      <c r="F21" s="60"/>
      <c r="G21" s="60"/>
      <c r="H21" s="60"/>
      <c r="I21" s="60"/>
      <c r="J21" s="60"/>
      <c r="K21" s="60"/>
      <c r="L21" s="60"/>
      <c r="M21" s="60"/>
      <c r="N21" s="60"/>
      <c r="O21" s="60"/>
      <c r="P21" s="60"/>
      <c r="Q21" s="60"/>
      <c r="R21" s="60"/>
      <c r="S21" s="47"/>
    </row>
    <row r="22" spans="1:45">
      <c r="A22" s="200" t="s">
        <v>2011</v>
      </c>
      <c r="B22" s="12">
        <f>SUM(B24:B10000)</f>
        <v>0</v>
      </c>
      <c r="C22" s="4660" t="s">
        <v>25</v>
      </c>
      <c r="D22" s="4661"/>
      <c r="E22" s="4661"/>
      <c r="F22" s="4661"/>
      <c r="G22" s="4661"/>
      <c r="H22" s="4661"/>
      <c r="I22" s="4661"/>
      <c r="J22" s="4661"/>
      <c r="K22" s="4661"/>
      <c r="L22" s="4661"/>
      <c r="M22" s="4661"/>
      <c r="N22" s="4661"/>
      <c r="O22" s="4661"/>
      <c r="P22" s="4661"/>
      <c r="Q22" s="4662"/>
      <c r="R22" s="2736" t="e">
        <f>ROUND(S22*10000/B22,0)</f>
        <v>#DIV/0!</v>
      </c>
      <c r="S22" s="2736">
        <f>SUM(S24:S10000)</f>
        <v>0</v>
      </c>
    </row>
    <row r="23" spans="1:45" s="7" customFormat="1" ht="24">
      <c r="A23" s="6" t="s">
        <v>2012</v>
      </c>
      <c r="B23" s="3284" t="s">
        <v>2013</v>
      </c>
      <c r="C23" s="6" t="s">
        <v>2014</v>
      </c>
      <c r="D23" s="925" t="str">
        <f>B5</f>
        <v>修正项2</v>
      </c>
      <c r="E23" s="6" t="s">
        <v>2014</v>
      </c>
      <c r="F23" s="925" t="str">
        <f>B7</f>
        <v>修正项3</v>
      </c>
      <c r="G23" s="6" t="s">
        <v>2014</v>
      </c>
      <c r="H23" s="925" t="str">
        <f>B9</f>
        <v>修正项4</v>
      </c>
      <c r="I23" s="6" t="s">
        <v>2014</v>
      </c>
      <c r="J23" s="925" t="str">
        <f>B11</f>
        <v>修正项5</v>
      </c>
      <c r="K23" s="6" t="s">
        <v>2014</v>
      </c>
      <c r="L23" s="925" t="str">
        <f>B13</f>
        <v>修正项6</v>
      </c>
      <c r="M23" s="6" t="s">
        <v>2014</v>
      </c>
      <c r="N23" s="925" t="str">
        <f>B15</f>
        <v>修正项7</v>
      </c>
      <c r="O23" s="6" t="s">
        <v>2014</v>
      </c>
      <c r="P23" s="925" t="str">
        <f>B17</f>
        <v>楼层</v>
      </c>
      <c r="Q23" s="6" t="s">
        <v>2014</v>
      </c>
      <c r="R23" s="6" t="s">
        <v>2015</v>
      </c>
      <c r="S23" s="6" t="s">
        <v>2016</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94" t="s">
        <v>2017</v>
      </c>
      <c r="B24" s="3285"/>
      <c r="C24" s="2992">
        <v>1</v>
      </c>
      <c r="D24" s="3287"/>
      <c r="E24" s="2992">
        <v>1</v>
      </c>
      <c r="F24" s="3287"/>
      <c r="G24" s="2992">
        <v>1</v>
      </c>
      <c r="H24" s="3287"/>
      <c r="I24" s="2992">
        <v>1</v>
      </c>
      <c r="J24" s="3287"/>
      <c r="K24" s="2992">
        <v>1</v>
      </c>
      <c r="L24" s="3287"/>
      <c r="M24" s="2992">
        <v>1</v>
      </c>
      <c r="N24" s="3287"/>
      <c r="O24" s="2992">
        <v>1</v>
      </c>
      <c r="P24" s="3287"/>
      <c r="Q24" s="2992">
        <v>1</v>
      </c>
      <c r="R24" s="3826"/>
      <c r="S24" s="3827">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95"/>
      <c r="B25" s="3286"/>
      <c r="C25" s="2993">
        <f>IF(B25="",1,(LOOKUP(B25,$3:$3,$4:$4)-LOOKUP($B$24,$3:$3,$4:$4)+100)/100)</f>
        <v>1</v>
      </c>
      <c r="D25" s="3288"/>
      <c r="E25" s="2993">
        <f>(SUMIF($5:$5,D25,$6:$6)-SUMIF($5:$5,$D$24,$6:$6)+100)/100</f>
        <v>1</v>
      </c>
      <c r="F25" s="3288"/>
      <c r="G25" s="2993">
        <f>(SUMIF($7:$7,F25,$8:$8)-SUMIF($7:$7,$F$24,$8:$8)+100)/100</f>
        <v>1</v>
      </c>
      <c r="H25" s="3288"/>
      <c r="I25" s="2993">
        <f>(SUMIF($9:$9,H25,$10:$10)-SUMIF($9:$9,$H$24,$10:$10)+100)/100</f>
        <v>1</v>
      </c>
      <c r="J25" s="3288"/>
      <c r="K25" s="2993">
        <f>(SUMIF($11:$11,J25,$12:$12)-SUMIF($11:$11,$J$24,$12:$12)+100)/100</f>
        <v>1</v>
      </c>
      <c r="L25" s="3288"/>
      <c r="M25" s="2993">
        <f>(SUMIF($13:$13,L25,$14:$14)-SUMIF($13:$13,$L$24,$14:$14)+100)/100</f>
        <v>1</v>
      </c>
      <c r="N25" s="3288"/>
      <c r="O25" s="2993">
        <f>(SUMIF($15:$15,N25,$16:$16)-SUMIF($15:$15,$N$24,$16:$16)+100)/100</f>
        <v>1</v>
      </c>
      <c r="P25" s="3288"/>
      <c r="Q25" s="2993">
        <f>(SUMIF($17:$17,P25,$18:$18)-SUMIF($17:$17,$P$24,$18:$18)+100)/100</f>
        <v>1</v>
      </c>
      <c r="R25" s="2736">
        <f>IF(B25="",0,ROUND($R$24*C25*E25*G25*I25*K25*M25*O25*Q25,0))</f>
        <v>0</v>
      </c>
      <c r="S25" s="2867">
        <f t="shared" si="11"/>
        <v>0</v>
      </c>
    </row>
    <row r="26" spans="1:45">
      <c r="A26" s="2995"/>
      <c r="B26" s="3286"/>
      <c r="C26" s="2993">
        <f t="shared" ref="C26:C89" si="12">IF(B26="",1,(LOOKUP(B26,$3:$3,$4:$4)-LOOKUP($B$24,$3:$3,$4:$4)+100)/100)</f>
        <v>1</v>
      </c>
      <c r="D26" s="3288"/>
      <c r="E26" s="2993">
        <f t="shared" ref="E26:E89" si="13">(SUMIF($5:$5,D26,$6:$6)-SUMIF($5:$5,$D$24,$6:$6)+100)/100</f>
        <v>1</v>
      </c>
      <c r="F26" s="3288"/>
      <c r="G26" s="2993">
        <f t="shared" ref="G26:G89" si="14">(SUMIF($7:$7,F26,$8:$8)-SUMIF($7:$7,$F$24,$8:$8)+100)/100</f>
        <v>1</v>
      </c>
      <c r="H26" s="3288"/>
      <c r="I26" s="2993">
        <f t="shared" ref="I26:I89" si="15">(SUMIF($9:$9,H26,$10:$10)-SUMIF($9:$9,$H$24,$10:$10)+100)/100</f>
        <v>1</v>
      </c>
      <c r="J26" s="3288"/>
      <c r="K26" s="2993">
        <f t="shared" ref="K26:K89" si="16">(SUMIF($11:$11,J26,$12:$12)-SUMIF($11:$11,$J$24,$12:$12)+100)/100</f>
        <v>1</v>
      </c>
      <c r="L26" s="3288"/>
      <c r="M26" s="2993">
        <f t="shared" ref="M26:M89" si="17">(SUMIF($13:$13,L26,$14:$14)-SUMIF($13:$13,$L$24,$14:$14)+100)/100</f>
        <v>1</v>
      </c>
      <c r="N26" s="3288"/>
      <c r="O26" s="2993">
        <f t="shared" ref="O26:O89" si="18">(SUMIF($15:$15,N26,$16:$16)-SUMIF($15:$15,$N$24,$16:$16)+100)/100</f>
        <v>1</v>
      </c>
      <c r="P26" s="3288"/>
      <c r="Q26" s="2993">
        <f t="shared" ref="Q26:Q89" si="19">(SUMIF($17:$17,P26,$18:$18)-SUMIF($17:$17,$P$24,$18:$18)+100)/100</f>
        <v>1</v>
      </c>
      <c r="R26" s="2736">
        <f t="shared" ref="R26:R89" si="20">IF(B26="",0,ROUND($R$24*C26*E26*G26*I26*K26*M26*O26*Q26,0))</f>
        <v>0</v>
      </c>
      <c r="S26" s="2867">
        <f t="shared" si="11"/>
        <v>0</v>
      </c>
    </row>
    <row r="27" spans="1:45">
      <c r="A27" s="2995"/>
      <c r="B27" s="3286"/>
      <c r="C27" s="2993">
        <f t="shared" si="12"/>
        <v>1</v>
      </c>
      <c r="D27" s="3288"/>
      <c r="E27" s="2993">
        <f t="shared" si="13"/>
        <v>1</v>
      </c>
      <c r="F27" s="3288"/>
      <c r="G27" s="2993">
        <f t="shared" si="14"/>
        <v>1</v>
      </c>
      <c r="H27" s="3288"/>
      <c r="I27" s="2993">
        <f t="shared" si="15"/>
        <v>1</v>
      </c>
      <c r="J27" s="3288"/>
      <c r="K27" s="2993">
        <f t="shared" si="16"/>
        <v>1</v>
      </c>
      <c r="L27" s="3288"/>
      <c r="M27" s="2993">
        <f t="shared" si="17"/>
        <v>1</v>
      </c>
      <c r="N27" s="3288"/>
      <c r="O27" s="2993">
        <f t="shared" si="18"/>
        <v>1</v>
      </c>
      <c r="P27" s="3288"/>
      <c r="Q27" s="2993">
        <f t="shared" si="19"/>
        <v>1</v>
      </c>
      <c r="R27" s="2736">
        <f t="shared" si="20"/>
        <v>0</v>
      </c>
      <c r="S27" s="2867">
        <f t="shared" si="11"/>
        <v>0</v>
      </c>
    </row>
    <row r="28" spans="1:45">
      <c r="A28" s="2995"/>
      <c r="B28" s="3286"/>
      <c r="C28" s="2993">
        <f t="shared" si="12"/>
        <v>1</v>
      </c>
      <c r="D28" s="3288"/>
      <c r="E28" s="2993">
        <f t="shared" si="13"/>
        <v>1</v>
      </c>
      <c r="F28" s="3288"/>
      <c r="G28" s="2993">
        <f t="shared" si="14"/>
        <v>1</v>
      </c>
      <c r="H28" s="3288"/>
      <c r="I28" s="2993">
        <f t="shared" si="15"/>
        <v>1</v>
      </c>
      <c r="J28" s="3288"/>
      <c r="K28" s="2993">
        <f t="shared" si="16"/>
        <v>1</v>
      </c>
      <c r="L28" s="3288"/>
      <c r="M28" s="2993">
        <f t="shared" si="17"/>
        <v>1</v>
      </c>
      <c r="N28" s="3288"/>
      <c r="O28" s="2993">
        <f t="shared" si="18"/>
        <v>1</v>
      </c>
      <c r="P28" s="3288"/>
      <c r="Q28" s="2993">
        <f t="shared" si="19"/>
        <v>1</v>
      </c>
      <c r="R28" s="2736">
        <f t="shared" si="20"/>
        <v>0</v>
      </c>
      <c r="S28" s="2867">
        <f t="shared" si="11"/>
        <v>0</v>
      </c>
    </row>
    <row r="29" spans="1:45">
      <c r="A29" s="2995"/>
      <c r="B29" s="3286"/>
      <c r="C29" s="2993">
        <f t="shared" si="12"/>
        <v>1</v>
      </c>
      <c r="D29" s="3288"/>
      <c r="E29" s="2993">
        <f t="shared" si="13"/>
        <v>1</v>
      </c>
      <c r="F29" s="3288"/>
      <c r="G29" s="2993">
        <f t="shared" si="14"/>
        <v>1</v>
      </c>
      <c r="H29" s="3288"/>
      <c r="I29" s="2993">
        <f t="shared" si="15"/>
        <v>1</v>
      </c>
      <c r="J29" s="3288"/>
      <c r="K29" s="2993">
        <f t="shared" si="16"/>
        <v>1</v>
      </c>
      <c r="L29" s="3288"/>
      <c r="M29" s="2993">
        <f t="shared" si="17"/>
        <v>1</v>
      </c>
      <c r="N29" s="3288"/>
      <c r="O29" s="2993">
        <f t="shared" si="18"/>
        <v>1</v>
      </c>
      <c r="P29" s="3288"/>
      <c r="Q29" s="2993">
        <f t="shared" si="19"/>
        <v>1</v>
      </c>
      <c r="R29" s="2736">
        <f t="shared" si="20"/>
        <v>0</v>
      </c>
      <c r="S29" s="2867">
        <f t="shared" si="11"/>
        <v>0</v>
      </c>
    </row>
    <row r="30" spans="1:45">
      <c r="A30" s="2995"/>
      <c r="B30" s="3286"/>
      <c r="C30" s="2993">
        <f t="shared" si="12"/>
        <v>1</v>
      </c>
      <c r="D30" s="3288"/>
      <c r="E30" s="2993">
        <f t="shared" si="13"/>
        <v>1</v>
      </c>
      <c r="F30" s="3288"/>
      <c r="G30" s="2993">
        <f t="shared" si="14"/>
        <v>1</v>
      </c>
      <c r="H30" s="3288"/>
      <c r="I30" s="2993">
        <f t="shared" si="15"/>
        <v>1</v>
      </c>
      <c r="J30" s="3288"/>
      <c r="K30" s="2993">
        <f t="shared" si="16"/>
        <v>1</v>
      </c>
      <c r="L30" s="3288"/>
      <c r="M30" s="2993">
        <f t="shared" si="17"/>
        <v>1</v>
      </c>
      <c r="N30" s="3288"/>
      <c r="O30" s="2993">
        <f t="shared" si="18"/>
        <v>1</v>
      </c>
      <c r="P30" s="3288"/>
      <c r="Q30" s="2993">
        <f t="shared" si="19"/>
        <v>1</v>
      </c>
      <c r="R30" s="2736">
        <f t="shared" si="20"/>
        <v>0</v>
      </c>
      <c r="S30" s="2867">
        <f t="shared" si="11"/>
        <v>0</v>
      </c>
    </row>
    <row r="31" spans="1:45">
      <c r="A31" s="2995"/>
      <c r="B31" s="3286"/>
      <c r="C31" s="2993">
        <f t="shared" si="12"/>
        <v>1</v>
      </c>
      <c r="D31" s="3288"/>
      <c r="E31" s="2993">
        <f t="shared" si="13"/>
        <v>1</v>
      </c>
      <c r="F31" s="3288"/>
      <c r="G31" s="2993">
        <f t="shared" si="14"/>
        <v>1</v>
      </c>
      <c r="H31" s="3288"/>
      <c r="I31" s="2993">
        <f t="shared" si="15"/>
        <v>1</v>
      </c>
      <c r="J31" s="3288"/>
      <c r="K31" s="2993">
        <f t="shared" si="16"/>
        <v>1</v>
      </c>
      <c r="L31" s="3288"/>
      <c r="M31" s="2993">
        <f t="shared" si="17"/>
        <v>1</v>
      </c>
      <c r="N31" s="3288"/>
      <c r="O31" s="2993">
        <f t="shared" si="18"/>
        <v>1</v>
      </c>
      <c r="P31" s="3288"/>
      <c r="Q31" s="2993">
        <f t="shared" si="19"/>
        <v>1</v>
      </c>
      <c r="R31" s="2736">
        <f t="shared" si="20"/>
        <v>0</v>
      </c>
      <c r="S31" s="2867">
        <f t="shared" si="11"/>
        <v>0</v>
      </c>
    </row>
    <row r="32" spans="1:45">
      <c r="A32" s="2995"/>
      <c r="B32" s="3286"/>
      <c r="C32" s="2993">
        <f t="shared" si="12"/>
        <v>1</v>
      </c>
      <c r="D32" s="3288"/>
      <c r="E32" s="2993">
        <f t="shared" si="13"/>
        <v>1</v>
      </c>
      <c r="F32" s="3288"/>
      <c r="G32" s="2993">
        <f t="shared" si="14"/>
        <v>1</v>
      </c>
      <c r="H32" s="3288"/>
      <c r="I32" s="2993">
        <f t="shared" si="15"/>
        <v>1</v>
      </c>
      <c r="J32" s="3288"/>
      <c r="K32" s="2993">
        <f t="shared" si="16"/>
        <v>1</v>
      </c>
      <c r="L32" s="3288"/>
      <c r="M32" s="2993">
        <f t="shared" si="17"/>
        <v>1</v>
      </c>
      <c r="N32" s="3288"/>
      <c r="O32" s="2993">
        <f t="shared" si="18"/>
        <v>1</v>
      </c>
      <c r="P32" s="3288"/>
      <c r="Q32" s="2993">
        <f t="shared" si="19"/>
        <v>1</v>
      </c>
      <c r="R32" s="2736">
        <f t="shared" si="20"/>
        <v>0</v>
      </c>
      <c r="S32" s="2867">
        <f t="shared" si="11"/>
        <v>0</v>
      </c>
    </row>
    <row r="33" spans="1:19">
      <c r="A33" s="2995"/>
      <c r="B33" s="3286"/>
      <c r="C33" s="2993">
        <f t="shared" si="12"/>
        <v>1</v>
      </c>
      <c r="D33" s="3288"/>
      <c r="E33" s="2993">
        <f t="shared" si="13"/>
        <v>1</v>
      </c>
      <c r="F33" s="3288"/>
      <c r="G33" s="2993">
        <f t="shared" si="14"/>
        <v>1</v>
      </c>
      <c r="H33" s="3288"/>
      <c r="I33" s="2993">
        <f t="shared" si="15"/>
        <v>1</v>
      </c>
      <c r="J33" s="3288"/>
      <c r="K33" s="2993">
        <f t="shared" si="16"/>
        <v>1</v>
      </c>
      <c r="L33" s="3288"/>
      <c r="M33" s="2993">
        <f t="shared" si="17"/>
        <v>1</v>
      </c>
      <c r="N33" s="3288"/>
      <c r="O33" s="2993">
        <f t="shared" si="18"/>
        <v>1</v>
      </c>
      <c r="P33" s="3288"/>
      <c r="Q33" s="2993">
        <f t="shared" si="19"/>
        <v>1</v>
      </c>
      <c r="R33" s="2736">
        <f t="shared" si="20"/>
        <v>0</v>
      </c>
      <c r="S33" s="2867">
        <f t="shared" si="11"/>
        <v>0</v>
      </c>
    </row>
    <row r="34" spans="1:19">
      <c r="A34" s="2995"/>
      <c r="B34" s="3286"/>
      <c r="C34" s="2993">
        <f t="shared" si="12"/>
        <v>1</v>
      </c>
      <c r="D34" s="3288"/>
      <c r="E34" s="2993">
        <f t="shared" si="13"/>
        <v>1</v>
      </c>
      <c r="F34" s="3288"/>
      <c r="G34" s="2993">
        <f t="shared" si="14"/>
        <v>1</v>
      </c>
      <c r="H34" s="3288"/>
      <c r="I34" s="2993">
        <f t="shared" si="15"/>
        <v>1</v>
      </c>
      <c r="J34" s="3288"/>
      <c r="K34" s="2993">
        <f t="shared" si="16"/>
        <v>1</v>
      </c>
      <c r="L34" s="3288"/>
      <c r="M34" s="2993">
        <f t="shared" si="17"/>
        <v>1</v>
      </c>
      <c r="N34" s="3288"/>
      <c r="O34" s="2993">
        <f t="shared" si="18"/>
        <v>1</v>
      </c>
      <c r="P34" s="3288"/>
      <c r="Q34" s="2993">
        <f t="shared" si="19"/>
        <v>1</v>
      </c>
      <c r="R34" s="2736">
        <f t="shared" si="20"/>
        <v>0</v>
      </c>
      <c r="S34" s="2867">
        <f t="shared" si="11"/>
        <v>0</v>
      </c>
    </row>
    <row r="35" spans="1:19">
      <c r="A35" s="2995"/>
      <c r="B35" s="3286"/>
      <c r="C35" s="2993">
        <f t="shared" si="12"/>
        <v>1</v>
      </c>
      <c r="D35" s="3288"/>
      <c r="E35" s="2993">
        <f t="shared" si="13"/>
        <v>1</v>
      </c>
      <c r="F35" s="3288"/>
      <c r="G35" s="2993">
        <f t="shared" si="14"/>
        <v>1</v>
      </c>
      <c r="H35" s="3288"/>
      <c r="I35" s="2993">
        <f t="shared" si="15"/>
        <v>1</v>
      </c>
      <c r="J35" s="3288"/>
      <c r="K35" s="2993">
        <f t="shared" si="16"/>
        <v>1</v>
      </c>
      <c r="L35" s="3288"/>
      <c r="M35" s="2993">
        <f t="shared" si="17"/>
        <v>1</v>
      </c>
      <c r="N35" s="3288"/>
      <c r="O35" s="2993">
        <f t="shared" si="18"/>
        <v>1</v>
      </c>
      <c r="P35" s="3288"/>
      <c r="Q35" s="2993">
        <f t="shared" si="19"/>
        <v>1</v>
      </c>
      <c r="R35" s="2736">
        <f t="shared" si="20"/>
        <v>0</v>
      </c>
      <c r="S35" s="2867">
        <f t="shared" si="11"/>
        <v>0</v>
      </c>
    </row>
    <row r="36" spans="1:19">
      <c r="A36" s="2995"/>
      <c r="B36" s="3286"/>
      <c r="C36" s="2993">
        <f t="shared" si="12"/>
        <v>1</v>
      </c>
      <c r="D36" s="3288"/>
      <c r="E36" s="2993">
        <f t="shared" si="13"/>
        <v>1</v>
      </c>
      <c r="F36" s="3288"/>
      <c r="G36" s="2993">
        <f t="shared" si="14"/>
        <v>1</v>
      </c>
      <c r="H36" s="3288"/>
      <c r="I36" s="2993">
        <f t="shared" si="15"/>
        <v>1</v>
      </c>
      <c r="J36" s="3288"/>
      <c r="K36" s="2993">
        <f t="shared" si="16"/>
        <v>1</v>
      </c>
      <c r="L36" s="3288"/>
      <c r="M36" s="2993">
        <f t="shared" si="17"/>
        <v>1</v>
      </c>
      <c r="N36" s="3288"/>
      <c r="O36" s="2993">
        <f t="shared" si="18"/>
        <v>1</v>
      </c>
      <c r="P36" s="3288"/>
      <c r="Q36" s="2993">
        <f t="shared" si="19"/>
        <v>1</v>
      </c>
      <c r="R36" s="2736">
        <f t="shared" si="20"/>
        <v>0</v>
      </c>
      <c r="S36" s="2867">
        <f t="shared" si="11"/>
        <v>0</v>
      </c>
    </row>
    <row r="37" spans="1:19">
      <c r="A37" s="2995"/>
      <c r="B37" s="3286"/>
      <c r="C37" s="2993">
        <f t="shared" si="12"/>
        <v>1</v>
      </c>
      <c r="D37" s="3288"/>
      <c r="E37" s="2993">
        <f t="shared" si="13"/>
        <v>1</v>
      </c>
      <c r="F37" s="3288"/>
      <c r="G37" s="2993">
        <f t="shared" si="14"/>
        <v>1</v>
      </c>
      <c r="H37" s="3288"/>
      <c r="I37" s="2993">
        <f t="shared" si="15"/>
        <v>1</v>
      </c>
      <c r="J37" s="3288"/>
      <c r="K37" s="2993">
        <f t="shared" si="16"/>
        <v>1</v>
      </c>
      <c r="L37" s="3288"/>
      <c r="M37" s="2993">
        <f t="shared" si="17"/>
        <v>1</v>
      </c>
      <c r="N37" s="3288"/>
      <c r="O37" s="2993">
        <f t="shared" si="18"/>
        <v>1</v>
      </c>
      <c r="P37" s="3288"/>
      <c r="Q37" s="2993">
        <f t="shared" si="19"/>
        <v>1</v>
      </c>
      <c r="R37" s="2736">
        <f t="shared" si="20"/>
        <v>0</v>
      </c>
      <c r="S37" s="2867">
        <f t="shared" si="11"/>
        <v>0</v>
      </c>
    </row>
    <row r="38" spans="1:19">
      <c r="A38" s="2995"/>
      <c r="B38" s="3286"/>
      <c r="C38" s="2993">
        <f t="shared" si="12"/>
        <v>1</v>
      </c>
      <c r="D38" s="3288"/>
      <c r="E38" s="2993">
        <f t="shared" si="13"/>
        <v>1</v>
      </c>
      <c r="F38" s="3288"/>
      <c r="G38" s="2993">
        <f t="shared" si="14"/>
        <v>1</v>
      </c>
      <c r="H38" s="3288"/>
      <c r="I38" s="2993">
        <f t="shared" si="15"/>
        <v>1</v>
      </c>
      <c r="J38" s="3288"/>
      <c r="K38" s="2993">
        <f t="shared" si="16"/>
        <v>1</v>
      </c>
      <c r="L38" s="3288"/>
      <c r="M38" s="2993">
        <f t="shared" si="17"/>
        <v>1</v>
      </c>
      <c r="N38" s="3288"/>
      <c r="O38" s="2993">
        <f t="shared" si="18"/>
        <v>1</v>
      </c>
      <c r="P38" s="3288"/>
      <c r="Q38" s="2993">
        <f t="shared" si="19"/>
        <v>1</v>
      </c>
      <c r="R38" s="2736">
        <f t="shared" si="20"/>
        <v>0</v>
      </c>
      <c r="S38" s="2867">
        <f t="shared" si="11"/>
        <v>0</v>
      </c>
    </row>
    <row r="39" spans="1:19">
      <c r="A39" s="2995"/>
      <c r="B39" s="3286"/>
      <c r="C39" s="2993">
        <f t="shared" si="12"/>
        <v>1</v>
      </c>
      <c r="D39" s="3288"/>
      <c r="E39" s="2993">
        <f t="shared" si="13"/>
        <v>1</v>
      </c>
      <c r="F39" s="3288"/>
      <c r="G39" s="2993">
        <f t="shared" si="14"/>
        <v>1</v>
      </c>
      <c r="H39" s="3288"/>
      <c r="I39" s="2993">
        <f t="shared" si="15"/>
        <v>1</v>
      </c>
      <c r="J39" s="3288"/>
      <c r="K39" s="2993">
        <f t="shared" si="16"/>
        <v>1</v>
      </c>
      <c r="L39" s="3288"/>
      <c r="M39" s="2993">
        <f t="shared" si="17"/>
        <v>1</v>
      </c>
      <c r="N39" s="3288"/>
      <c r="O39" s="2993">
        <f t="shared" si="18"/>
        <v>1</v>
      </c>
      <c r="P39" s="3288"/>
      <c r="Q39" s="2993">
        <f t="shared" si="19"/>
        <v>1</v>
      </c>
      <c r="R39" s="2736">
        <f t="shared" si="20"/>
        <v>0</v>
      </c>
      <c r="S39" s="2867">
        <f t="shared" si="11"/>
        <v>0</v>
      </c>
    </row>
    <row r="40" spans="1:19">
      <c r="A40" s="2995"/>
      <c r="B40" s="3286"/>
      <c r="C40" s="2993">
        <f t="shared" si="12"/>
        <v>1</v>
      </c>
      <c r="D40" s="3288"/>
      <c r="E40" s="2993">
        <f t="shared" si="13"/>
        <v>1</v>
      </c>
      <c r="F40" s="3288"/>
      <c r="G40" s="2993">
        <f t="shared" si="14"/>
        <v>1</v>
      </c>
      <c r="H40" s="3288"/>
      <c r="I40" s="2993">
        <f t="shared" si="15"/>
        <v>1</v>
      </c>
      <c r="J40" s="3288"/>
      <c r="K40" s="2993">
        <f t="shared" si="16"/>
        <v>1</v>
      </c>
      <c r="L40" s="3288"/>
      <c r="M40" s="2993">
        <f t="shared" si="17"/>
        <v>1</v>
      </c>
      <c r="N40" s="3288"/>
      <c r="O40" s="2993">
        <f t="shared" si="18"/>
        <v>1</v>
      </c>
      <c r="P40" s="3288"/>
      <c r="Q40" s="2993">
        <f t="shared" si="19"/>
        <v>1</v>
      </c>
      <c r="R40" s="2736">
        <f t="shared" si="20"/>
        <v>0</v>
      </c>
      <c r="S40" s="2867">
        <f t="shared" si="11"/>
        <v>0</v>
      </c>
    </row>
    <row r="41" spans="1:19">
      <c r="A41" s="2995"/>
      <c r="B41" s="3286"/>
      <c r="C41" s="2993">
        <f t="shared" si="12"/>
        <v>1</v>
      </c>
      <c r="D41" s="3288"/>
      <c r="E41" s="2993">
        <f t="shared" si="13"/>
        <v>1</v>
      </c>
      <c r="F41" s="3288"/>
      <c r="G41" s="2993">
        <f t="shared" si="14"/>
        <v>1</v>
      </c>
      <c r="H41" s="3288"/>
      <c r="I41" s="2993">
        <f t="shared" si="15"/>
        <v>1</v>
      </c>
      <c r="J41" s="3288"/>
      <c r="K41" s="2993">
        <f t="shared" si="16"/>
        <v>1</v>
      </c>
      <c r="L41" s="3288"/>
      <c r="M41" s="2993">
        <f t="shared" si="17"/>
        <v>1</v>
      </c>
      <c r="N41" s="3288"/>
      <c r="O41" s="2993">
        <f t="shared" si="18"/>
        <v>1</v>
      </c>
      <c r="P41" s="3288"/>
      <c r="Q41" s="2993">
        <f t="shared" si="19"/>
        <v>1</v>
      </c>
      <c r="R41" s="2736">
        <f t="shared" si="20"/>
        <v>0</v>
      </c>
      <c r="S41" s="2867">
        <f t="shared" si="11"/>
        <v>0</v>
      </c>
    </row>
    <row r="42" spans="1:19">
      <c r="A42" s="2995"/>
      <c r="B42" s="3286"/>
      <c r="C42" s="2993">
        <f t="shared" si="12"/>
        <v>1</v>
      </c>
      <c r="D42" s="3288"/>
      <c r="E42" s="2993">
        <f t="shared" si="13"/>
        <v>1</v>
      </c>
      <c r="F42" s="3288"/>
      <c r="G42" s="2993">
        <f t="shared" si="14"/>
        <v>1</v>
      </c>
      <c r="H42" s="3288"/>
      <c r="I42" s="2993">
        <f t="shared" si="15"/>
        <v>1</v>
      </c>
      <c r="J42" s="3288"/>
      <c r="K42" s="2993">
        <f t="shared" si="16"/>
        <v>1</v>
      </c>
      <c r="L42" s="3288"/>
      <c r="M42" s="2993">
        <f t="shared" si="17"/>
        <v>1</v>
      </c>
      <c r="N42" s="3288"/>
      <c r="O42" s="2993">
        <f t="shared" si="18"/>
        <v>1</v>
      </c>
      <c r="P42" s="3288"/>
      <c r="Q42" s="2993">
        <f t="shared" si="19"/>
        <v>1</v>
      </c>
      <c r="R42" s="2736">
        <f t="shared" si="20"/>
        <v>0</v>
      </c>
      <c r="S42" s="2867">
        <f t="shared" si="11"/>
        <v>0</v>
      </c>
    </row>
    <row r="43" spans="1:19">
      <c r="A43" s="2995"/>
      <c r="B43" s="3286"/>
      <c r="C43" s="2993">
        <f t="shared" si="12"/>
        <v>1</v>
      </c>
      <c r="D43" s="3288"/>
      <c r="E43" s="2993">
        <f t="shared" si="13"/>
        <v>1</v>
      </c>
      <c r="F43" s="3288"/>
      <c r="G43" s="2993">
        <f t="shared" si="14"/>
        <v>1</v>
      </c>
      <c r="H43" s="3288"/>
      <c r="I43" s="2993">
        <f t="shared" si="15"/>
        <v>1</v>
      </c>
      <c r="J43" s="3288"/>
      <c r="K43" s="2993">
        <f t="shared" si="16"/>
        <v>1</v>
      </c>
      <c r="L43" s="3288"/>
      <c r="M43" s="2993">
        <f t="shared" si="17"/>
        <v>1</v>
      </c>
      <c r="N43" s="3288"/>
      <c r="O43" s="2993">
        <f t="shared" si="18"/>
        <v>1</v>
      </c>
      <c r="P43" s="3288"/>
      <c r="Q43" s="2993">
        <f t="shared" si="19"/>
        <v>1</v>
      </c>
      <c r="R43" s="2736">
        <f t="shared" si="20"/>
        <v>0</v>
      </c>
      <c r="S43" s="2867">
        <f t="shared" si="11"/>
        <v>0</v>
      </c>
    </row>
    <row r="44" spans="1:19">
      <c r="A44" s="2995"/>
      <c r="B44" s="3286"/>
      <c r="C44" s="2993">
        <f t="shared" si="12"/>
        <v>1</v>
      </c>
      <c r="D44" s="3288"/>
      <c r="E44" s="2993">
        <f t="shared" si="13"/>
        <v>1</v>
      </c>
      <c r="F44" s="3288"/>
      <c r="G44" s="2993">
        <f t="shared" si="14"/>
        <v>1</v>
      </c>
      <c r="H44" s="3288"/>
      <c r="I44" s="2993">
        <f t="shared" si="15"/>
        <v>1</v>
      </c>
      <c r="J44" s="3288"/>
      <c r="K44" s="2993">
        <f t="shared" si="16"/>
        <v>1</v>
      </c>
      <c r="L44" s="3288"/>
      <c r="M44" s="2993">
        <f t="shared" si="17"/>
        <v>1</v>
      </c>
      <c r="N44" s="3288"/>
      <c r="O44" s="2993">
        <f t="shared" si="18"/>
        <v>1</v>
      </c>
      <c r="P44" s="3288"/>
      <c r="Q44" s="2993">
        <f t="shared" si="19"/>
        <v>1</v>
      </c>
      <c r="R44" s="2736">
        <f t="shared" si="20"/>
        <v>0</v>
      </c>
      <c r="S44" s="2867">
        <f t="shared" si="11"/>
        <v>0</v>
      </c>
    </row>
    <row r="45" spans="1:19">
      <c r="A45" s="2995"/>
      <c r="B45" s="3286"/>
      <c r="C45" s="2993">
        <f t="shared" si="12"/>
        <v>1</v>
      </c>
      <c r="D45" s="3288"/>
      <c r="E45" s="2993">
        <f t="shared" si="13"/>
        <v>1</v>
      </c>
      <c r="F45" s="3288"/>
      <c r="G45" s="2993">
        <f t="shared" si="14"/>
        <v>1</v>
      </c>
      <c r="H45" s="3288"/>
      <c r="I45" s="2993">
        <f t="shared" si="15"/>
        <v>1</v>
      </c>
      <c r="J45" s="3288"/>
      <c r="K45" s="2993">
        <f t="shared" si="16"/>
        <v>1</v>
      </c>
      <c r="L45" s="3288"/>
      <c r="M45" s="2993">
        <f t="shared" si="17"/>
        <v>1</v>
      </c>
      <c r="N45" s="3288"/>
      <c r="O45" s="2993">
        <f t="shared" si="18"/>
        <v>1</v>
      </c>
      <c r="P45" s="3288"/>
      <c r="Q45" s="2993">
        <f t="shared" si="19"/>
        <v>1</v>
      </c>
      <c r="R45" s="2736">
        <f t="shared" si="20"/>
        <v>0</v>
      </c>
      <c r="S45" s="2867">
        <f t="shared" si="11"/>
        <v>0</v>
      </c>
    </row>
    <row r="46" spans="1:19">
      <c r="A46" s="2995"/>
      <c r="B46" s="3286"/>
      <c r="C46" s="2993">
        <f t="shared" si="12"/>
        <v>1</v>
      </c>
      <c r="D46" s="3288"/>
      <c r="E46" s="2993">
        <f t="shared" si="13"/>
        <v>1</v>
      </c>
      <c r="F46" s="3288"/>
      <c r="G46" s="2993">
        <f t="shared" si="14"/>
        <v>1</v>
      </c>
      <c r="H46" s="3288"/>
      <c r="I46" s="2993">
        <f t="shared" si="15"/>
        <v>1</v>
      </c>
      <c r="J46" s="3288"/>
      <c r="K46" s="2993">
        <f t="shared" si="16"/>
        <v>1</v>
      </c>
      <c r="L46" s="3288"/>
      <c r="M46" s="2993">
        <f t="shared" si="17"/>
        <v>1</v>
      </c>
      <c r="N46" s="3288"/>
      <c r="O46" s="2993">
        <f t="shared" si="18"/>
        <v>1</v>
      </c>
      <c r="P46" s="3288"/>
      <c r="Q46" s="2993">
        <f t="shared" si="19"/>
        <v>1</v>
      </c>
      <c r="R46" s="2736">
        <f t="shared" si="20"/>
        <v>0</v>
      </c>
      <c r="S46" s="2867">
        <f t="shared" si="11"/>
        <v>0</v>
      </c>
    </row>
    <row r="47" spans="1:19">
      <c r="A47" s="2995"/>
      <c r="B47" s="3286"/>
      <c r="C47" s="2993">
        <f t="shared" si="12"/>
        <v>1</v>
      </c>
      <c r="D47" s="3288"/>
      <c r="E47" s="2993">
        <f t="shared" si="13"/>
        <v>1</v>
      </c>
      <c r="F47" s="3288"/>
      <c r="G47" s="2993">
        <f t="shared" si="14"/>
        <v>1</v>
      </c>
      <c r="H47" s="3288"/>
      <c r="I47" s="2993">
        <f t="shared" si="15"/>
        <v>1</v>
      </c>
      <c r="J47" s="3288"/>
      <c r="K47" s="2993">
        <f t="shared" si="16"/>
        <v>1</v>
      </c>
      <c r="L47" s="3288"/>
      <c r="M47" s="2993">
        <f t="shared" si="17"/>
        <v>1</v>
      </c>
      <c r="N47" s="3288"/>
      <c r="O47" s="2993">
        <f t="shared" si="18"/>
        <v>1</v>
      </c>
      <c r="P47" s="3288"/>
      <c r="Q47" s="2993">
        <f t="shared" si="19"/>
        <v>1</v>
      </c>
      <c r="R47" s="2736">
        <f t="shared" si="20"/>
        <v>0</v>
      </c>
      <c r="S47" s="2867">
        <f t="shared" si="11"/>
        <v>0</v>
      </c>
    </row>
    <row r="48" spans="1:19">
      <c r="A48" s="2995"/>
      <c r="B48" s="3286"/>
      <c r="C48" s="2993">
        <f t="shared" si="12"/>
        <v>1</v>
      </c>
      <c r="D48" s="3288"/>
      <c r="E48" s="2993">
        <f t="shared" si="13"/>
        <v>1</v>
      </c>
      <c r="F48" s="3288"/>
      <c r="G48" s="2993">
        <f t="shared" si="14"/>
        <v>1</v>
      </c>
      <c r="H48" s="3288"/>
      <c r="I48" s="2993">
        <f t="shared" si="15"/>
        <v>1</v>
      </c>
      <c r="J48" s="3288"/>
      <c r="K48" s="2993">
        <f t="shared" si="16"/>
        <v>1</v>
      </c>
      <c r="L48" s="3288"/>
      <c r="M48" s="2993">
        <f t="shared" si="17"/>
        <v>1</v>
      </c>
      <c r="N48" s="3288"/>
      <c r="O48" s="2993">
        <f t="shared" si="18"/>
        <v>1</v>
      </c>
      <c r="P48" s="3288"/>
      <c r="Q48" s="2993">
        <f t="shared" si="19"/>
        <v>1</v>
      </c>
      <c r="R48" s="2736">
        <f t="shared" si="20"/>
        <v>0</v>
      </c>
      <c r="S48" s="2867">
        <f t="shared" si="11"/>
        <v>0</v>
      </c>
    </row>
    <row r="49" spans="1:19">
      <c r="A49" s="2995"/>
      <c r="B49" s="3286"/>
      <c r="C49" s="2993">
        <f t="shared" si="12"/>
        <v>1</v>
      </c>
      <c r="D49" s="3288"/>
      <c r="E49" s="2993">
        <f t="shared" si="13"/>
        <v>1</v>
      </c>
      <c r="F49" s="3288"/>
      <c r="G49" s="2993">
        <f t="shared" si="14"/>
        <v>1</v>
      </c>
      <c r="H49" s="3288"/>
      <c r="I49" s="2993">
        <f t="shared" si="15"/>
        <v>1</v>
      </c>
      <c r="J49" s="3288"/>
      <c r="K49" s="2993">
        <f t="shared" si="16"/>
        <v>1</v>
      </c>
      <c r="L49" s="3288"/>
      <c r="M49" s="2993">
        <f t="shared" si="17"/>
        <v>1</v>
      </c>
      <c r="N49" s="3288"/>
      <c r="O49" s="2993">
        <f t="shared" si="18"/>
        <v>1</v>
      </c>
      <c r="P49" s="3288"/>
      <c r="Q49" s="2993">
        <f t="shared" si="19"/>
        <v>1</v>
      </c>
      <c r="R49" s="2736">
        <f t="shared" si="20"/>
        <v>0</v>
      </c>
      <c r="S49" s="2867">
        <f t="shared" si="11"/>
        <v>0</v>
      </c>
    </row>
    <row r="50" spans="1:19">
      <c r="A50" s="2995"/>
      <c r="B50" s="3286"/>
      <c r="C50" s="2993">
        <f t="shared" si="12"/>
        <v>1</v>
      </c>
      <c r="D50" s="3288"/>
      <c r="E50" s="2993">
        <f t="shared" si="13"/>
        <v>1</v>
      </c>
      <c r="F50" s="3288"/>
      <c r="G50" s="2993">
        <f t="shared" si="14"/>
        <v>1</v>
      </c>
      <c r="H50" s="3288"/>
      <c r="I50" s="2993">
        <f t="shared" si="15"/>
        <v>1</v>
      </c>
      <c r="J50" s="3288"/>
      <c r="K50" s="2993">
        <f t="shared" si="16"/>
        <v>1</v>
      </c>
      <c r="L50" s="3288"/>
      <c r="M50" s="2993">
        <f t="shared" si="17"/>
        <v>1</v>
      </c>
      <c r="N50" s="3288"/>
      <c r="O50" s="2993">
        <f t="shared" si="18"/>
        <v>1</v>
      </c>
      <c r="P50" s="3288"/>
      <c r="Q50" s="2993">
        <f t="shared" si="19"/>
        <v>1</v>
      </c>
      <c r="R50" s="2736">
        <f t="shared" si="20"/>
        <v>0</v>
      </c>
      <c r="S50" s="2867">
        <f t="shared" si="11"/>
        <v>0</v>
      </c>
    </row>
    <row r="51" spans="1:19">
      <c r="A51" s="2995"/>
      <c r="B51" s="3286"/>
      <c r="C51" s="2993">
        <f t="shared" si="12"/>
        <v>1</v>
      </c>
      <c r="D51" s="3288"/>
      <c r="E51" s="2993">
        <f t="shared" si="13"/>
        <v>1</v>
      </c>
      <c r="F51" s="3288"/>
      <c r="G51" s="2993">
        <f t="shared" si="14"/>
        <v>1</v>
      </c>
      <c r="H51" s="3288"/>
      <c r="I51" s="2993">
        <f t="shared" si="15"/>
        <v>1</v>
      </c>
      <c r="J51" s="3288"/>
      <c r="K51" s="2993">
        <f t="shared" si="16"/>
        <v>1</v>
      </c>
      <c r="L51" s="3288"/>
      <c r="M51" s="2993">
        <f t="shared" si="17"/>
        <v>1</v>
      </c>
      <c r="N51" s="3288"/>
      <c r="O51" s="2993">
        <f t="shared" si="18"/>
        <v>1</v>
      </c>
      <c r="P51" s="3288"/>
      <c r="Q51" s="2993">
        <f t="shared" si="19"/>
        <v>1</v>
      </c>
      <c r="R51" s="2736">
        <f t="shared" si="20"/>
        <v>0</v>
      </c>
      <c r="S51" s="2867">
        <f t="shared" si="11"/>
        <v>0</v>
      </c>
    </row>
    <row r="52" spans="1:19">
      <c r="A52" s="2995"/>
      <c r="B52" s="3286"/>
      <c r="C52" s="2993">
        <f t="shared" si="12"/>
        <v>1</v>
      </c>
      <c r="D52" s="3288"/>
      <c r="E52" s="2993">
        <f t="shared" si="13"/>
        <v>1</v>
      </c>
      <c r="F52" s="3288"/>
      <c r="G52" s="2993">
        <f t="shared" si="14"/>
        <v>1</v>
      </c>
      <c r="H52" s="3288"/>
      <c r="I52" s="2993">
        <f t="shared" si="15"/>
        <v>1</v>
      </c>
      <c r="J52" s="3288"/>
      <c r="K52" s="2993">
        <f t="shared" si="16"/>
        <v>1</v>
      </c>
      <c r="L52" s="3288"/>
      <c r="M52" s="2993">
        <f t="shared" si="17"/>
        <v>1</v>
      </c>
      <c r="N52" s="3288"/>
      <c r="O52" s="2993">
        <f t="shared" si="18"/>
        <v>1</v>
      </c>
      <c r="P52" s="3288"/>
      <c r="Q52" s="2993">
        <f t="shared" si="19"/>
        <v>1</v>
      </c>
      <c r="R52" s="2736">
        <f t="shared" si="20"/>
        <v>0</v>
      </c>
      <c r="S52" s="2867">
        <f t="shared" si="11"/>
        <v>0</v>
      </c>
    </row>
    <row r="53" spans="1:19">
      <c r="A53" s="2995"/>
      <c r="B53" s="3286"/>
      <c r="C53" s="2993">
        <f t="shared" si="12"/>
        <v>1</v>
      </c>
      <c r="D53" s="3288"/>
      <c r="E53" s="2993">
        <f t="shared" si="13"/>
        <v>1</v>
      </c>
      <c r="F53" s="3288"/>
      <c r="G53" s="2993">
        <f t="shared" si="14"/>
        <v>1</v>
      </c>
      <c r="H53" s="3288"/>
      <c r="I53" s="2993">
        <f t="shared" si="15"/>
        <v>1</v>
      </c>
      <c r="J53" s="3288"/>
      <c r="K53" s="2993">
        <f t="shared" si="16"/>
        <v>1</v>
      </c>
      <c r="L53" s="3288"/>
      <c r="M53" s="2993">
        <f t="shared" si="17"/>
        <v>1</v>
      </c>
      <c r="N53" s="3288"/>
      <c r="O53" s="2993">
        <f t="shared" si="18"/>
        <v>1</v>
      </c>
      <c r="P53" s="3288"/>
      <c r="Q53" s="2993">
        <f t="shared" si="19"/>
        <v>1</v>
      </c>
      <c r="R53" s="2736">
        <f t="shared" si="20"/>
        <v>0</v>
      </c>
      <c r="S53" s="2867">
        <f t="shared" si="11"/>
        <v>0</v>
      </c>
    </row>
    <row r="54" spans="1:19">
      <c r="A54" s="2995"/>
      <c r="B54" s="3286"/>
      <c r="C54" s="2993">
        <f t="shared" si="12"/>
        <v>1</v>
      </c>
      <c r="D54" s="3288"/>
      <c r="E54" s="2993">
        <f t="shared" si="13"/>
        <v>1</v>
      </c>
      <c r="F54" s="3288"/>
      <c r="G54" s="2993">
        <f t="shared" si="14"/>
        <v>1</v>
      </c>
      <c r="H54" s="3288"/>
      <c r="I54" s="2993">
        <f t="shared" si="15"/>
        <v>1</v>
      </c>
      <c r="J54" s="3288"/>
      <c r="K54" s="2993">
        <f t="shared" si="16"/>
        <v>1</v>
      </c>
      <c r="L54" s="3288"/>
      <c r="M54" s="2993">
        <f t="shared" si="17"/>
        <v>1</v>
      </c>
      <c r="N54" s="3288"/>
      <c r="O54" s="2993">
        <f t="shared" si="18"/>
        <v>1</v>
      </c>
      <c r="P54" s="3288"/>
      <c r="Q54" s="2993">
        <f t="shared" si="19"/>
        <v>1</v>
      </c>
      <c r="R54" s="2736">
        <f t="shared" si="20"/>
        <v>0</v>
      </c>
      <c r="S54" s="2867">
        <f t="shared" si="11"/>
        <v>0</v>
      </c>
    </row>
    <row r="55" spans="1:19">
      <c r="A55" s="2995"/>
      <c r="B55" s="3286"/>
      <c r="C55" s="2993">
        <f t="shared" si="12"/>
        <v>1</v>
      </c>
      <c r="D55" s="3288"/>
      <c r="E55" s="2993">
        <f t="shared" si="13"/>
        <v>1</v>
      </c>
      <c r="F55" s="3288"/>
      <c r="G55" s="2993">
        <f t="shared" si="14"/>
        <v>1</v>
      </c>
      <c r="H55" s="3288"/>
      <c r="I55" s="2993">
        <f t="shared" si="15"/>
        <v>1</v>
      </c>
      <c r="J55" s="3288"/>
      <c r="K55" s="2993">
        <f t="shared" si="16"/>
        <v>1</v>
      </c>
      <c r="L55" s="3288"/>
      <c r="M55" s="2993">
        <f t="shared" si="17"/>
        <v>1</v>
      </c>
      <c r="N55" s="3288"/>
      <c r="O55" s="2993">
        <f t="shared" si="18"/>
        <v>1</v>
      </c>
      <c r="P55" s="3288"/>
      <c r="Q55" s="2993">
        <f t="shared" si="19"/>
        <v>1</v>
      </c>
      <c r="R55" s="2736">
        <f t="shared" si="20"/>
        <v>0</v>
      </c>
      <c r="S55" s="2867">
        <f t="shared" ref="S55:S77" si="21">ROUND(R55*B55/10000,0)</f>
        <v>0</v>
      </c>
    </row>
    <row r="56" spans="1:19">
      <c r="A56" s="2995"/>
      <c r="B56" s="3286"/>
      <c r="C56" s="2993">
        <f t="shared" si="12"/>
        <v>1</v>
      </c>
      <c r="D56" s="3288"/>
      <c r="E56" s="2993">
        <f t="shared" si="13"/>
        <v>1</v>
      </c>
      <c r="F56" s="3288"/>
      <c r="G56" s="2993">
        <f t="shared" si="14"/>
        <v>1</v>
      </c>
      <c r="H56" s="3288"/>
      <c r="I56" s="2993">
        <f t="shared" si="15"/>
        <v>1</v>
      </c>
      <c r="J56" s="3288"/>
      <c r="K56" s="2993">
        <f t="shared" si="16"/>
        <v>1</v>
      </c>
      <c r="L56" s="3288"/>
      <c r="M56" s="2993">
        <f t="shared" si="17"/>
        <v>1</v>
      </c>
      <c r="N56" s="3288"/>
      <c r="O56" s="2993">
        <f t="shared" si="18"/>
        <v>1</v>
      </c>
      <c r="P56" s="3288"/>
      <c r="Q56" s="2993">
        <f t="shared" si="19"/>
        <v>1</v>
      </c>
      <c r="R56" s="2736">
        <f t="shared" si="20"/>
        <v>0</v>
      </c>
      <c r="S56" s="2867">
        <f t="shared" si="21"/>
        <v>0</v>
      </c>
    </row>
    <row r="57" spans="1:19">
      <c r="A57" s="2995"/>
      <c r="B57" s="3286"/>
      <c r="C57" s="2993">
        <f t="shared" si="12"/>
        <v>1</v>
      </c>
      <c r="D57" s="3288"/>
      <c r="E57" s="2993">
        <f t="shared" si="13"/>
        <v>1</v>
      </c>
      <c r="F57" s="3288"/>
      <c r="G57" s="2993">
        <f t="shared" si="14"/>
        <v>1</v>
      </c>
      <c r="H57" s="3288"/>
      <c r="I57" s="2993">
        <f t="shared" si="15"/>
        <v>1</v>
      </c>
      <c r="J57" s="3288"/>
      <c r="K57" s="2993">
        <f t="shared" si="16"/>
        <v>1</v>
      </c>
      <c r="L57" s="3288"/>
      <c r="M57" s="2993">
        <f t="shared" si="17"/>
        <v>1</v>
      </c>
      <c r="N57" s="3288"/>
      <c r="O57" s="2993">
        <f t="shared" si="18"/>
        <v>1</v>
      </c>
      <c r="P57" s="3288"/>
      <c r="Q57" s="2993">
        <f t="shared" si="19"/>
        <v>1</v>
      </c>
      <c r="R57" s="2736">
        <f t="shared" si="20"/>
        <v>0</v>
      </c>
      <c r="S57" s="2867">
        <f t="shared" si="21"/>
        <v>0</v>
      </c>
    </row>
    <row r="58" spans="1:19">
      <c r="A58" s="2995"/>
      <c r="B58" s="3286"/>
      <c r="C58" s="2993">
        <f t="shared" si="12"/>
        <v>1</v>
      </c>
      <c r="D58" s="3288"/>
      <c r="E58" s="2993">
        <f t="shared" si="13"/>
        <v>1</v>
      </c>
      <c r="F58" s="3288"/>
      <c r="G58" s="2993">
        <f t="shared" si="14"/>
        <v>1</v>
      </c>
      <c r="H58" s="3288"/>
      <c r="I58" s="2993">
        <f t="shared" si="15"/>
        <v>1</v>
      </c>
      <c r="J58" s="3288"/>
      <c r="K58" s="2993">
        <f t="shared" si="16"/>
        <v>1</v>
      </c>
      <c r="L58" s="3288"/>
      <c r="M58" s="2993">
        <f t="shared" si="17"/>
        <v>1</v>
      </c>
      <c r="N58" s="3288"/>
      <c r="O58" s="2993">
        <f t="shared" si="18"/>
        <v>1</v>
      </c>
      <c r="P58" s="3288"/>
      <c r="Q58" s="2993">
        <f t="shared" si="19"/>
        <v>1</v>
      </c>
      <c r="R58" s="2736">
        <f t="shared" si="20"/>
        <v>0</v>
      </c>
      <c r="S58" s="2867">
        <f t="shared" si="21"/>
        <v>0</v>
      </c>
    </row>
    <row r="59" spans="1:19">
      <c r="A59" s="2995"/>
      <c r="B59" s="3286"/>
      <c r="C59" s="2993">
        <f t="shared" si="12"/>
        <v>1</v>
      </c>
      <c r="D59" s="3288"/>
      <c r="E59" s="2993">
        <f t="shared" si="13"/>
        <v>1</v>
      </c>
      <c r="F59" s="3288"/>
      <c r="G59" s="2993">
        <f t="shared" si="14"/>
        <v>1</v>
      </c>
      <c r="H59" s="3288"/>
      <c r="I59" s="2993">
        <f t="shared" si="15"/>
        <v>1</v>
      </c>
      <c r="J59" s="3288"/>
      <c r="K59" s="2993">
        <f t="shared" si="16"/>
        <v>1</v>
      </c>
      <c r="L59" s="3288"/>
      <c r="M59" s="2993">
        <f t="shared" si="17"/>
        <v>1</v>
      </c>
      <c r="N59" s="3288"/>
      <c r="O59" s="2993">
        <f t="shared" si="18"/>
        <v>1</v>
      </c>
      <c r="P59" s="3288"/>
      <c r="Q59" s="2993">
        <f t="shared" si="19"/>
        <v>1</v>
      </c>
      <c r="R59" s="2736">
        <f t="shared" si="20"/>
        <v>0</v>
      </c>
      <c r="S59" s="2867">
        <f t="shared" si="21"/>
        <v>0</v>
      </c>
    </row>
    <row r="60" spans="1:19">
      <c r="A60" s="2995"/>
      <c r="B60" s="3286"/>
      <c r="C60" s="2993">
        <f t="shared" si="12"/>
        <v>1</v>
      </c>
      <c r="D60" s="3288"/>
      <c r="E60" s="2993">
        <f t="shared" si="13"/>
        <v>1</v>
      </c>
      <c r="F60" s="3288"/>
      <c r="G60" s="2993">
        <f t="shared" si="14"/>
        <v>1</v>
      </c>
      <c r="H60" s="3288"/>
      <c r="I60" s="2993">
        <f t="shared" si="15"/>
        <v>1</v>
      </c>
      <c r="J60" s="3288"/>
      <c r="K60" s="2993">
        <f t="shared" si="16"/>
        <v>1</v>
      </c>
      <c r="L60" s="3288"/>
      <c r="M60" s="2993">
        <f t="shared" si="17"/>
        <v>1</v>
      </c>
      <c r="N60" s="3288"/>
      <c r="O60" s="2993">
        <f t="shared" si="18"/>
        <v>1</v>
      </c>
      <c r="P60" s="3288"/>
      <c r="Q60" s="2993">
        <f t="shared" si="19"/>
        <v>1</v>
      </c>
      <c r="R60" s="2736">
        <f t="shared" si="20"/>
        <v>0</v>
      </c>
      <c r="S60" s="2867">
        <f t="shared" si="21"/>
        <v>0</v>
      </c>
    </row>
    <row r="61" spans="1:19">
      <c r="A61" s="2995"/>
      <c r="B61" s="3286"/>
      <c r="C61" s="2993">
        <f t="shared" si="12"/>
        <v>1</v>
      </c>
      <c r="D61" s="3288"/>
      <c r="E61" s="2993">
        <f t="shared" si="13"/>
        <v>1</v>
      </c>
      <c r="F61" s="3288"/>
      <c r="G61" s="2993">
        <f t="shared" si="14"/>
        <v>1</v>
      </c>
      <c r="H61" s="3288"/>
      <c r="I61" s="2993">
        <f t="shared" si="15"/>
        <v>1</v>
      </c>
      <c r="J61" s="3288"/>
      <c r="K61" s="2993">
        <f t="shared" si="16"/>
        <v>1</v>
      </c>
      <c r="L61" s="3288"/>
      <c r="M61" s="2993">
        <f t="shared" si="17"/>
        <v>1</v>
      </c>
      <c r="N61" s="3288"/>
      <c r="O61" s="2993">
        <f t="shared" si="18"/>
        <v>1</v>
      </c>
      <c r="P61" s="3288"/>
      <c r="Q61" s="2993">
        <f t="shared" si="19"/>
        <v>1</v>
      </c>
      <c r="R61" s="2736">
        <f t="shared" si="20"/>
        <v>0</v>
      </c>
      <c r="S61" s="2867">
        <f t="shared" si="21"/>
        <v>0</v>
      </c>
    </row>
    <row r="62" spans="1:19">
      <c r="A62" s="2995"/>
      <c r="B62" s="3286"/>
      <c r="C62" s="2993">
        <f t="shared" si="12"/>
        <v>1</v>
      </c>
      <c r="D62" s="3288"/>
      <c r="E62" s="2993">
        <f t="shared" si="13"/>
        <v>1</v>
      </c>
      <c r="F62" s="3288"/>
      <c r="G62" s="2993">
        <f t="shared" si="14"/>
        <v>1</v>
      </c>
      <c r="H62" s="3288"/>
      <c r="I62" s="2993">
        <f t="shared" si="15"/>
        <v>1</v>
      </c>
      <c r="J62" s="3288"/>
      <c r="K62" s="2993">
        <f t="shared" si="16"/>
        <v>1</v>
      </c>
      <c r="L62" s="3288"/>
      <c r="M62" s="2993">
        <f t="shared" si="17"/>
        <v>1</v>
      </c>
      <c r="N62" s="3288"/>
      <c r="O62" s="2993">
        <f t="shared" si="18"/>
        <v>1</v>
      </c>
      <c r="P62" s="3288"/>
      <c r="Q62" s="2993">
        <f t="shared" si="19"/>
        <v>1</v>
      </c>
      <c r="R62" s="2736">
        <f t="shared" si="20"/>
        <v>0</v>
      </c>
      <c r="S62" s="2867">
        <f t="shared" si="21"/>
        <v>0</v>
      </c>
    </row>
    <row r="63" spans="1:19">
      <c r="A63" s="2995"/>
      <c r="B63" s="3286"/>
      <c r="C63" s="2993">
        <f t="shared" si="12"/>
        <v>1</v>
      </c>
      <c r="D63" s="3288"/>
      <c r="E63" s="2993">
        <f t="shared" si="13"/>
        <v>1</v>
      </c>
      <c r="F63" s="3288"/>
      <c r="G63" s="2993">
        <f t="shared" si="14"/>
        <v>1</v>
      </c>
      <c r="H63" s="3288"/>
      <c r="I63" s="2993">
        <f t="shared" si="15"/>
        <v>1</v>
      </c>
      <c r="J63" s="3288"/>
      <c r="K63" s="2993">
        <f t="shared" si="16"/>
        <v>1</v>
      </c>
      <c r="L63" s="3288"/>
      <c r="M63" s="2993">
        <f t="shared" si="17"/>
        <v>1</v>
      </c>
      <c r="N63" s="3288"/>
      <c r="O63" s="2993">
        <f t="shared" si="18"/>
        <v>1</v>
      </c>
      <c r="P63" s="3288"/>
      <c r="Q63" s="2993">
        <f t="shared" si="19"/>
        <v>1</v>
      </c>
      <c r="R63" s="2736">
        <f t="shared" si="20"/>
        <v>0</v>
      </c>
      <c r="S63" s="2867">
        <f t="shared" si="21"/>
        <v>0</v>
      </c>
    </row>
    <row r="64" spans="1:19">
      <c r="A64" s="2995"/>
      <c r="B64" s="3286"/>
      <c r="C64" s="2993">
        <f t="shared" si="12"/>
        <v>1</v>
      </c>
      <c r="D64" s="3288"/>
      <c r="E64" s="2993">
        <f t="shared" si="13"/>
        <v>1</v>
      </c>
      <c r="F64" s="3288"/>
      <c r="G64" s="2993">
        <f t="shared" si="14"/>
        <v>1</v>
      </c>
      <c r="H64" s="3288"/>
      <c r="I64" s="2993">
        <f t="shared" si="15"/>
        <v>1</v>
      </c>
      <c r="J64" s="3288"/>
      <c r="K64" s="2993">
        <f t="shared" si="16"/>
        <v>1</v>
      </c>
      <c r="L64" s="3288"/>
      <c r="M64" s="2993">
        <f t="shared" si="17"/>
        <v>1</v>
      </c>
      <c r="N64" s="3288"/>
      <c r="O64" s="2993">
        <f t="shared" si="18"/>
        <v>1</v>
      </c>
      <c r="P64" s="3288"/>
      <c r="Q64" s="2993">
        <f t="shared" si="19"/>
        <v>1</v>
      </c>
      <c r="R64" s="2736">
        <f t="shared" si="20"/>
        <v>0</v>
      </c>
      <c r="S64" s="2867">
        <f t="shared" si="21"/>
        <v>0</v>
      </c>
    </row>
    <row r="65" spans="1:19">
      <c r="A65" s="2995"/>
      <c r="B65" s="3286"/>
      <c r="C65" s="2993">
        <f t="shared" si="12"/>
        <v>1</v>
      </c>
      <c r="D65" s="3288"/>
      <c r="E65" s="2993">
        <f t="shared" si="13"/>
        <v>1</v>
      </c>
      <c r="F65" s="3288"/>
      <c r="G65" s="2993">
        <f t="shared" si="14"/>
        <v>1</v>
      </c>
      <c r="H65" s="3288"/>
      <c r="I65" s="2993">
        <f t="shared" si="15"/>
        <v>1</v>
      </c>
      <c r="J65" s="3288"/>
      <c r="K65" s="2993">
        <f t="shared" si="16"/>
        <v>1</v>
      </c>
      <c r="L65" s="3288"/>
      <c r="M65" s="2993">
        <f t="shared" si="17"/>
        <v>1</v>
      </c>
      <c r="N65" s="3288"/>
      <c r="O65" s="2993">
        <f t="shared" si="18"/>
        <v>1</v>
      </c>
      <c r="P65" s="3288"/>
      <c r="Q65" s="2993">
        <f t="shared" si="19"/>
        <v>1</v>
      </c>
      <c r="R65" s="2736">
        <f t="shared" si="20"/>
        <v>0</v>
      </c>
      <c r="S65" s="2867">
        <f t="shared" si="21"/>
        <v>0</v>
      </c>
    </row>
    <row r="66" spans="1:19">
      <c r="A66" s="2995"/>
      <c r="B66" s="3286"/>
      <c r="C66" s="2993">
        <f t="shared" si="12"/>
        <v>1</v>
      </c>
      <c r="D66" s="3288"/>
      <c r="E66" s="2993">
        <f t="shared" si="13"/>
        <v>1</v>
      </c>
      <c r="F66" s="3288"/>
      <c r="G66" s="2993">
        <f t="shared" si="14"/>
        <v>1</v>
      </c>
      <c r="H66" s="3288"/>
      <c r="I66" s="2993">
        <f t="shared" si="15"/>
        <v>1</v>
      </c>
      <c r="J66" s="3288"/>
      <c r="K66" s="2993">
        <f t="shared" si="16"/>
        <v>1</v>
      </c>
      <c r="L66" s="3288"/>
      <c r="M66" s="2993">
        <f t="shared" si="17"/>
        <v>1</v>
      </c>
      <c r="N66" s="3288"/>
      <c r="O66" s="2993">
        <f t="shared" si="18"/>
        <v>1</v>
      </c>
      <c r="P66" s="3288"/>
      <c r="Q66" s="2993">
        <f t="shared" si="19"/>
        <v>1</v>
      </c>
      <c r="R66" s="2736">
        <f t="shared" si="20"/>
        <v>0</v>
      </c>
      <c r="S66" s="2867">
        <f t="shared" si="21"/>
        <v>0</v>
      </c>
    </row>
    <row r="67" spans="1:19">
      <c r="A67" s="2995"/>
      <c r="B67" s="3286"/>
      <c r="C67" s="2993">
        <f t="shared" si="12"/>
        <v>1</v>
      </c>
      <c r="D67" s="3288"/>
      <c r="E67" s="2993">
        <f t="shared" si="13"/>
        <v>1</v>
      </c>
      <c r="F67" s="3288"/>
      <c r="G67" s="2993">
        <f t="shared" si="14"/>
        <v>1</v>
      </c>
      <c r="H67" s="3288"/>
      <c r="I67" s="2993">
        <f t="shared" si="15"/>
        <v>1</v>
      </c>
      <c r="J67" s="3288"/>
      <c r="K67" s="2993">
        <f t="shared" si="16"/>
        <v>1</v>
      </c>
      <c r="L67" s="3288"/>
      <c r="M67" s="2993">
        <f t="shared" si="17"/>
        <v>1</v>
      </c>
      <c r="N67" s="3288"/>
      <c r="O67" s="2993">
        <f t="shared" si="18"/>
        <v>1</v>
      </c>
      <c r="P67" s="3288"/>
      <c r="Q67" s="2993">
        <f t="shared" si="19"/>
        <v>1</v>
      </c>
      <c r="R67" s="2736">
        <f t="shared" si="20"/>
        <v>0</v>
      </c>
      <c r="S67" s="2867">
        <f t="shared" si="21"/>
        <v>0</v>
      </c>
    </row>
    <row r="68" spans="1:19">
      <c r="A68" s="2995"/>
      <c r="B68" s="3286"/>
      <c r="C68" s="2993">
        <f t="shared" si="12"/>
        <v>1</v>
      </c>
      <c r="D68" s="3288"/>
      <c r="E68" s="2993">
        <f t="shared" si="13"/>
        <v>1</v>
      </c>
      <c r="F68" s="3288"/>
      <c r="G68" s="2993">
        <f t="shared" si="14"/>
        <v>1</v>
      </c>
      <c r="H68" s="3288"/>
      <c r="I68" s="2993">
        <f t="shared" si="15"/>
        <v>1</v>
      </c>
      <c r="J68" s="3288"/>
      <c r="K68" s="2993">
        <f t="shared" si="16"/>
        <v>1</v>
      </c>
      <c r="L68" s="3288"/>
      <c r="M68" s="2993">
        <f t="shared" si="17"/>
        <v>1</v>
      </c>
      <c r="N68" s="3288"/>
      <c r="O68" s="2993">
        <f t="shared" si="18"/>
        <v>1</v>
      </c>
      <c r="P68" s="3288"/>
      <c r="Q68" s="2993">
        <f t="shared" si="19"/>
        <v>1</v>
      </c>
      <c r="R68" s="2736">
        <f t="shared" si="20"/>
        <v>0</v>
      </c>
      <c r="S68" s="2867">
        <f t="shared" si="21"/>
        <v>0</v>
      </c>
    </row>
    <row r="69" spans="1:19">
      <c r="A69" s="2995"/>
      <c r="B69" s="3286"/>
      <c r="C69" s="2993">
        <f t="shared" si="12"/>
        <v>1</v>
      </c>
      <c r="D69" s="3288"/>
      <c r="E69" s="2993">
        <f t="shared" si="13"/>
        <v>1</v>
      </c>
      <c r="F69" s="3288"/>
      <c r="G69" s="2993">
        <f t="shared" si="14"/>
        <v>1</v>
      </c>
      <c r="H69" s="3288"/>
      <c r="I69" s="2993">
        <f t="shared" si="15"/>
        <v>1</v>
      </c>
      <c r="J69" s="3288"/>
      <c r="K69" s="2993">
        <f t="shared" si="16"/>
        <v>1</v>
      </c>
      <c r="L69" s="3288"/>
      <c r="M69" s="2993">
        <f t="shared" si="17"/>
        <v>1</v>
      </c>
      <c r="N69" s="3288"/>
      <c r="O69" s="2993">
        <f t="shared" si="18"/>
        <v>1</v>
      </c>
      <c r="P69" s="3288"/>
      <c r="Q69" s="2993">
        <f t="shared" si="19"/>
        <v>1</v>
      </c>
      <c r="R69" s="2736">
        <f t="shared" si="20"/>
        <v>0</v>
      </c>
      <c r="S69" s="2867">
        <f t="shared" si="21"/>
        <v>0</v>
      </c>
    </row>
    <row r="70" spans="1:19">
      <c r="A70" s="2995"/>
      <c r="B70" s="3286"/>
      <c r="C70" s="2993">
        <f t="shared" si="12"/>
        <v>1</v>
      </c>
      <c r="D70" s="3288"/>
      <c r="E70" s="2993">
        <f t="shared" si="13"/>
        <v>1</v>
      </c>
      <c r="F70" s="3288"/>
      <c r="G70" s="2993">
        <f t="shared" si="14"/>
        <v>1</v>
      </c>
      <c r="H70" s="3288"/>
      <c r="I70" s="2993">
        <f t="shared" si="15"/>
        <v>1</v>
      </c>
      <c r="J70" s="3288"/>
      <c r="K70" s="2993">
        <f t="shared" si="16"/>
        <v>1</v>
      </c>
      <c r="L70" s="3288"/>
      <c r="M70" s="2993">
        <f t="shared" si="17"/>
        <v>1</v>
      </c>
      <c r="N70" s="3288"/>
      <c r="O70" s="2993">
        <f t="shared" si="18"/>
        <v>1</v>
      </c>
      <c r="P70" s="3288"/>
      <c r="Q70" s="2993">
        <f t="shared" si="19"/>
        <v>1</v>
      </c>
      <c r="R70" s="2736">
        <f t="shared" si="20"/>
        <v>0</v>
      </c>
      <c r="S70" s="2867">
        <f t="shared" si="21"/>
        <v>0</v>
      </c>
    </row>
    <row r="71" spans="1:19">
      <c r="A71" s="2995"/>
      <c r="B71" s="3286"/>
      <c r="C71" s="2993">
        <f t="shared" si="12"/>
        <v>1</v>
      </c>
      <c r="D71" s="3288"/>
      <c r="E71" s="2993">
        <f t="shared" si="13"/>
        <v>1</v>
      </c>
      <c r="F71" s="3288"/>
      <c r="G71" s="2993">
        <f t="shared" si="14"/>
        <v>1</v>
      </c>
      <c r="H71" s="3288"/>
      <c r="I71" s="2993">
        <f t="shared" si="15"/>
        <v>1</v>
      </c>
      <c r="J71" s="3288"/>
      <c r="K71" s="2993">
        <f t="shared" si="16"/>
        <v>1</v>
      </c>
      <c r="L71" s="3288"/>
      <c r="M71" s="2993">
        <f t="shared" si="17"/>
        <v>1</v>
      </c>
      <c r="N71" s="3288"/>
      <c r="O71" s="2993">
        <f t="shared" si="18"/>
        <v>1</v>
      </c>
      <c r="P71" s="3288"/>
      <c r="Q71" s="2993">
        <f t="shared" si="19"/>
        <v>1</v>
      </c>
      <c r="R71" s="2736">
        <f t="shared" si="20"/>
        <v>0</v>
      </c>
      <c r="S71" s="2867">
        <f t="shared" si="21"/>
        <v>0</v>
      </c>
    </row>
    <row r="72" spans="1:19">
      <c r="A72" s="2995"/>
      <c r="B72" s="3286"/>
      <c r="C72" s="2993">
        <f t="shared" si="12"/>
        <v>1</v>
      </c>
      <c r="D72" s="3288"/>
      <c r="E72" s="2993">
        <f t="shared" si="13"/>
        <v>1</v>
      </c>
      <c r="F72" s="3288"/>
      <c r="G72" s="2993">
        <f t="shared" si="14"/>
        <v>1</v>
      </c>
      <c r="H72" s="3288"/>
      <c r="I72" s="2993">
        <f t="shared" si="15"/>
        <v>1</v>
      </c>
      <c r="J72" s="3288"/>
      <c r="K72" s="2993">
        <f t="shared" si="16"/>
        <v>1</v>
      </c>
      <c r="L72" s="3288"/>
      <c r="M72" s="2993">
        <f t="shared" si="17"/>
        <v>1</v>
      </c>
      <c r="N72" s="3288"/>
      <c r="O72" s="2993">
        <f t="shared" si="18"/>
        <v>1</v>
      </c>
      <c r="P72" s="3288"/>
      <c r="Q72" s="2993">
        <f t="shared" si="19"/>
        <v>1</v>
      </c>
      <c r="R72" s="2736">
        <f t="shared" si="20"/>
        <v>0</v>
      </c>
      <c r="S72" s="2867">
        <f t="shared" si="21"/>
        <v>0</v>
      </c>
    </row>
    <row r="73" spans="1:19">
      <c r="A73" s="2995"/>
      <c r="B73" s="3286"/>
      <c r="C73" s="2993">
        <f t="shared" si="12"/>
        <v>1</v>
      </c>
      <c r="D73" s="3288"/>
      <c r="E73" s="2993">
        <f t="shared" si="13"/>
        <v>1</v>
      </c>
      <c r="F73" s="3288"/>
      <c r="G73" s="2993">
        <f t="shared" si="14"/>
        <v>1</v>
      </c>
      <c r="H73" s="3288"/>
      <c r="I73" s="2993">
        <f t="shared" si="15"/>
        <v>1</v>
      </c>
      <c r="J73" s="3288"/>
      <c r="K73" s="2993">
        <f t="shared" si="16"/>
        <v>1</v>
      </c>
      <c r="L73" s="3288"/>
      <c r="M73" s="2993">
        <f t="shared" si="17"/>
        <v>1</v>
      </c>
      <c r="N73" s="3288"/>
      <c r="O73" s="2993">
        <f t="shared" si="18"/>
        <v>1</v>
      </c>
      <c r="P73" s="3288"/>
      <c r="Q73" s="2993">
        <f t="shared" si="19"/>
        <v>1</v>
      </c>
      <c r="R73" s="2736">
        <f t="shared" si="20"/>
        <v>0</v>
      </c>
      <c r="S73" s="2867">
        <f t="shared" si="21"/>
        <v>0</v>
      </c>
    </row>
    <row r="74" spans="1:19">
      <c r="A74" s="2995"/>
      <c r="B74" s="3286"/>
      <c r="C74" s="2993">
        <f t="shared" si="12"/>
        <v>1</v>
      </c>
      <c r="D74" s="3288"/>
      <c r="E74" s="2993">
        <f t="shared" si="13"/>
        <v>1</v>
      </c>
      <c r="F74" s="3288"/>
      <c r="G74" s="2993">
        <f t="shared" si="14"/>
        <v>1</v>
      </c>
      <c r="H74" s="3288"/>
      <c r="I74" s="2993">
        <f t="shared" si="15"/>
        <v>1</v>
      </c>
      <c r="J74" s="3288"/>
      <c r="K74" s="2993">
        <f t="shared" si="16"/>
        <v>1</v>
      </c>
      <c r="L74" s="3288"/>
      <c r="M74" s="2993">
        <f t="shared" si="17"/>
        <v>1</v>
      </c>
      <c r="N74" s="3288"/>
      <c r="O74" s="2993">
        <f t="shared" si="18"/>
        <v>1</v>
      </c>
      <c r="P74" s="3288"/>
      <c r="Q74" s="2993">
        <f t="shared" si="19"/>
        <v>1</v>
      </c>
      <c r="R74" s="2736">
        <f t="shared" si="20"/>
        <v>0</v>
      </c>
      <c r="S74" s="2867">
        <f t="shared" si="21"/>
        <v>0</v>
      </c>
    </row>
    <row r="75" spans="1:19">
      <c r="A75" s="2995"/>
      <c r="B75" s="3286"/>
      <c r="C75" s="2993">
        <f t="shared" si="12"/>
        <v>1</v>
      </c>
      <c r="D75" s="3288"/>
      <c r="E75" s="2993">
        <f t="shared" si="13"/>
        <v>1</v>
      </c>
      <c r="F75" s="3288"/>
      <c r="G75" s="2993">
        <f t="shared" si="14"/>
        <v>1</v>
      </c>
      <c r="H75" s="3288"/>
      <c r="I75" s="2993">
        <f t="shared" si="15"/>
        <v>1</v>
      </c>
      <c r="J75" s="3288"/>
      <c r="K75" s="2993">
        <f t="shared" si="16"/>
        <v>1</v>
      </c>
      <c r="L75" s="3288"/>
      <c r="M75" s="2993">
        <f t="shared" si="17"/>
        <v>1</v>
      </c>
      <c r="N75" s="3288"/>
      <c r="O75" s="2993">
        <f t="shared" si="18"/>
        <v>1</v>
      </c>
      <c r="P75" s="3288"/>
      <c r="Q75" s="2993">
        <f t="shared" si="19"/>
        <v>1</v>
      </c>
      <c r="R75" s="2736">
        <f t="shared" si="20"/>
        <v>0</v>
      </c>
      <c r="S75" s="2867">
        <f t="shared" si="21"/>
        <v>0</v>
      </c>
    </row>
    <row r="76" spans="1:19">
      <c r="A76" s="2995"/>
      <c r="B76" s="3286"/>
      <c r="C76" s="2993">
        <f t="shared" si="12"/>
        <v>1</v>
      </c>
      <c r="D76" s="3288"/>
      <c r="E76" s="2993">
        <f t="shared" si="13"/>
        <v>1</v>
      </c>
      <c r="F76" s="3288"/>
      <c r="G76" s="2993">
        <f t="shared" si="14"/>
        <v>1</v>
      </c>
      <c r="H76" s="3288"/>
      <c r="I76" s="2993">
        <f t="shared" si="15"/>
        <v>1</v>
      </c>
      <c r="J76" s="3288"/>
      <c r="K76" s="2993">
        <f t="shared" si="16"/>
        <v>1</v>
      </c>
      <c r="L76" s="3288"/>
      <c r="M76" s="2993">
        <f t="shared" si="17"/>
        <v>1</v>
      </c>
      <c r="N76" s="3288"/>
      <c r="O76" s="2993">
        <f t="shared" si="18"/>
        <v>1</v>
      </c>
      <c r="P76" s="3288"/>
      <c r="Q76" s="2993">
        <f t="shared" si="19"/>
        <v>1</v>
      </c>
      <c r="R76" s="2736">
        <f t="shared" si="20"/>
        <v>0</v>
      </c>
      <c r="S76" s="2867">
        <f t="shared" si="21"/>
        <v>0</v>
      </c>
    </row>
    <row r="77" spans="1:19">
      <c r="A77" s="2995"/>
      <c r="B77" s="3286"/>
      <c r="C77" s="2993">
        <f t="shared" si="12"/>
        <v>1</v>
      </c>
      <c r="D77" s="3288"/>
      <c r="E77" s="2993">
        <f t="shared" si="13"/>
        <v>1</v>
      </c>
      <c r="F77" s="3288"/>
      <c r="G77" s="2993">
        <f t="shared" si="14"/>
        <v>1</v>
      </c>
      <c r="H77" s="3288"/>
      <c r="I77" s="2993">
        <f t="shared" si="15"/>
        <v>1</v>
      </c>
      <c r="J77" s="3288"/>
      <c r="K77" s="2993">
        <f t="shared" si="16"/>
        <v>1</v>
      </c>
      <c r="L77" s="3288"/>
      <c r="M77" s="2993">
        <f t="shared" si="17"/>
        <v>1</v>
      </c>
      <c r="N77" s="3288"/>
      <c r="O77" s="2993">
        <f t="shared" si="18"/>
        <v>1</v>
      </c>
      <c r="P77" s="3288"/>
      <c r="Q77" s="2993">
        <f t="shared" si="19"/>
        <v>1</v>
      </c>
      <c r="R77" s="2736">
        <f t="shared" si="20"/>
        <v>0</v>
      </c>
      <c r="S77" s="2867">
        <f t="shared" si="21"/>
        <v>0</v>
      </c>
    </row>
    <row r="78" spans="1:19">
      <c r="A78" s="2995"/>
      <c r="B78" s="3286"/>
      <c r="C78" s="2993">
        <f t="shared" si="12"/>
        <v>1</v>
      </c>
      <c r="D78" s="3288"/>
      <c r="E78" s="2993">
        <f t="shared" si="13"/>
        <v>1</v>
      </c>
      <c r="F78" s="3288"/>
      <c r="G78" s="2993">
        <f t="shared" si="14"/>
        <v>1</v>
      </c>
      <c r="H78" s="3288"/>
      <c r="I78" s="2993">
        <f t="shared" si="15"/>
        <v>1</v>
      </c>
      <c r="J78" s="3288"/>
      <c r="K78" s="2993">
        <f t="shared" si="16"/>
        <v>1</v>
      </c>
      <c r="L78" s="3288"/>
      <c r="M78" s="2993">
        <f t="shared" si="17"/>
        <v>1</v>
      </c>
      <c r="N78" s="3288"/>
      <c r="O78" s="2993">
        <f t="shared" si="18"/>
        <v>1</v>
      </c>
      <c r="P78" s="3288"/>
      <c r="Q78" s="2993">
        <f t="shared" si="19"/>
        <v>1</v>
      </c>
      <c r="R78" s="2736">
        <f t="shared" si="20"/>
        <v>0</v>
      </c>
      <c r="S78" s="2867">
        <f t="shared" ref="S78:S122" si="22">ROUND(R78*B78/10000,0)</f>
        <v>0</v>
      </c>
    </row>
    <row r="79" spans="1:19">
      <c r="A79" s="2995"/>
      <c r="B79" s="3286"/>
      <c r="C79" s="2993">
        <f t="shared" si="12"/>
        <v>1</v>
      </c>
      <c r="D79" s="3288"/>
      <c r="E79" s="2993">
        <f t="shared" si="13"/>
        <v>1</v>
      </c>
      <c r="F79" s="3288"/>
      <c r="G79" s="2993">
        <f t="shared" si="14"/>
        <v>1</v>
      </c>
      <c r="H79" s="3288"/>
      <c r="I79" s="2993">
        <f t="shared" si="15"/>
        <v>1</v>
      </c>
      <c r="J79" s="3288"/>
      <c r="K79" s="2993">
        <f t="shared" si="16"/>
        <v>1</v>
      </c>
      <c r="L79" s="3288"/>
      <c r="M79" s="2993">
        <f t="shared" si="17"/>
        <v>1</v>
      </c>
      <c r="N79" s="3288"/>
      <c r="O79" s="2993">
        <f t="shared" si="18"/>
        <v>1</v>
      </c>
      <c r="P79" s="3288"/>
      <c r="Q79" s="2993">
        <f t="shared" si="19"/>
        <v>1</v>
      </c>
      <c r="R79" s="2736">
        <f t="shared" si="20"/>
        <v>0</v>
      </c>
      <c r="S79" s="2867">
        <f t="shared" si="22"/>
        <v>0</v>
      </c>
    </row>
    <row r="80" spans="1:19">
      <c r="A80" s="2995"/>
      <c r="B80" s="3286"/>
      <c r="C80" s="2993">
        <f t="shared" si="12"/>
        <v>1</v>
      </c>
      <c r="D80" s="3288"/>
      <c r="E80" s="2993">
        <f t="shared" si="13"/>
        <v>1</v>
      </c>
      <c r="F80" s="3288"/>
      <c r="G80" s="2993">
        <f t="shared" si="14"/>
        <v>1</v>
      </c>
      <c r="H80" s="3288"/>
      <c r="I80" s="2993">
        <f t="shared" si="15"/>
        <v>1</v>
      </c>
      <c r="J80" s="3288"/>
      <c r="K80" s="2993">
        <f t="shared" si="16"/>
        <v>1</v>
      </c>
      <c r="L80" s="3288"/>
      <c r="M80" s="2993">
        <f t="shared" si="17"/>
        <v>1</v>
      </c>
      <c r="N80" s="3288"/>
      <c r="O80" s="2993">
        <f t="shared" si="18"/>
        <v>1</v>
      </c>
      <c r="P80" s="3288"/>
      <c r="Q80" s="2993">
        <f t="shared" si="19"/>
        <v>1</v>
      </c>
      <c r="R80" s="2736">
        <f t="shared" si="20"/>
        <v>0</v>
      </c>
      <c r="S80" s="2867">
        <f t="shared" si="22"/>
        <v>0</v>
      </c>
    </row>
    <row r="81" spans="1:19">
      <c r="A81" s="2995"/>
      <c r="B81" s="3286"/>
      <c r="C81" s="2993">
        <f t="shared" si="12"/>
        <v>1</v>
      </c>
      <c r="D81" s="3288"/>
      <c r="E81" s="2993">
        <f t="shared" si="13"/>
        <v>1</v>
      </c>
      <c r="F81" s="3288"/>
      <c r="G81" s="2993">
        <f t="shared" si="14"/>
        <v>1</v>
      </c>
      <c r="H81" s="3288"/>
      <c r="I81" s="2993">
        <f t="shared" si="15"/>
        <v>1</v>
      </c>
      <c r="J81" s="3288"/>
      <c r="K81" s="2993">
        <f t="shared" si="16"/>
        <v>1</v>
      </c>
      <c r="L81" s="3288"/>
      <c r="M81" s="2993">
        <f t="shared" si="17"/>
        <v>1</v>
      </c>
      <c r="N81" s="3288"/>
      <c r="O81" s="2993">
        <f t="shared" si="18"/>
        <v>1</v>
      </c>
      <c r="P81" s="3288"/>
      <c r="Q81" s="2993">
        <f t="shared" si="19"/>
        <v>1</v>
      </c>
      <c r="R81" s="2736">
        <f t="shared" si="20"/>
        <v>0</v>
      </c>
      <c r="S81" s="2867">
        <f t="shared" si="22"/>
        <v>0</v>
      </c>
    </row>
    <row r="82" spans="1:19">
      <c r="A82" s="2995"/>
      <c r="B82" s="3286"/>
      <c r="C82" s="2993">
        <f t="shared" si="12"/>
        <v>1</v>
      </c>
      <c r="D82" s="3288"/>
      <c r="E82" s="2993">
        <f t="shared" si="13"/>
        <v>1</v>
      </c>
      <c r="F82" s="3288"/>
      <c r="G82" s="2993">
        <f t="shared" si="14"/>
        <v>1</v>
      </c>
      <c r="H82" s="3288"/>
      <c r="I82" s="2993">
        <f t="shared" si="15"/>
        <v>1</v>
      </c>
      <c r="J82" s="3288"/>
      <c r="K82" s="2993">
        <f t="shared" si="16"/>
        <v>1</v>
      </c>
      <c r="L82" s="3288"/>
      <c r="M82" s="2993">
        <f t="shared" si="17"/>
        <v>1</v>
      </c>
      <c r="N82" s="3288"/>
      <c r="O82" s="2993">
        <f t="shared" si="18"/>
        <v>1</v>
      </c>
      <c r="P82" s="3288"/>
      <c r="Q82" s="2993">
        <f t="shared" si="19"/>
        <v>1</v>
      </c>
      <c r="R82" s="2736">
        <f t="shared" si="20"/>
        <v>0</v>
      </c>
      <c r="S82" s="2867">
        <f t="shared" si="22"/>
        <v>0</v>
      </c>
    </row>
    <row r="83" spans="1:19">
      <c r="A83" s="2995"/>
      <c r="B83" s="3286"/>
      <c r="C83" s="2993">
        <f t="shared" si="12"/>
        <v>1</v>
      </c>
      <c r="D83" s="3288"/>
      <c r="E83" s="2993">
        <f t="shared" si="13"/>
        <v>1</v>
      </c>
      <c r="F83" s="3288"/>
      <c r="G83" s="2993">
        <f t="shared" si="14"/>
        <v>1</v>
      </c>
      <c r="H83" s="3288"/>
      <c r="I83" s="2993">
        <f t="shared" si="15"/>
        <v>1</v>
      </c>
      <c r="J83" s="3288"/>
      <c r="K83" s="2993">
        <f t="shared" si="16"/>
        <v>1</v>
      </c>
      <c r="L83" s="3288"/>
      <c r="M83" s="2993">
        <f t="shared" si="17"/>
        <v>1</v>
      </c>
      <c r="N83" s="3288"/>
      <c r="O83" s="2993">
        <f t="shared" si="18"/>
        <v>1</v>
      </c>
      <c r="P83" s="3288"/>
      <c r="Q83" s="2993">
        <f t="shared" si="19"/>
        <v>1</v>
      </c>
      <c r="R83" s="2736">
        <f t="shared" si="20"/>
        <v>0</v>
      </c>
      <c r="S83" s="2867">
        <f t="shared" si="22"/>
        <v>0</v>
      </c>
    </row>
    <row r="84" spans="1:19">
      <c r="A84" s="2995"/>
      <c r="B84" s="3286"/>
      <c r="C84" s="2993">
        <f t="shared" si="12"/>
        <v>1</v>
      </c>
      <c r="D84" s="3288"/>
      <c r="E84" s="2993">
        <f t="shared" si="13"/>
        <v>1</v>
      </c>
      <c r="F84" s="3288"/>
      <c r="G84" s="2993">
        <f t="shared" si="14"/>
        <v>1</v>
      </c>
      <c r="H84" s="3288"/>
      <c r="I84" s="2993">
        <f t="shared" si="15"/>
        <v>1</v>
      </c>
      <c r="J84" s="3288"/>
      <c r="K84" s="2993">
        <f t="shared" si="16"/>
        <v>1</v>
      </c>
      <c r="L84" s="3288"/>
      <c r="M84" s="2993">
        <f t="shared" si="17"/>
        <v>1</v>
      </c>
      <c r="N84" s="3288"/>
      <c r="O84" s="2993">
        <f t="shared" si="18"/>
        <v>1</v>
      </c>
      <c r="P84" s="3288"/>
      <c r="Q84" s="2993">
        <f t="shared" si="19"/>
        <v>1</v>
      </c>
      <c r="R84" s="2736">
        <f t="shared" si="20"/>
        <v>0</v>
      </c>
      <c r="S84" s="2867">
        <f t="shared" si="22"/>
        <v>0</v>
      </c>
    </row>
    <row r="85" spans="1:19">
      <c r="A85" s="2995"/>
      <c r="B85" s="3286"/>
      <c r="C85" s="2993">
        <f t="shared" si="12"/>
        <v>1</v>
      </c>
      <c r="D85" s="3288"/>
      <c r="E85" s="2993">
        <f t="shared" si="13"/>
        <v>1</v>
      </c>
      <c r="F85" s="3288"/>
      <c r="G85" s="2993">
        <f t="shared" si="14"/>
        <v>1</v>
      </c>
      <c r="H85" s="3288"/>
      <c r="I85" s="2993">
        <f t="shared" si="15"/>
        <v>1</v>
      </c>
      <c r="J85" s="3288"/>
      <c r="K85" s="2993">
        <f t="shared" si="16"/>
        <v>1</v>
      </c>
      <c r="L85" s="3288"/>
      <c r="M85" s="2993">
        <f t="shared" si="17"/>
        <v>1</v>
      </c>
      <c r="N85" s="3288"/>
      <c r="O85" s="2993">
        <f t="shared" si="18"/>
        <v>1</v>
      </c>
      <c r="P85" s="3288"/>
      <c r="Q85" s="2993">
        <f t="shared" si="19"/>
        <v>1</v>
      </c>
      <c r="R85" s="2736">
        <f t="shared" si="20"/>
        <v>0</v>
      </c>
      <c r="S85" s="2867">
        <f t="shared" si="22"/>
        <v>0</v>
      </c>
    </row>
    <row r="86" spans="1:19">
      <c r="A86" s="2995"/>
      <c r="B86" s="3286"/>
      <c r="C86" s="2993">
        <f t="shared" si="12"/>
        <v>1</v>
      </c>
      <c r="D86" s="3288"/>
      <c r="E86" s="2993">
        <f t="shared" si="13"/>
        <v>1</v>
      </c>
      <c r="F86" s="3288"/>
      <c r="G86" s="2993">
        <f t="shared" si="14"/>
        <v>1</v>
      </c>
      <c r="H86" s="3288"/>
      <c r="I86" s="2993">
        <f t="shared" si="15"/>
        <v>1</v>
      </c>
      <c r="J86" s="3288"/>
      <c r="K86" s="2993">
        <f t="shared" si="16"/>
        <v>1</v>
      </c>
      <c r="L86" s="3288"/>
      <c r="M86" s="2993">
        <f t="shared" si="17"/>
        <v>1</v>
      </c>
      <c r="N86" s="3288"/>
      <c r="O86" s="2993">
        <f t="shared" si="18"/>
        <v>1</v>
      </c>
      <c r="P86" s="3288"/>
      <c r="Q86" s="2993">
        <f t="shared" si="19"/>
        <v>1</v>
      </c>
      <c r="R86" s="2736">
        <f t="shared" si="20"/>
        <v>0</v>
      </c>
      <c r="S86" s="2867">
        <f t="shared" si="22"/>
        <v>0</v>
      </c>
    </row>
    <row r="87" spans="1:19">
      <c r="A87" s="2995"/>
      <c r="B87" s="3286"/>
      <c r="C87" s="2993">
        <f t="shared" si="12"/>
        <v>1</v>
      </c>
      <c r="D87" s="3288"/>
      <c r="E87" s="2993">
        <f t="shared" si="13"/>
        <v>1</v>
      </c>
      <c r="F87" s="3288"/>
      <c r="G87" s="2993">
        <f t="shared" si="14"/>
        <v>1</v>
      </c>
      <c r="H87" s="3288"/>
      <c r="I87" s="2993">
        <f t="shared" si="15"/>
        <v>1</v>
      </c>
      <c r="J87" s="3288"/>
      <c r="K87" s="2993">
        <f t="shared" si="16"/>
        <v>1</v>
      </c>
      <c r="L87" s="3288"/>
      <c r="M87" s="2993">
        <f t="shared" si="17"/>
        <v>1</v>
      </c>
      <c r="N87" s="3288"/>
      <c r="O87" s="2993">
        <f t="shared" si="18"/>
        <v>1</v>
      </c>
      <c r="P87" s="3288"/>
      <c r="Q87" s="2993">
        <f t="shared" si="19"/>
        <v>1</v>
      </c>
      <c r="R87" s="2736">
        <f t="shared" si="20"/>
        <v>0</v>
      </c>
      <c r="S87" s="2867">
        <f t="shared" si="22"/>
        <v>0</v>
      </c>
    </row>
    <row r="88" spans="1:19">
      <c r="A88" s="2995"/>
      <c r="B88" s="3286"/>
      <c r="C88" s="2993">
        <f t="shared" si="12"/>
        <v>1</v>
      </c>
      <c r="D88" s="3288"/>
      <c r="E88" s="2993">
        <f t="shared" si="13"/>
        <v>1</v>
      </c>
      <c r="F88" s="3288"/>
      <c r="G88" s="2993">
        <f t="shared" si="14"/>
        <v>1</v>
      </c>
      <c r="H88" s="3288"/>
      <c r="I88" s="2993">
        <f t="shared" si="15"/>
        <v>1</v>
      </c>
      <c r="J88" s="3288"/>
      <c r="K88" s="2993">
        <f t="shared" si="16"/>
        <v>1</v>
      </c>
      <c r="L88" s="3288"/>
      <c r="M88" s="2993">
        <f t="shared" si="17"/>
        <v>1</v>
      </c>
      <c r="N88" s="3288"/>
      <c r="O88" s="2993">
        <f t="shared" si="18"/>
        <v>1</v>
      </c>
      <c r="P88" s="3288"/>
      <c r="Q88" s="2993">
        <f t="shared" si="19"/>
        <v>1</v>
      </c>
      <c r="R88" s="2736">
        <f t="shared" si="20"/>
        <v>0</v>
      </c>
      <c r="S88" s="2867">
        <f t="shared" si="22"/>
        <v>0</v>
      </c>
    </row>
    <row r="89" spans="1:19">
      <c r="A89" s="2995"/>
      <c r="B89" s="3286"/>
      <c r="C89" s="2993">
        <f t="shared" si="12"/>
        <v>1</v>
      </c>
      <c r="D89" s="3288"/>
      <c r="E89" s="2993">
        <f t="shared" si="13"/>
        <v>1</v>
      </c>
      <c r="F89" s="3288"/>
      <c r="G89" s="2993">
        <f t="shared" si="14"/>
        <v>1</v>
      </c>
      <c r="H89" s="3288"/>
      <c r="I89" s="2993">
        <f t="shared" si="15"/>
        <v>1</v>
      </c>
      <c r="J89" s="3288"/>
      <c r="K89" s="2993">
        <f t="shared" si="16"/>
        <v>1</v>
      </c>
      <c r="L89" s="3288"/>
      <c r="M89" s="2993">
        <f t="shared" si="17"/>
        <v>1</v>
      </c>
      <c r="N89" s="3288"/>
      <c r="O89" s="2993">
        <f t="shared" si="18"/>
        <v>1</v>
      </c>
      <c r="P89" s="3288"/>
      <c r="Q89" s="2993">
        <f t="shared" si="19"/>
        <v>1</v>
      </c>
      <c r="R89" s="2736">
        <f t="shared" si="20"/>
        <v>0</v>
      </c>
      <c r="S89" s="2867">
        <f t="shared" si="22"/>
        <v>0</v>
      </c>
    </row>
    <row r="90" spans="1:19">
      <c r="A90" s="2995"/>
      <c r="B90" s="3286"/>
      <c r="C90" s="2993">
        <f t="shared" ref="C90:C153" si="23">IF(B90="",1,(LOOKUP(B90,$3:$3,$4:$4)-LOOKUP($B$24,$3:$3,$4:$4)+100)/100)</f>
        <v>1</v>
      </c>
      <c r="D90" s="3288"/>
      <c r="E90" s="2993">
        <f t="shared" ref="E90:E153" si="24">(SUMIF($5:$5,D90,$6:$6)-SUMIF($5:$5,$D$24,$6:$6)+100)/100</f>
        <v>1</v>
      </c>
      <c r="F90" s="3288"/>
      <c r="G90" s="2993">
        <f t="shared" ref="G90:G153" si="25">(SUMIF($7:$7,F90,$8:$8)-SUMIF($7:$7,$F$24,$8:$8)+100)/100</f>
        <v>1</v>
      </c>
      <c r="H90" s="3288"/>
      <c r="I90" s="2993">
        <f t="shared" ref="I90:I153" si="26">(SUMIF($9:$9,H90,$10:$10)-SUMIF($9:$9,$H$24,$10:$10)+100)/100</f>
        <v>1</v>
      </c>
      <c r="J90" s="3288"/>
      <c r="K90" s="2993">
        <f t="shared" ref="K90:K153" si="27">(SUMIF($11:$11,J90,$12:$12)-SUMIF($11:$11,$J$24,$12:$12)+100)/100</f>
        <v>1</v>
      </c>
      <c r="L90" s="3288"/>
      <c r="M90" s="2993">
        <f t="shared" ref="M90:M153" si="28">(SUMIF($13:$13,L90,$14:$14)-SUMIF($13:$13,$L$24,$14:$14)+100)/100</f>
        <v>1</v>
      </c>
      <c r="N90" s="3288"/>
      <c r="O90" s="2993">
        <f t="shared" ref="O90:O153" si="29">(SUMIF($15:$15,N90,$16:$16)-SUMIF($15:$15,$N$24,$16:$16)+100)/100</f>
        <v>1</v>
      </c>
      <c r="P90" s="3288"/>
      <c r="Q90" s="2993">
        <f t="shared" ref="Q90:Q153" si="30">(SUMIF($17:$17,P90,$18:$18)-SUMIF($17:$17,$P$24,$18:$18)+100)/100</f>
        <v>1</v>
      </c>
      <c r="R90" s="2736">
        <f t="shared" ref="R90:R153" si="31">IF(B90="",0,ROUND($R$24*C90*E90*G90*I90*K90*M90*O90*Q90,0))</f>
        <v>0</v>
      </c>
      <c r="S90" s="2867">
        <f t="shared" si="22"/>
        <v>0</v>
      </c>
    </row>
    <row r="91" spans="1:19">
      <c r="A91" s="2995"/>
      <c r="B91" s="3286"/>
      <c r="C91" s="2993">
        <f t="shared" si="23"/>
        <v>1</v>
      </c>
      <c r="D91" s="3288"/>
      <c r="E91" s="2993">
        <f t="shared" si="24"/>
        <v>1</v>
      </c>
      <c r="F91" s="3288"/>
      <c r="G91" s="2993">
        <f t="shared" si="25"/>
        <v>1</v>
      </c>
      <c r="H91" s="3288"/>
      <c r="I91" s="2993">
        <f t="shared" si="26"/>
        <v>1</v>
      </c>
      <c r="J91" s="3288"/>
      <c r="K91" s="2993">
        <f t="shared" si="27"/>
        <v>1</v>
      </c>
      <c r="L91" s="3288"/>
      <c r="M91" s="2993">
        <f t="shared" si="28"/>
        <v>1</v>
      </c>
      <c r="N91" s="3288"/>
      <c r="O91" s="2993">
        <f t="shared" si="29"/>
        <v>1</v>
      </c>
      <c r="P91" s="3288"/>
      <c r="Q91" s="2993">
        <f t="shared" si="30"/>
        <v>1</v>
      </c>
      <c r="R91" s="2736">
        <f t="shared" si="31"/>
        <v>0</v>
      </c>
      <c r="S91" s="2867">
        <f t="shared" si="22"/>
        <v>0</v>
      </c>
    </row>
    <row r="92" spans="1:19">
      <c r="A92" s="2995"/>
      <c r="B92" s="3286"/>
      <c r="C92" s="2993">
        <f t="shared" si="23"/>
        <v>1</v>
      </c>
      <c r="D92" s="3288"/>
      <c r="E92" s="2993">
        <f t="shared" si="24"/>
        <v>1</v>
      </c>
      <c r="F92" s="3288"/>
      <c r="G92" s="2993">
        <f t="shared" si="25"/>
        <v>1</v>
      </c>
      <c r="H92" s="3288"/>
      <c r="I92" s="2993">
        <f t="shared" si="26"/>
        <v>1</v>
      </c>
      <c r="J92" s="3288"/>
      <c r="K92" s="2993">
        <f t="shared" si="27"/>
        <v>1</v>
      </c>
      <c r="L92" s="3288"/>
      <c r="M92" s="2993">
        <f t="shared" si="28"/>
        <v>1</v>
      </c>
      <c r="N92" s="3288"/>
      <c r="O92" s="2993">
        <f t="shared" si="29"/>
        <v>1</v>
      </c>
      <c r="P92" s="3288"/>
      <c r="Q92" s="2993">
        <f t="shared" si="30"/>
        <v>1</v>
      </c>
      <c r="R92" s="2736">
        <f t="shared" si="31"/>
        <v>0</v>
      </c>
      <c r="S92" s="2867">
        <f t="shared" si="22"/>
        <v>0</v>
      </c>
    </row>
    <row r="93" spans="1:19">
      <c r="A93" s="2995"/>
      <c r="B93" s="3286"/>
      <c r="C93" s="2993">
        <f t="shared" si="23"/>
        <v>1</v>
      </c>
      <c r="D93" s="3288"/>
      <c r="E93" s="2993">
        <f t="shared" si="24"/>
        <v>1</v>
      </c>
      <c r="F93" s="3288"/>
      <c r="G93" s="2993">
        <f t="shared" si="25"/>
        <v>1</v>
      </c>
      <c r="H93" s="3288"/>
      <c r="I93" s="2993">
        <f t="shared" si="26"/>
        <v>1</v>
      </c>
      <c r="J93" s="3288"/>
      <c r="K93" s="2993">
        <f t="shared" si="27"/>
        <v>1</v>
      </c>
      <c r="L93" s="3288"/>
      <c r="M93" s="2993">
        <f t="shared" si="28"/>
        <v>1</v>
      </c>
      <c r="N93" s="3288"/>
      <c r="O93" s="2993">
        <f t="shared" si="29"/>
        <v>1</v>
      </c>
      <c r="P93" s="3288"/>
      <c r="Q93" s="2993">
        <f t="shared" si="30"/>
        <v>1</v>
      </c>
      <c r="R93" s="2736">
        <f t="shared" si="31"/>
        <v>0</v>
      </c>
      <c r="S93" s="2867">
        <f t="shared" si="22"/>
        <v>0</v>
      </c>
    </row>
    <row r="94" spans="1:19">
      <c r="A94" s="2995"/>
      <c r="B94" s="3286"/>
      <c r="C94" s="2993">
        <f t="shared" si="23"/>
        <v>1</v>
      </c>
      <c r="D94" s="3288"/>
      <c r="E94" s="2993">
        <f t="shared" si="24"/>
        <v>1</v>
      </c>
      <c r="F94" s="3288"/>
      <c r="G94" s="2993">
        <f t="shared" si="25"/>
        <v>1</v>
      </c>
      <c r="H94" s="3288"/>
      <c r="I94" s="2993">
        <f t="shared" si="26"/>
        <v>1</v>
      </c>
      <c r="J94" s="3288"/>
      <c r="K94" s="2993">
        <f t="shared" si="27"/>
        <v>1</v>
      </c>
      <c r="L94" s="3288"/>
      <c r="M94" s="2993">
        <f t="shared" si="28"/>
        <v>1</v>
      </c>
      <c r="N94" s="3288"/>
      <c r="O94" s="2993">
        <f t="shared" si="29"/>
        <v>1</v>
      </c>
      <c r="P94" s="3288"/>
      <c r="Q94" s="2993">
        <f t="shared" si="30"/>
        <v>1</v>
      </c>
      <c r="R94" s="2736">
        <f t="shared" si="31"/>
        <v>0</v>
      </c>
      <c r="S94" s="2867">
        <f t="shared" si="22"/>
        <v>0</v>
      </c>
    </row>
    <row r="95" spans="1:19">
      <c r="A95" s="2995"/>
      <c r="B95" s="3286"/>
      <c r="C95" s="2993">
        <f t="shared" si="23"/>
        <v>1</v>
      </c>
      <c r="D95" s="3288"/>
      <c r="E95" s="2993">
        <f t="shared" si="24"/>
        <v>1</v>
      </c>
      <c r="F95" s="3288"/>
      <c r="G95" s="2993">
        <f t="shared" si="25"/>
        <v>1</v>
      </c>
      <c r="H95" s="3288"/>
      <c r="I95" s="2993">
        <f t="shared" si="26"/>
        <v>1</v>
      </c>
      <c r="J95" s="3288"/>
      <c r="K95" s="2993">
        <f t="shared" si="27"/>
        <v>1</v>
      </c>
      <c r="L95" s="3288"/>
      <c r="M95" s="2993">
        <f t="shared" si="28"/>
        <v>1</v>
      </c>
      <c r="N95" s="3288"/>
      <c r="O95" s="2993">
        <f t="shared" si="29"/>
        <v>1</v>
      </c>
      <c r="P95" s="3288"/>
      <c r="Q95" s="2993">
        <f t="shared" si="30"/>
        <v>1</v>
      </c>
      <c r="R95" s="2736">
        <f t="shared" si="31"/>
        <v>0</v>
      </c>
      <c r="S95" s="2867">
        <f t="shared" si="22"/>
        <v>0</v>
      </c>
    </row>
    <row r="96" spans="1:19">
      <c r="A96" s="2995"/>
      <c r="B96" s="3286"/>
      <c r="C96" s="2993">
        <f t="shared" si="23"/>
        <v>1</v>
      </c>
      <c r="D96" s="3288"/>
      <c r="E96" s="2993">
        <f t="shared" si="24"/>
        <v>1</v>
      </c>
      <c r="F96" s="3288"/>
      <c r="G96" s="2993">
        <f t="shared" si="25"/>
        <v>1</v>
      </c>
      <c r="H96" s="3288"/>
      <c r="I96" s="2993">
        <f t="shared" si="26"/>
        <v>1</v>
      </c>
      <c r="J96" s="3288"/>
      <c r="K96" s="2993">
        <f t="shared" si="27"/>
        <v>1</v>
      </c>
      <c r="L96" s="3288"/>
      <c r="M96" s="2993">
        <f t="shared" si="28"/>
        <v>1</v>
      </c>
      <c r="N96" s="3288"/>
      <c r="O96" s="2993">
        <f t="shared" si="29"/>
        <v>1</v>
      </c>
      <c r="P96" s="3288"/>
      <c r="Q96" s="2993">
        <f t="shared" si="30"/>
        <v>1</v>
      </c>
      <c r="R96" s="2736">
        <f t="shared" si="31"/>
        <v>0</v>
      </c>
      <c r="S96" s="2867">
        <f t="shared" si="22"/>
        <v>0</v>
      </c>
    </row>
    <row r="97" spans="1:19">
      <c r="A97" s="2995"/>
      <c r="B97" s="3286"/>
      <c r="C97" s="2993">
        <f t="shared" si="23"/>
        <v>1</v>
      </c>
      <c r="D97" s="3288"/>
      <c r="E97" s="2993">
        <f t="shared" si="24"/>
        <v>1</v>
      </c>
      <c r="F97" s="3288"/>
      <c r="G97" s="2993">
        <f t="shared" si="25"/>
        <v>1</v>
      </c>
      <c r="H97" s="3288"/>
      <c r="I97" s="2993">
        <f t="shared" si="26"/>
        <v>1</v>
      </c>
      <c r="J97" s="3288"/>
      <c r="K97" s="2993">
        <f t="shared" si="27"/>
        <v>1</v>
      </c>
      <c r="L97" s="3288"/>
      <c r="M97" s="2993">
        <f t="shared" si="28"/>
        <v>1</v>
      </c>
      <c r="N97" s="3288"/>
      <c r="O97" s="2993">
        <f t="shared" si="29"/>
        <v>1</v>
      </c>
      <c r="P97" s="3288"/>
      <c r="Q97" s="2993">
        <f t="shared" si="30"/>
        <v>1</v>
      </c>
      <c r="R97" s="2736">
        <f t="shared" si="31"/>
        <v>0</v>
      </c>
      <c r="S97" s="2867">
        <f t="shared" si="22"/>
        <v>0</v>
      </c>
    </row>
    <row r="98" spans="1:19">
      <c r="A98" s="2995"/>
      <c r="B98" s="3286"/>
      <c r="C98" s="2993">
        <f t="shared" si="23"/>
        <v>1</v>
      </c>
      <c r="D98" s="3288"/>
      <c r="E98" s="2993">
        <f t="shared" si="24"/>
        <v>1</v>
      </c>
      <c r="F98" s="3288"/>
      <c r="G98" s="2993">
        <f t="shared" si="25"/>
        <v>1</v>
      </c>
      <c r="H98" s="3288"/>
      <c r="I98" s="2993">
        <f t="shared" si="26"/>
        <v>1</v>
      </c>
      <c r="J98" s="3288"/>
      <c r="K98" s="2993">
        <f t="shared" si="27"/>
        <v>1</v>
      </c>
      <c r="L98" s="3288"/>
      <c r="M98" s="2993">
        <f t="shared" si="28"/>
        <v>1</v>
      </c>
      <c r="N98" s="3288"/>
      <c r="O98" s="2993">
        <f t="shared" si="29"/>
        <v>1</v>
      </c>
      <c r="P98" s="3288"/>
      <c r="Q98" s="2993">
        <f t="shared" si="30"/>
        <v>1</v>
      </c>
      <c r="R98" s="2736">
        <f t="shared" si="31"/>
        <v>0</v>
      </c>
      <c r="S98" s="2867">
        <f t="shared" si="22"/>
        <v>0</v>
      </c>
    </row>
    <row r="99" spans="1:19">
      <c r="A99" s="2995"/>
      <c r="B99" s="3286"/>
      <c r="C99" s="2993">
        <f t="shared" si="23"/>
        <v>1</v>
      </c>
      <c r="D99" s="3288"/>
      <c r="E99" s="2993">
        <f t="shared" si="24"/>
        <v>1</v>
      </c>
      <c r="F99" s="3288"/>
      <c r="G99" s="2993">
        <f t="shared" si="25"/>
        <v>1</v>
      </c>
      <c r="H99" s="3288"/>
      <c r="I99" s="2993">
        <f t="shared" si="26"/>
        <v>1</v>
      </c>
      <c r="J99" s="3288"/>
      <c r="K99" s="2993">
        <f t="shared" si="27"/>
        <v>1</v>
      </c>
      <c r="L99" s="3288"/>
      <c r="M99" s="2993">
        <f t="shared" si="28"/>
        <v>1</v>
      </c>
      <c r="N99" s="3288"/>
      <c r="O99" s="2993">
        <f t="shared" si="29"/>
        <v>1</v>
      </c>
      <c r="P99" s="3288"/>
      <c r="Q99" s="2993">
        <f t="shared" si="30"/>
        <v>1</v>
      </c>
      <c r="R99" s="2736">
        <f t="shared" si="31"/>
        <v>0</v>
      </c>
      <c r="S99" s="2867">
        <f t="shared" si="22"/>
        <v>0</v>
      </c>
    </row>
    <row r="100" spans="1:19">
      <c r="A100" s="2995"/>
      <c r="B100" s="3286"/>
      <c r="C100" s="2993">
        <f t="shared" si="23"/>
        <v>1</v>
      </c>
      <c r="D100" s="3288"/>
      <c r="E100" s="2993">
        <f t="shared" si="24"/>
        <v>1</v>
      </c>
      <c r="F100" s="3288"/>
      <c r="G100" s="2993">
        <f t="shared" si="25"/>
        <v>1</v>
      </c>
      <c r="H100" s="3288"/>
      <c r="I100" s="2993">
        <f t="shared" si="26"/>
        <v>1</v>
      </c>
      <c r="J100" s="3288"/>
      <c r="K100" s="2993">
        <f t="shared" si="27"/>
        <v>1</v>
      </c>
      <c r="L100" s="3288"/>
      <c r="M100" s="2993">
        <f t="shared" si="28"/>
        <v>1</v>
      </c>
      <c r="N100" s="3288"/>
      <c r="O100" s="2993">
        <f t="shared" si="29"/>
        <v>1</v>
      </c>
      <c r="P100" s="3288"/>
      <c r="Q100" s="2993">
        <f t="shared" si="30"/>
        <v>1</v>
      </c>
      <c r="R100" s="2736">
        <f t="shared" si="31"/>
        <v>0</v>
      </c>
      <c r="S100" s="2867">
        <f t="shared" si="22"/>
        <v>0</v>
      </c>
    </row>
    <row r="101" spans="1:19">
      <c r="A101" s="2995"/>
      <c r="B101" s="3286"/>
      <c r="C101" s="2993">
        <f t="shared" si="23"/>
        <v>1</v>
      </c>
      <c r="D101" s="3288"/>
      <c r="E101" s="2993">
        <f t="shared" si="24"/>
        <v>1</v>
      </c>
      <c r="F101" s="3288"/>
      <c r="G101" s="2993">
        <f t="shared" si="25"/>
        <v>1</v>
      </c>
      <c r="H101" s="3288"/>
      <c r="I101" s="2993">
        <f t="shared" si="26"/>
        <v>1</v>
      </c>
      <c r="J101" s="3288"/>
      <c r="K101" s="2993">
        <f t="shared" si="27"/>
        <v>1</v>
      </c>
      <c r="L101" s="3288"/>
      <c r="M101" s="2993">
        <f t="shared" si="28"/>
        <v>1</v>
      </c>
      <c r="N101" s="3288"/>
      <c r="O101" s="2993">
        <f t="shared" si="29"/>
        <v>1</v>
      </c>
      <c r="P101" s="3288"/>
      <c r="Q101" s="2993">
        <f t="shared" si="30"/>
        <v>1</v>
      </c>
      <c r="R101" s="2736">
        <f t="shared" si="31"/>
        <v>0</v>
      </c>
      <c r="S101" s="2867">
        <f t="shared" si="22"/>
        <v>0</v>
      </c>
    </row>
    <row r="102" spans="1:19">
      <c r="A102" s="2995"/>
      <c r="B102" s="3286"/>
      <c r="C102" s="2993">
        <f t="shared" si="23"/>
        <v>1</v>
      </c>
      <c r="D102" s="3288"/>
      <c r="E102" s="2993">
        <f t="shared" si="24"/>
        <v>1</v>
      </c>
      <c r="F102" s="3288"/>
      <c r="G102" s="2993">
        <f t="shared" si="25"/>
        <v>1</v>
      </c>
      <c r="H102" s="3288"/>
      <c r="I102" s="2993">
        <f t="shared" si="26"/>
        <v>1</v>
      </c>
      <c r="J102" s="3288"/>
      <c r="K102" s="2993">
        <f t="shared" si="27"/>
        <v>1</v>
      </c>
      <c r="L102" s="3288"/>
      <c r="M102" s="2993">
        <f t="shared" si="28"/>
        <v>1</v>
      </c>
      <c r="N102" s="3288"/>
      <c r="O102" s="2993">
        <f t="shared" si="29"/>
        <v>1</v>
      </c>
      <c r="P102" s="3288"/>
      <c r="Q102" s="2993">
        <f t="shared" si="30"/>
        <v>1</v>
      </c>
      <c r="R102" s="2736">
        <f t="shared" si="31"/>
        <v>0</v>
      </c>
      <c r="S102" s="2867">
        <f t="shared" si="22"/>
        <v>0</v>
      </c>
    </row>
    <row r="103" spans="1:19">
      <c r="A103" s="2995"/>
      <c r="B103" s="3286"/>
      <c r="C103" s="2993">
        <f t="shared" si="23"/>
        <v>1</v>
      </c>
      <c r="D103" s="3288"/>
      <c r="E103" s="2993">
        <f t="shared" si="24"/>
        <v>1</v>
      </c>
      <c r="F103" s="3288"/>
      <c r="G103" s="2993">
        <f t="shared" si="25"/>
        <v>1</v>
      </c>
      <c r="H103" s="3288"/>
      <c r="I103" s="2993">
        <f t="shared" si="26"/>
        <v>1</v>
      </c>
      <c r="J103" s="3288"/>
      <c r="K103" s="2993">
        <f t="shared" si="27"/>
        <v>1</v>
      </c>
      <c r="L103" s="3288"/>
      <c r="M103" s="2993">
        <f t="shared" si="28"/>
        <v>1</v>
      </c>
      <c r="N103" s="3288"/>
      <c r="O103" s="2993">
        <f t="shared" si="29"/>
        <v>1</v>
      </c>
      <c r="P103" s="3288"/>
      <c r="Q103" s="2993">
        <f t="shared" si="30"/>
        <v>1</v>
      </c>
      <c r="R103" s="2736">
        <f t="shared" si="31"/>
        <v>0</v>
      </c>
      <c r="S103" s="2867">
        <f t="shared" si="22"/>
        <v>0</v>
      </c>
    </row>
    <row r="104" spans="1:19">
      <c r="A104" s="2995"/>
      <c r="B104" s="3286"/>
      <c r="C104" s="2993">
        <f t="shared" si="23"/>
        <v>1</v>
      </c>
      <c r="D104" s="3288"/>
      <c r="E104" s="2993">
        <f t="shared" si="24"/>
        <v>1</v>
      </c>
      <c r="F104" s="3288"/>
      <c r="G104" s="2993">
        <f t="shared" si="25"/>
        <v>1</v>
      </c>
      <c r="H104" s="3288"/>
      <c r="I104" s="2993">
        <f t="shared" si="26"/>
        <v>1</v>
      </c>
      <c r="J104" s="3288"/>
      <c r="K104" s="2993">
        <f t="shared" si="27"/>
        <v>1</v>
      </c>
      <c r="L104" s="3288"/>
      <c r="M104" s="2993">
        <f t="shared" si="28"/>
        <v>1</v>
      </c>
      <c r="N104" s="3288"/>
      <c r="O104" s="2993">
        <f t="shared" si="29"/>
        <v>1</v>
      </c>
      <c r="P104" s="3288"/>
      <c r="Q104" s="2993">
        <f t="shared" si="30"/>
        <v>1</v>
      </c>
      <c r="R104" s="2736">
        <f t="shared" si="31"/>
        <v>0</v>
      </c>
      <c r="S104" s="2867">
        <f t="shared" si="22"/>
        <v>0</v>
      </c>
    </row>
    <row r="105" spans="1:19">
      <c r="A105" s="2995"/>
      <c r="B105" s="3286"/>
      <c r="C105" s="2993">
        <f t="shared" si="23"/>
        <v>1</v>
      </c>
      <c r="D105" s="3288"/>
      <c r="E105" s="2993">
        <f t="shared" si="24"/>
        <v>1</v>
      </c>
      <c r="F105" s="3288"/>
      <c r="G105" s="2993">
        <f t="shared" si="25"/>
        <v>1</v>
      </c>
      <c r="H105" s="3288"/>
      <c r="I105" s="2993">
        <f t="shared" si="26"/>
        <v>1</v>
      </c>
      <c r="J105" s="3288"/>
      <c r="K105" s="2993">
        <f t="shared" si="27"/>
        <v>1</v>
      </c>
      <c r="L105" s="3288"/>
      <c r="M105" s="2993">
        <f t="shared" si="28"/>
        <v>1</v>
      </c>
      <c r="N105" s="3288"/>
      <c r="O105" s="2993">
        <f t="shared" si="29"/>
        <v>1</v>
      </c>
      <c r="P105" s="3288"/>
      <c r="Q105" s="2993">
        <f t="shared" si="30"/>
        <v>1</v>
      </c>
      <c r="R105" s="2736">
        <f t="shared" si="31"/>
        <v>0</v>
      </c>
      <c r="S105" s="2867">
        <f t="shared" si="22"/>
        <v>0</v>
      </c>
    </row>
    <row r="106" spans="1:19">
      <c r="A106" s="2995"/>
      <c r="B106" s="3286"/>
      <c r="C106" s="2993">
        <f t="shared" si="23"/>
        <v>1</v>
      </c>
      <c r="D106" s="3288"/>
      <c r="E106" s="2993">
        <f t="shared" si="24"/>
        <v>1</v>
      </c>
      <c r="F106" s="3288"/>
      <c r="G106" s="2993">
        <f t="shared" si="25"/>
        <v>1</v>
      </c>
      <c r="H106" s="3288"/>
      <c r="I106" s="2993">
        <f t="shared" si="26"/>
        <v>1</v>
      </c>
      <c r="J106" s="3288"/>
      <c r="K106" s="2993">
        <f t="shared" si="27"/>
        <v>1</v>
      </c>
      <c r="L106" s="3288"/>
      <c r="M106" s="2993">
        <f t="shared" si="28"/>
        <v>1</v>
      </c>
      <c r="N106" s="3288"/>
      <c r="O106" s="2993">
        <f t="shared" si="29"/>
        <v>1</v>
      </c>
      <c r="P106" s="3288"/>
      <c r="Q106" s="2993">
        <f t="shared" si="30"/>
        <v>1</v>
      </c>
      <c r="R106" s="2736">
        <f t="shared" si="31"/>
        <v>0</v>
      </c>
      <c r="S106" s="2867">
        <f t="shared" si="22"/>
        <v>0</v>
      </c>
    </row>
    <row r="107" spans="1:19">
      <c r="A107" s="2995"/>
      <c r="B107" s="3286"/>
      <c r="C107" s="2993">
        <f t="shared" si="23"/>
        <v>1</v>
      </c>
      <c r="D107" s="3288"/>
      <c r="E107" s="2993">
        <f t="shared" si="24"/>
        <v>1</v>
      </c>
      <c r="F107" s="3288"/>
      <c r="G107" s="2993">
        <f t="shared" si="25"/>
        <v>1</v>
      </c>
      <c r="H107" s="3288"/>
      <c r="I107" s="2993">
        <f t="shared" si="26"/>
        <v>1</v>
      </c>
      <c r="J107" s="3288"/>
      <c r="K107" s="2993">
        <f t="shared" si="27"/>
        <v>1</v>
      </c>
      <c r="L107" s="3288"/>
      <c r="M107" s="2993">
        <f t="shared" si="28"/>
        <v>1</v>
      </c>
      <c r="N107" s="3288"/>
      <c r="O107" s="2993">
        <f t="shared" si="29"/>
        <v>1</v>
      </c>
      <c r="P107" s="3288"/>
      <c r="Q107" s="2993">
        <f t="shared" si="30"/>
        <v>1</v>
      </c>
      <c r="R107" s="2736">
        <f t="shared" si="31"/>
        <v>0</v>
      </c>
      <c r="S107" s="2867">
        <f t="shared" si="22"/>
        <v>0</v>
      </c>
    </row>
    <row r="108" spans="1:19">
      <c r="A108" s="2995"/>
      <c r="B108" s="3286"/>
      <c r="C108" s="2993">
        <f t="shared" si="23"/>
        <v>1</v>
      </c>
      <c r="D108" s="3288"/>
      <c r="E108" s="2993">
        <f t="shared" si="24"/>
        <v>1</v>
      </c>
      <c r="F108" s="3288"/>
      <c r="G108" s="2993">
        <f t="shared" si="25"/>
        <v>1</v>
      </c>
      <c r="H108" s="3288"/>
      <c r="I108" s="2993">
        <f t="shared" si="26"/>
        <v>1</v>
      </c>
      <c r="J108" s="3288"/>
      <c r="K108" s="2993">
        <f t="shared" si="27"/>
        <v>1</v>
      </c>
      <c r="L108" s="3288"/>
      <c r="M108" s="2993">
        <f t="shared" si="28"/>
        <v>1</v>
      </c>
      <c r="N108" s="3288"/>
      <c r="O108" s="2993">
        <f t="shared" si="29"/>
        <v>1</v>
      </c>
      <c r="P108" s="3288"/>
      <c r="Q108" s="2993">
        <f t="shared" si="30"/>
        <v>1</v>
      </c>
      <c r="R108" s="2736">
        <f t="shared" si="31"/>
        <v>0</v>
      </c>
      <c r="S108" s="2867">
        <f t="shared" si="22"/>
        <v>0</v>
      </c>
    </row>
    <row r="109" spans="1:19">
      <c r="A109" s="2995"/>
      <c r="B109" s="3286"/>
      <c r="C109" s="2993">
        <f t="shared" si="23"/>
        <v>1</v>
      </c>
      <c r="D109" s="3288"/>
      <c r="E109" s="2993">
        <f t="shared" si="24"/>
        <v>1</v>
      </c>
      <c r="F109" s="3288"/>
      <c r="G109" s="2993">
        <f t="shared" si="25"/>
        <v>1</v>
      </c>
      <c r="H109" s="3288"/>
      <c r="I109" s="2993">
        <f t="shared" si="26"/>
        <v>1</v>
      </c>
      <c r="J109" s="3288"/>
      <c r="K109" s="2993">
        <f t="shared" si="27"/>
        <v>1</v>
      </c>
      <c r="L109" s="3288"/>
      <c r="M109" s="2993">
        <f t="shared" si="28"/>
        <v>1</v>
      </c>
      <c r="N109" s="3288"/>
      <c r="O109" s="2993">
        <f t="shared" si="29"/>
        <v>1</v>
      </c>
      <c r="P109" s="3288"/>
      <c r="Q109" s="2993">
        <f t="shared" si="30"/>
        <v>1</v>
      </c>
      <c r="R109" s="2736">
        <f t="shared" si="31"/>
        <v>0</v>
      </c>
      <c r="S109" s="2867">
        <f t="shared" si="22"/>
        <v>0</v>
      </c>
    </row>
    <row r="110" spans="1:19">
      <c r="A110" s="2995"/>
      <c r="B110" s="3286"/>
      <c r="C110" s="2993">
        <f t="shared" si="23"/>
        <v>1</v>
      </c>
      <c r="D110" s="3288"/>
      <c r="E110" s="2993">
        <f t="shared" si="24"/>
        <v>1</v>
      </c>
      <c r="F110" s="3288"/>
      <c r="G110" s="2993">
        <f t="shared" si="25"/>
        <v>1</v>
      </c>
      <c r="H110" s="3288"/>
      <c r="I110" s="2993">
        <f t="shared" si="26"/>
        <v>1</v>
      </c>
      <c r="J110" s="3288"/>
      <c r="K110" s="2993">
        <f t="shared" si="27"/>
        <v>1</v>
      </c>
      <c r="L110" s="3288"/>
      <c r="M110" s="2993">
        <f t="shared" si="28"/>
        <v>1</v>
      </c>
      <c r="N110" s="3288"/>
      <c r="O110" s="2993">
        <f t="shared" si="29"/>
        <v>1</v>
      </c>
      <c r="P110" s="3288"/>
      <c r="Q110" s="2993">
        <f t="shared" si="30"/>
        <v>1</v>
      </c>
      <c r="R110" s="2736">
        <f t="shared" si="31"/>
        <v>0</v>
      </c>
      <c r="S110" s="2867">
        <f t="shared" si="22"/>
        <v>0</v>
      </c>
    </row>
    <row r="111" spans="1:19">
      <c r="A111" s="2995"/>
      <c r="B111" s="3286"/>
      <c r="C111" s="2993">
        <f t="shared" si="23"/>
        <v>1</v>
      </c>
      <c r="D111" s="3288"/>
      <c r="E111" s="2993">
        <f t="shared" si="24"/>
        <v>1</v>
      </c>
      <c r="F111" s="3288"/>
      <c r="G111" s="2993">
        <f t="shared" si="25"/>
        <v>1</v>
      </c>
      <c r="H111" s="3288"/>
      <c r="I111" s="2993">
        <f t="shared" si="26"/>
        <v>1</v>
      </c>
      <c r="J111" s="3288"/>
      <c r="K111" s="2993">
        <f t="shared" si="27"/>
        <v>1</v>
      </c>
      <c r="L111" s="3288"/>
      <c r="M111" s="2993">
        <f t="shared" si="28"/>
        <v>1</v>
      </c>
      <c r="N111" s="3288"/>
      <c r="O111" s="2993">
        <f t="shared" si="29"/>
        <v>1</v>
      </c>
      <c r="P111" s="3288"/>
      <c r="Q111" s="2993">
        <f t="shared" si="30"/>
        <v>1</v>
      </c>
      <c r="R111" s="2736">
        <f t="shared" si="31"/>
        <v>0</v>
      </c>
      <c r="S111" s="2867">
        <f t="shared" si="22"/>
        <v>0</v>
      </c>
    </row>
    <row r="112" spans="1:19">
      <c r="A112" s="2995"/>
      <c r="B112" s="3286"/>
      <c r="C112" s="2993">
        <f t="shared" si="23"/>
        <v>1</v>
      </c>
      <c r="D112" s="3288"/>
      <c r="E112" s="2993">
        <f t="shared" si="24"/>
        <v>1</v>
      </c>
      <c r="F112" s="3288"/>
      <c r="G112" s="2993">
        <f t="shared" si="25"/>
        <v>1</v>
      </c>
      <c r="H112" s="3288"/>
      <c r="I112" s="2993">
        <f t="shared" si="26"/>
        <v>1</v>
      </c>
      <c r="J112" s="3288"/>
      <c r="K112" s="2993">
        <f t="shared" si="27"/>
        <v>1</v>
      </c>
      <c r="L112" s="3288"/>
      <c r="M112" s="2993">
        <f t="shared" si="28"/>
        <v>1</v>
      </c>
      <c r="N112" s="3288"/>
      <c r="O112" s="2993">
        <f t="shared" si="29"/>
        <v>1</v>
      </c>
      <c r="P112" s="3288"/>
      <c r="Q112" s="2993">
        <f t="shared" si="30"/>
        <v>1</v>
      </c>
      <c r="R112" s="2736">
        <f t="shared" si="31"/>
        <v>0</v>
      </c>
      <c r="S112" s="2867">
        <f t="shared" si="22"/>
        <v>0</v>
      </c>
    </row>
    <row r="113" spans="1:19">
      <c r="A113" s="2995"/>
      <c r="B113" s="3286"/>
      <c r="C113" s="2993">
        <f t="shared" si="23"/>
        <v>1</v>
      </c>
      <c r="D113" s="3288"/>
      <c r="E113" s="2993">
        <f t="shared" si="24"/>
        <v>1</v>
      </c>
      <c r="F113" s="3288"/>
      <c r="G113" s="2993">
        <f t="shared" si="25"/>
        <v>1</v>
      </c>
      <c r="H113" s="3288"/>
      <c r="I113" s="2993">
        <f t="shared" si="26"/>
        <v>1</v>
      </c>
      <c r="J113" s="3288"/>
      <c r="K113" s="2993">
        <f t="shared" si="27"/>
        <v>1</v>
      </c>
      <c r="L113" s="3288"/>
      <c r="M113" s="2993">
        <f t="shared" si="28"/>
        <v>1</v>
      </c>
      <c r="N113" s="3288"/>
      <c r="O113" s="2993">
        <f t="shared" si="29"/>
        <v>1</v>
      </c>
      <c r="P113" s="3288"/>
      <c r="Q113" s="2993">
        <f t="shared" si="30"/>
        <v>1</v>
      </c>
      <c r="R113" s="2736">
        <f t="shared" si="31"/>
        <v>0</v>
      </c>
      <c r="S113" s="2867">
        <f t="shared" si="22"/>
        <v>0</v>
      </c>
    </row>
    <row r="114" spans="1:19">
      <c r="A114" s="2995"/>
      <c r="B114" s="3286"/>
      <c r="C114" s="2993">
        <f t="shared" si="23"/>
        <v>1</v>
      </c>
      <c r="D114" s="3288"/>
      <c r="E114" s="2993">
        <f t="shared" si="24"/>
        <v>1</v>
      </c>
      <c r="F114" s="3288"/>
      <c r="G114" s="2993">
        <f t="shared" si="25"/>
        <v>1</v>
      </c>
      <c r="H114" s="3288"/>
      <c r="I114" s="2993">
        <f t="shared" si="26"/>
        <v>1</v>
      </c>
      <c r="J114" s="3288"/>
      <c r="K114" s="2993">
        <f t="shared" si="27"/>
        <v>1</v>
      </c>
      <c r="L114" s="3288"/>
      <c r="M114" s="2993">
        <f t="shared" si="28"/>
        <v>1</v>
      </c>
      <c r="N114" s="3288"/>
      <c r="O114" s="2993">
        <f t="shared" si="29"/>
        <v>1</v>
      </c>
      <c r="P114" s="3288"/>
      <c r="Q114" s="2993">
        <f t="shared" si="30"/>
        <v>1</v>
      </c>
      <c r="R114" s="2736">
        <f t="shared" si="31"/>
        <v>0</v>
      </c>
      <c r="S114" s="2867">
        <f t="shared" si="22"/>
        <v>0</v>
      </c>
    </row>
    <row r="115" spans="1:19">
      <c r="A115" s="2995"/>
      <c r="B115" s="3286"/>
      <c r="C115" s="2993">
        <f t="shared" si="23"/>
        <v>1</v>
      </c>
      <c r="D115" s="3288"/>
      <c r="E115" s="2993">
        <f t="shared" si="24"/>
        <v>1</v>
      </c>
      <c r="F115" s="3288"/>
      <c r="G115" s="2993">
        <f t="shared" si="25"/>
        <v>1</v>
      </c>
      <c r="H115" s="3288"/>
      <c r="I115" s="2993">
        <f t="shared" si="26"/>
        <v>1</v>
      </c>
      <c r="J115" s="3288"/>
      <c r="K115" s="2993">
        <f t="shared" si="27"/>
        <v>1</v>
      </c>
      <c r="L115" s="3288"/>
      <c r="M115" s="2993">
        <f t="shared" si="28"/>
        <v>1</v>
      </c>
      <c r="N115" s="3288"/>
      <c r="O115" s="2993">
        <f t="shared" si="29"/>
        <v>1</v>
      </c>
      <c r="P115" s="3288"/>
      <c r="Q115" s="2993">
        <f t="shared" si="30"/>
        <v>1</v>
      </c>
      <c r="R115" s="2736">
        <f t="shared" si="31"/>
        <v>0</v>
      </c>
      <c r="S115" s="2867">
        <f t="shared" si="22"/>
        <v>0</v>
      </c>
    </row>
    <row r="116" spans="1:19">
      <c r="A116" s="2995"/>
      <c r="B116" s="3286"/>
      <c r="C116" s="2993">
        <f t="shared" si="23"/>
        <v>1</v>
      </c>
      <c r="D116" s="3288"/>
      <c r="E116" s="2993">
        <f t="shared" si="24"/>
        <v>1</v>
      </c>
      <c r="F116" s="3288"/>
      <c r="G116" s="2993">
        <f t="shared" si="25"/>
        <v>1</v>
      </c>
      <c r="H116" s="3288"/>
      <c r="I116" s="2993">
        <f t="shared" si="26"/>
        <v>1</v>
      </c>
      <c r="J116" s="3288"/>
      <c r="K116" s="2993">
        <f t="shared" si="27"/>
        <v>1</v>
      </c>
      <c r="L116" s="3288"/>
      <c r="M116" s="2993">
        <f t="shared" si="28"/>
        <v>1</v>
      </c>
      <c r="N116" s="3288"/>
      <c r="O116" s="2993">
        <f t="shared" si="29"/>
        <v>1</v>
      </c>
      <c r="P116" s="3288"/>
      <c r="Q116" s="2993">
        <f t="shared" si="30"/>
        <v>1</v>
      </c>
      <c r="R116" s="2736">
        <f t="shared" si="31"/>
        <v>0</v>
      </c>
      <c r="S116" s="2867">
        <f t="shared" si="22"/>
        <v>0</v>
      </c>
    </row>
    <row r="117" spans="1:19">
      <c r="A117" s="2995"/>
      <c r="B117" s="3286"/>
      <c r="C117" s="2993">
        <f t="shared" si="23"/>
        <v>1</v>
      </c>
      <c r="D117" s="3288"/>
      <c r="E117" s="2993">
        <f t="shared" si="24"/>
        <v>1</v>
      </c>
      <c r="F117" s="3288"/>
      <c r="G117" s="2993">
        <f t="shared" si="25"/>
        <v>1</v>
      </c>
      <c r="H117" s="3288"/>
      <c r="I117" s="2993">
        <f t="shared" si="26"/>
        <v>1</v>
      </c>
      <c r="J117" s="3288"/>
      <c r="K117" s="2993">
        <f t="shared" si="27"/>
        <v>1</v>
      </c>
      <c r="L117" s="3288"/>
      <c r="M117" s="2993">
        <f t="shared" si="28"/>
        <v>1</v>
      </c>
      <c r="N117" s="3288"/>
      <c r="O117" s="2993">
        <f t="shared" si="29"/>
        <v>1</v>
      </c>
      <c r="P117" s="3288"/>
      <c r="Q117" s="2993">
        <f t="shared" si="30"/>
        <v>1</v>
      </c>
      <c r="R117" s="2736">
        <f t="shared" si="31"/>
        <v>0</v>
      </c>
      <c r="S117" s="2867">
        <f t="shared" si="22"/>
        <v>0</v>
      </c>
    </row>
    <row r="118" spans="1:19">
      <c r="A118" s="2995"/>
      <c r="B118" s="3286"/>
      <c r="C118" s="2993">
        <f t="shared" si="23"/>
        <v>1</v>
      </c>
      <c r="D118" s="3288"/>
      <c r="E118" s="2993">
        <f t="shared" si="24"/>
        <v>1</v>
      </c>
      <c r="F118" s="3288"/>
      <c r="G118" s="2993">
        <f t="shared" si="25"/>
        <v>1</v>
      </c>
      <c r="H118" s="3288"/>
      <c r="I118" s="2993">
        <f t="shared" si="26"/>
        <v>1</v>
      </c>
      <c r="J118" s="3288"/>
      <c r="K118" s="2993">
        <f t="shared" si="27"/>
        <v>1</v>
      </c>
      <c r="L118" s="3288"/>
      <c r="M118" s="2993">
        <f t="shared" si="28"/>
        <v>1</v>
      </c>
      <c r="N118" s="3288"/>
      <c r="O118" s="2993">
        <f t="shared" si="29"/>
        <v>1</v>
      </c>
      <c r="P118" s="3288"/>
      <c r="Q118" s="2993">
        <f t="shared" si="30"/>
        <v>1</v>
      </c>
      <c r="R118" s="2736">
        <f t="shared" si="31"/>
        <v>0</v>
      </c>
      <c r="S118" s="2867">
        <f t="shared" si="22"/>
        <v>0</v>
      </c>
    </row>
    <row r="119" spans="1:19">
      <c r="A119" s="2995"/>
      <c r="B119" s="3286"/>
      <c r="C119" s="2993">
        <f t="shared" si="23"/>
        <v>1</v>
      </c>
      <c r="D119" s="3288"/>
      <c r="E119" s="2993">
        <f t="shared" si="24"/>
        <v>1</v>
      </c>
      <c r="F119" s="3288"/>
      <c r="G119" s="2993">
        <f t="shared" si="25"/>
        <v>1</v>
      </c>
      <c r="H119" s="3288"/>
      <c r="I119" s="2993">
        <f t="shared" si="26"/>
        <v>1</v>
      </c>
      <c r="J119" s="3288"/>
      <c r="K119" s="2993">
        <f t="shared" si="27"/>
        <v>1</v>
      </c>
      <c r="L119" s="3288"/>
      <c r="M119" s="2993">
        <f t="shared" si="28"/>
        <v>1</v>
      </c>
      <c r="N119" s="3288"/>
      <c r="O119" s="2993">
        <f t="shared" si="29"/>
        <v>1</v>
      </c>
      <c r="P119" s="3288"/>
      <c r="Q119" s="2993">
        <f t="shared" si="30"/>
        <v>1</v>
      </c>
      <c r="R119" s="2736">
        <f t="shared" si="31"/>
        <v>0</v>
      </c>
      <c r="S119" s="2867">
        <f t="shared" si="22"/>
        <v>0</v>
      </c>
    </row>
    <row r="120" spans="1:19">
      <c r="A120" s="2995"/>
      <c r="B120" s="3286"/>
      <c r="C120" s="2993">
        <f t="shared" si="23"/>
        <v>1</v>
      </c>
      <c r="D120" s="3288"/>
      <c r="E120" s="2993">
        <f t="shared" si="24"/>
        <v>1</v>
      </c>
      <c r="F120" s="3288"/>
      <c r="G120" s="2993">
        <f t="shared" si="25"/>
        <v>1</v>
      </c>
      <c r="H120" s="3288"/>
      <c r="I120" s="2993">
        <f t="shared" si="26"/>
        <v>1</v>
      </c>
      <c r="J120" s="3288"/>
      <c r="K120" s="2993">
        <f t="shared" si="27"/>
        <v>1</v>
      </c>
      <c r="L120" s="3288"/>
      <c r="M120" s="2993">
        <f t="shared" si="28"/>
        <v>1</v>
      </c>
      <c r="N120" s="3288"/>
      <c r="O120" s="2993">
        <f t="shared" si="29"/>
        <v>1</v>
      </c>
      <c r="P120" s="3288"/>
      <c r="Q120" s="2993">
        <f t="shared" si="30"/>
        <v>1</v>
      </c>
      <c r="R120" s="2736">
        <f t="shared" si="31"/>
        <v>0</v>
      </c>
      <c r="S120" s="2867">
        <f t="shared" si="22"/>
        <v>0</v>
      </c>
    </row>
    <row r="121" spans="1:19">
      <c r="A121" s="2995"/>
      <c r="B121" s="3286"/>
      <c r="C121" s="2993">
        <f t="shared" si="23"/>
        <v>1</v>
      </c>
      <c r="D121" s="3288"/>
      <c r="E121" s="2993">
        <f t="shared" si="24"/>
        <v>1</v>
      </c>
      <c r="F121" s="3288"/>
      <c r="G121" s="2993">
        <f t="shared" si="25"/>
        <v>1</v>
      </c>
      <c r="H121" s="3288"/>
      <c r="I121" s="2993">
        <f t="shared" si="26"/>
        <v>1</v>
      </c>
      <c r="J121" s="3288"/>
      <c r="K121" s="2993">
        <f t="shared" si="27"/>
        <v>1</v>
      </c>
      <c r="L121" s="3288"/>
      <c r="M121" s="2993">
        <f t="shared" si="28"/>
        <v>1</v>
      </c>
      <c r="N121" s="3288"/>
      <c r="O121" s="2993">
        <f t="shared" si="29"/>
        <v>1</v>
      </c>
      <c r="P121" s="3288"/>
      <c r="Q121" s="2993">
        <f t="shared" si="30"/>
        <v>1</v>
      </c>
      <c r="R121" s="2736">
        <f t="shared" si="31"/>
        <v>0</v>
      </c>
      <c r="S121" s="2867">
        <f t="shared" si="22"/>
        <v>0</v>
      </c>
    </row>
    <row r="122" spans="1:19">
      <c r="A122" s="2995"/>
      <c r="B122" s="3286"/>
      <c r="C122" s="2993">
        <f t="shared" si="23"/>
        <v>1</v>
      </c>
      <c r="D122" s="3288"/>
      <c r="E122" s="2993">
        <f t="shared" si="24"/>
        <v>1</v>
      </c>
      <c r="F122" s="3288"/>
      <c r="G122" s="2993">
        <f t="shared" si="25"/>
        <v>1</v>
      </c>
      <c r="H122" s="3288"/>
      <c r="I122" s="2993">
        <f t="shared" si="26"/>
        <v>1</v>
      </c>
      <c r="J122" s="3288"/>
      <c r="K122" s="2993">
        <f t="shared" si="27"/>
        <v>1</v>
      </c>
      <c r="L122" s="3288"/>
      <c r="M122" s="2993">
        <f t="shared" si="28"/>
        <v>1</v>
      </c>
      <c r="N122" s="3288"/>
      <c r="O122" s="2993">
        <f t="shared" si="29"/>
        <v>1</v>
      </c>
      <c r="P122" s="3288"/>
      <c r="Q122" s="2993">
        <f t="shared" si="30"/>
        <v>1</v>
      </c>
      <c r="R122" s="2736">
        <f t="shared" si="31"/>
        <v>0</v>
      </c>
      <c r="S122" s="2867">
        <f t="shared" si="22"/>
        <v>0</v>
      </c>
    </row>
    <row r="123" spans="1:19">
      <c r="A123" s="2995"/>
      <c r="B123" s="3286"/>
      <c r="C123" s="2993">
        <f t="shared" si="23"/>
        <v>1</v>
      </c>
      <c r="D123" s="3288"/>
      <c r="E123" s="2993">
        <f t="shared" si="24"/>
        <v>1</v>
      </c>
      <c r="F123" s="3288"/>
      <c r="G123" s="2993">
        <f t="shared" si="25"/>
        <v>1</v>
      </c>
      <c r="H123" s="3288"/>
      <c r="I123" s="2993">
        <f t="shared" si="26"/>
        <v>1</v>
      </c>
      <c r="J123" s="3288"/>
      <c r="K123" s="2993">
        <f t="shared" si="27"/>
        <v>1</v>
      </c>
      <c r="L123" s="3288"/>
      <c r="M123" s="2993">
        <f t="shared" si="28"/>
        <v>1</v>
      </c>
      <c r="N123" s="3288"/>
      <c r="O123" s="2993">
        <f t="shared" si="29"/>
        <v>1</v>
      </c>
      <c r="P123" s="3288"/>
      <c r="Q123" s="2993">
        <f t="shared" si="30"/>
        <v>1</v>
      </c>
      <c r="R123" s="2736">
        <f t="shared" si="31"/>
        <v>0</v>
      </c>
      <c r="S123" s="2867">
        <f t="shared" ref="S123:S186" si="32">ROUND(R123*B123/10000,0)</f>
        <v>0</v>
      </c>
    </row>
    <row r="124" spans="1:19">
      <c r="A124" s="2995"/>
      <c r="B124" s="3286"/>
      <c r="C124" s="2993">
        <f t="shared" si="23"/>
        <v>1</v>
      </c>
      <c r="D124" s="3288"/>
      <c r="E124" s="2993">
        <f t="shared" si="24"/>
        <v>1</v>
      </c>
      <c r="F124" s="3288"/>
      <c r="G124" s="2993">
        <f t="shared" si="25"/>
        <v>1</v>
      </c>
      <c r="H124" s="3288"/>
      <c r="I124" s="2993">
        <f t="shared" si="26"/>
        <v>1</v>
      </c>
      <c r="J124" s="3288"/>
      <c r="K124" s="2993">
        <f t="shared" si="27"/>
        <v>1</v>
      </c>
      <c r="L124" s="3288"/>
      <c r="M124" s="2993">
        <f t="shared" si="28"/>
        <v>1</v>
      </c>
      <c r="N124" s="3288"/>
      <c r="O124" s="2993">
        <f t="shared" si="29"/>
        <v>1</v>
      </c>
      <c r="P124" s="3288"/>
      <c r="Q124" s="2993">
        <f t="shared" si="30"/>
        <v>1</v>
      </c>
      <c r="R124" s="2736">
        <f t="shared" si="31"/>
        <v>0</v>
      </c>
      <c r="S124" s="2867">
        <f t="shared" si="32"/>
        <v>0</v>
      </c>
    </row>
    <row r="125" spans="1:19">
      <c r="A125" s="2995"/>
      <c r="B125" s="3286"/>
      <c r="C125" s="2993">
        <f t="shared" si="23"/>
        <v>1</v>
      </c>
      <c r="D125" s="3288"/>
      <c r="E125" s="2993">
        <f t="shared" si="24"/>
        <v>1</v>
      </c>
      <c r="F125" s="3288"/>
      <c r="G125" s="2993">
        <f t="shared" si="25"/>
        <v>1</v>
      </c>
      <c r="H125" s="3288"/>
      <c r="I125" s="2993">
        <f t="shared" si="26"/>
        <v>1</v>
      </c>
      <c r="J125" s="3288"/>
      <c r="K125" s="2993">
        <f t="shared" si="27"/>
        <v>1</v>
      </c>
      <c r="L125" s="3288"/>
      <c r="M125" s="2993">
        <f t="shared" si="28"/>
        <v>1</v>
      </c>
      <c r="N125" s="3288"/>
      <c r="O125" s="2993">
        <f t="shared" si="29"/>
        <v>1</v>
      </c>
      <c r="P125" s="3288"/>
      <c r="Q125" s="2993">
        <f t="shared" si="30"/>
        <v>1</v>
      </c>
      <c r="R125" s="2736">
        <f t="shared" si="31"/>
        <v>0</v>
      </c>
      <c r="S125" s="2867">
        <f t="shared" si="32"/>
        <v>0</v>
      </c>
    </row>
    <row r="126" spans="1:19">
      <c r="A126" s="2995"/>
      <c r="B126" s="3286"/>
      <c r="C126" s="2993">
        <f t="shared" si="23"/>
        <v>1</v>
      </c>
      <c r="D126" s="3288"/>
      <c r="E126" s="2993">
        <f t="shared" si="24"/>
        <v>1</v>
      </c>
      <c r="F126" s="3288"/>
      <c r="G126" s="2993">
        <f t="shared" si="25"/>
        <v>1</v>
      </c>
      <c r="H126" s="3288"/>
      <c r="I126" s="2993">
        <f t="shared" si="26"/>
        <v>1</v>
      </c>
      <c r="J126" s="3288"/>
      <c r="K126" s="2993">
        <f t="shared" si="27"/>
        <v>1</v>
      </c>
      <c r="L126" s="3288"/>
      <c r="M126" s="2993">
        <f t="shared" si="28"/>
        <v>1</v>
      </c>
      <c r="N126" s="3288"/>
      <c r="O126" s="2993">
        <f t="shared" si="29"/>
        <v>1</v>
      </c>
      <c r="P126" s="3288"/>
      <c r="Q126" s="2993">
        <f t="shared" si="30"/>
        <v>1</v>
      </c>
      <c r="R126" s="2736">
        <f t="shared" si="31"/>
        <v>0</v>
      </c>
      <c r="S126" s="2867">
        <f t="shared" si="32"/>
        <v>0</v>
      </c>
    </row>
    <row r="127" spans="1:19">
      <c r="A127" s="2995"/>
      <c r="B127" s="3286"/>
      <c r="C127" s="2993">
        <f t="shared" si="23"/>
        <v>1</v>
      </c>
      <c r="D127" s="3288"/>
      <c r="E127" s="2993">
        <f t="shared" si="24"/>
        <v>1</v>
      </c>
      <c r="F127" s="3288"/>
      <c r="G127" s="2993">
        <f t="shared" si="25"/>
        <v>1</v>
      </c>
      <c r="H127" s="3288"/>
      <c r="I127" s="2993">
        <f t="shared" si="26"/>
        <v>1</v>
      </c>
      <c r="J127" s="3288"/>
      <c r="K127" s="2993">
        <f t="shared" si="27"/>
        <v>1</v>
      </c>
      <c r="L127" s="3288"/>
      <c r="M127" s="2993">
        <f t="shared" si="28"/>
        <v>1</v>
      </c>
      <c r="N127" s="3288"/>
      <c r="O127" s="2993">
        <f t="shared" si="29"/>
        <v>1</v>
      </c>
      <c r="P127" s="3288"/>
      <c r="Q127" s="2993">
        <f t="shared" si="30"/>
        <v>1</v>
      </c>
      <c r="R127" s="2736">
        <f t="shared" si="31"/>
        <v>0</v>
      </c>
      <c r="S127" s="2867">
        <f t="shared" si="32"/>
        <v>0</v>
      </c>
    </row>
    <row r="128" spans="1:19">
      <c r="A128" s="2995"/>
      <c r="B128" s="3286"/>
      <c r="C128" s="2993">
        <f t="shared" si="23"/>
        <v>1</v>
      </c>
      <c r="D128" s="3288"/>
      <c r="E128" s="2993">
        <f t="shared" si="24"/>
        <v>1</v>
      </c>
      <c r="F128" s="3288"/>
      <c r="G128" s="2993">
        <f t="shared" si="25"/>
        <v>1</v>
      </c>
      <c r="H128" s="3288"/>
      <c r="I128" s="2993">
        <f t="shared" si="26"/>
        <v>1</v>
      </c>
      <c r="J128" s="3288"/>
      <c r="K128" s="2993">
        <f t="shared" si="27"/>
        <v>1</v>
      </c>
      <c r="L128" s="3288"/>
      <c r="M128" s="2993">
        <f t="shared" si="28"/>
        <v>1</v>
      </c>
      <c r="N128" s="3288"/>
      <c r="O128" s="2993">
        <f t="shared" si="29"/>
        <v>1</v>
      </c>
      <c r="P128" s="3288"/>
      <c r="Q128" s="2993">
        <f t="shared" si="30"/>
        <v>1</v>
      </c>
      <c r="R128" s="2736">
        <f t="shared" si="31"/>
        <v>0</v>
      </c>
      <c r="S128" s="2867">
        <f t="shared" si="32"/>
        <v>0</v>
      </c>
    </row>
    <row r="129" spans="1:19">
      <c r="A129" s="2995"/>
      <c r="B129" s="3286"/>
      <c r="C129" s="2993">
        <f t="shared" si="23"/>
        <v>1</v>
      </c>
      <c r="D129" s="3288"/>
      <c r="E129" s="2993">
        <f t="shared" si="24"/>
        <v>1</v>
      </c>
      <c r="F129" s="3288"/>
      <c r="G129" s="2993">
        <f t="shared" si="25"/>
        <v>1</v>
      </c>
      <c r="H129" s="3288"/>
      <c r="I129" s="2993">
        <f t="shared" si="26"/>
        <v>1</v>
      </c>
      <c r="J129" s="3288"/>
      <c r="K129" s="2993">
        <f t="shared" si="27"/>
        <v>1</v>
      </c>
      <c r="L129" s="3288"/>
      <c r="M129" s="2993">
        <f t="shared" si="28"/>
        <v>1</v>
      </c>
      <c r="N129" s="3288"/>
      <c r="O129" s="2993">
        <f t="shared" si="29"/>
        <v>1</v>
      </c>
      <c r="P129" s="3288"/>
      <c r="Q129" s="2993">
        <f t="shared" si="30"/>
        <v>1</v>
      </c>
      <c r="R129" s="2736">
        <f t="shared" si="31"/>
        <v>0</v>
      </c>
      <c r="S129" s="2867">
        <f t="shared" si="32"/>
        <v>0</v>
      </c>
    </row>
    <row r="130" spans="1:19">
      <c r="A130" s="2995"/>
      <c r="B130" s="3286"/>
      <c r="C130" s="2993">
        <f t="shared" si="23"/>
        <v>1</v>
      </c>
      <c r="D130" s="3288"/>
      <c r="E130" s="2993">
        <f t="shared" si="24"/>
        <v>1</v>
      </c>
      <c r="F130" s="3288"/>
      <c r="G130" s="2993">
        <f t="shared" si="25"/>
        <v>1</v>
      </c>
      <c r="H130" s="3288"/>
      <c r="I130" s="2993">
        <f t="shared" si="26"/>
        <v>1</v>
      </c>
      <c r="J130" s="3288"/>
      <c r="K130" s="2993">
        <f t="shared" si="27"/>
        <v>1</v>
      </c>
      <c r="L130" s="3288"/>
      <c r="M130" s="2993">
        <f t="shared" si="28"/>
        <v>1</v>
      </c>
      <c r="N130" s="3288"/>
      <c r="O130" s="2993">
        <f t="shared" si="29"/>
        <v>1</v>
      </c>
      <c r="P130" s="3288"/>
      <c r="Q130" s="2993">
        <f t="shared" si="30"/>
        <v>1</v>
      </c>
      <c r="R130" s="2736">
        <f t="shared" si="31"/>
        <v>0</v>
      </c>
      <c r="S130" s="2867">
        <f t="shared" si="32"/>
        <v>0</v>
      </c>
    </row>
    <row r="131" spans="1:19">
      <c r="A131" s="2995"/>
      <c r="B131" s="3286"/>
      <c r="C131" s="2993">
        <f t="shared" si="23"/>
        <v>1</v>
      </c>
      <c r="D131" s="3288"/>
      <c r="E131" s="2993">
        <f t="shared" si="24"/>
        <v>1</v>
      </c>
      <c r="F131" s="3288"/>
      <c r="G131" s="2993">
        <f t="shared" si="25"/>
        <v>1</v>
      </c>
      <c r="H131" s="3288"/>
      <c r="I131" s="2993">
        <f t="shared" si="26"/>
        <v>1</v>
      </c>
      <c r="J131" s="3288"/>
      <c r="K131" s="2993">
        <f t="shared" si="27"/>
        <v>1</v>
      </c>
      <c r="L131" s="3288"/>
      <c r="M131" s="2993">
        <f t="shared" si="28"/>
        <v>1</v>
      </c>
      <c r="N131" s="3288"/>
      <c r="O131" s="2993">
        <f t="shared" si="29"/>
        <v>1</v>
      </c>
      <c r="P131" s="3288"/>
      <c r="Q131" s="2993">
        <f t="shared" si="30"/>
        <v>1</v>
      </c>
      <c r="R131" s="2736">
        <f t="shared" si="31"/>
        <v>0</v>
      </c>
      <c r="S131" s="2867">
        <f t="shared" si="32"/>
        <v>0</v>
      </c>
    </row>
    <row r="132" spans="1:19">
      <c r="A132" s="2995"/>
      <c r="B132" s="3286"/>
      <c r="C132" s="2993">
        <f t="shared" si="23"/>
        <v>1</v>
      </c>
      <c r="D132" s="3288"/>
      <c r="E132" s="2993">
        <f t="shared" si="24"/>
        <v>1</v>
      </c>
      <c r="F132" s="3288"/>
      <c r="G132" s="2993">
        <f t="shared" si="25"/>
        <v>1</v>
      </c>
      <c r="H132" s="3288"/>
      <c r="I132" s="2993">
        <f t="shared" si="26"/>
        <v>1</v>
      </c>
      <c r="J132" s="3288"/>
      <c r="K132" s="2993">
        <f t="shared" si="27"/>
        <v>1</v>
      </c>
      <c r="L132" s="3288"/>
      <c r="M132" s="2993">
        <f t="shared" si="28"/>
        <v>1</v>
      </c>
      <c r="N132" s="3288"/>
      <c r="O132" s="2993">
        <f t="shared" si="29"/>
        <v>1</v>
      </c>
      <c r="P132" s="3288"/>
      <c r="Q132" s="2993">
        <f t="shared" si="30"/>
        <v>1</v>
      </c>
      <c r="R132" s="2736">
        <f t="shared" si="31"/>
        <v>0</v>
      </c>
      <c r="S132" s="2867">
        <f t="shared" si="32"/>
        <v>0</v>
      </c>
    </row>
    <row r="133" spans="1:19">
      <c r="A133" s="2995"/>
      <c r="B133" s="3286"/>
      <c r="C133" s="2993">
        <f t="shared" si="23"/>
        <v>1</v>
      </c>
      <c r="D133" s="3288"/>
      <c r="E133" s="2993">
        <f t="shared" si="24"/>
        <v>1</v>
      </c>
      <c r="F133" s="3288"/>
      <c r="G133" s="2993">
        <f t="shared" si="25"/>
        <v>1</v>
      </c>
      <c r="H133" s="3288"/>
      <c r="I133" s="2993">
        <f t="shared" si="26"/>
        <v>1</v>
      </c>
      <c r="J133" s="3288"/>
      <c r="K133" s="2993">
        <f t="shared" si="27"/>
        <v>1</v>
      </c>
      <c r="L133" s="3288"/>
      <c r="M133" s="2993">
        <f t="shared" si="28"/>
        <v>1</v>
      </c>
      <c r="N133" s="3288"/>
      <c r="O133" s="2993">
        <f t="shared" si="29"/>
        <v>1</v>
      </c>
      <c r="P133" s="3288"/>
      <c r="Q133" s="2993">
        <f t="shared" si="30"/>
        <v>1</v>
      </c>
      <c r="R133" s="2736">
        <f t="shared" si="31"/>
        <v>0</v>
      </c>
      <c r="S133" s="2867">
        <f t="shared" si="32"/>
        <v>0</v>
      </c>
    </row>
    <row r="134" spans="1:19">
      <c r="A134" s="2995"/>
      <c r="B134" s="3286"/>
      <c r="C134" s="2993">
        <f t="shared" si="23"/>
        <v>1</v>
      </c>
      <c r="D134" s="3288"/>
      <c r="E134" s="2993">
        <f t="shared" si="24"/>
        <v>1</v>
      </c>
      <c r="F134" s="3288"/>
      <c r="G134" s="2993">
        <f t="shared" si="25"/>
        <v>1</v>
      </c>
      <c r="H134" s="3288"/>
      <c r="I134" s="2993">
        <f t="shared" si="26"/>
        <v>1</v>
      </c>
      <c r="J134" s="3288"/>
      <c r="K134" s="2993">
        <f t="shared" si="27"/>
        <v>1</v>
      </c>
      <c r="L134" s="3288"/>
      <c r="M134" s="2993">
        <f t="shared" si="28"/>
        <v>1</v>
      </c>
      <c r="N134" s="3288"/>
      <c r="O134" s="2993">
        <f t="shared" si="29"/>
        <v>1</v>
      </c>
      <c r="P134" s="3288"/>
      <c r="Q134" s="2993">
        <f t="shared" si="30"/>
        <v>1</v>
      </c>
      <c r="R134" s="2736">
        <f t="shared" si="31"/>
        <v>0</v>
      </c>
      <c r="S134" s="2867">
        <f t="shared" si="32"/>
        <v>0</v>
      </c>
    </row>
    <row r="135" spans="1:19">
      <c r="A135" s="2995"/>
      <c r="B135" s="3286"/>
      <c r="C135" s="2993">
        <f t="shared" si="23"/>
        <v>1</v>
      </c>
      <c r="D135" s="3288"/>
      <c r="E135" s="2993">
        <f t="shared" si="24"/>
        <v>1</v>
      </c>
      <c r="F135" s="3288"/>
      <c r="G135" s="2993">
        <f t="shared" si="25"/>
        <v>1</v>
      </c>
      <c r="H135" s="3288"/>
      <c r="I135" s="2993">
        <f t="shared" si="26"/>
        <v>1</v>
      </c>
      <c r="J135" s="3288"/>
      <c r="K135" s="2993">
        <f t="shared" si="27"/>
        <v>1</v>
      </c>
      <c r="L135" s="3288"/>
      <c r="M135" s="2993">
        <f t="shared" si="28"/>
        <v>1</v>
      </c>
      <c r="N135" s="3288"/>
      <c r="O135" s="2993">
        <f t="shared" si="29"/>
        <v>1</v>
      </c>
      <c r="P135" s="3288"/>
      <c r="Q135" s="2993">
        <f t="shared" si="30"/>
        <v>1</v>
      </c>
      <c r="R135" s="2736">
        <f t="shared" si="31"/>
        <v>0</v>
      </c>
      <c r="S135" s="2867">
        <f t="shared" si="32"/>
        <v>0</v>
      </c>
    </row>
    <row r="136" spans="1:19">
      <c r="A136" s="2995"/>
      <c r="B136" s="3286"/>
      <c r="C136" s="2993">
        <f t="shared" si="23"/>
        <v>1</v>
      </c>
      <c r="D136" s="3288"/>
      <c r="E136" s="2993">
        <f t="shared" si="24"/>
        <v>1</v>
      </c>
      <c r="F136" s="3288"/>
      <c r="G136" s="2993">
        <f t="shared" si="25"/>
        <v>1</v>
      </c>
      <c r="H136" s="3288"/>
      <c r="I136" s="2993">
        <f t="shared" si="26"/>
        <v>1</v>
      </c>
      <c r="J136" s="3288"/>
      <c r="K136" s="2993">
        <f t="shared" si="27"/>
        <v>1</v>
      </c>
      <c r="L136" s="3288"/>
      <c r="M136" s="2993">
        <f t="shared" si="28"/>
        <v>1</v>
      </c>
      <c r="N136" s="3288"/>
      <c r="O136" s="2993">
        <f t="shared" si="29"/>
        <v>1</v>
      </c>
      <c r="P136" s="3288"/>
      <c r="Q136" s="2993">
        <f t="shared" si="30"/>
        <v>1</v>
      </c>
      <c r="R136" s="2736">
        <f t="shared" si="31"/>
        <v>0</v>
      </c>
      <c r="S136" s="2867">
        <f t="shared" si="32"/>
        <v>0</v>
      </c>
    </row>
    <row r="137" spans="1:19">
      <c r="A137" s="2995"/>
      <c r="B137" s="3286"/>
      <c r="C137" s="2993">
        <f t="shared" si="23"/>
        <v>1</v>
      </c>
      <c r="D137" s="3288"/>
      <c r="E137" s="2993">
        <f t="shared" si="24"/>
        <v>1</v>
      </c>
      <c r="F137" s="3288"/>
      <c r="G137" s="2993">
        <f t="shared" si="25"/>
        <v>1</v>
      </c>
      <c r="H137" s="3288"/>
      <c r="I137" s="2993">
        <f t="shared" si="26"/>
        <v>1</v>
      </c>
      <c r="J137" s="3288"/>
      <c r="K137" s="2993">
        <f t="shared" si="27"/>
        <v>1</v>
      </c>
      <c r="L137" s="3288"/>
      <c r="M137" s="2993">
        <f t="shared" si="28"/>
        <v>1</v>
      </c>
      <c r="N137" s="3288"/>
      <c r="O137" s="2993">
        <f t="shared" si="29"/>
        <v>1</v>
      </c>
      <c r="P137" s="3288"/>
      <c r="Q137" s="2993">
        <f t="shared" si="30"/>
        <v>1</v>
      </c>
      <c r="R137" s="2736">
        <f t="shared" si="31"/>
        <v>0</v>
      </c>
      <c r="S137" s="2867">
        <f t="shared" si="32"/>
        <v>0</v>
      </c>
    </row>
    <row r="138" spans="1:19">
      <c r="A138" s="2995"/>
      <c r="B138" s="3286"/>
      <c r="C138" s="2993">
        <f t="shared" si="23"/>
        <v>1</v>
      </c>
      <c r="D138" s="3288"/>
      <c r="E138" s="2993">
        <f t="shared" si="24"/>
        <v>1</v>
      </c>
      <c r="F138" s="3288"/>
      <c r="G138" s="2993">
        <f t="shared" si="25"/>
        <v>1</v>
      </c>
      <c r="H138" s="3288"/>
      <c r="I138" s="2993">
        <f t="shared" si="26"/>
        <v>1</v>
      </c>
      <c r="J138" s="3288"/>
      <c r="K138" s="2993">
        <f t="shared" si="27"/>
        <v>1</v>
      </c>
      <c r="L138" s="3288"/>
      <c r="M138" s="2993">
        <f t="shared" si="28"/>
        <v>1</v>
      </c>
      <c r="N138" s="3288"/>
      <c r="O138" s="2993">
        <f t="shared" si="29"/>
        <v>1</v>
      </c>
      <c r="P138" s="3288"/>
      <c r="Q138" s="2993">
        <f t="shared" si="30"/>
        <v>1</v>
      </c>
      <c r="R138" s="2736">
        <f t="shared" si="31"/>
        <v>0</v>
      </c>
      <c r="S138" s="2867">
        <f t="shared" si="32"/>
        <v>0</v>
      </c>
    </row>
    <row r="139" spans="1:19">
      <c r="A139" s="2995"/>
      <c r="B139" s="3286"/>
      <c r="C139" s="2993">
        <f t="shared" si="23"/>
        <v>1</v>
      </c>
      <c r="D139" s="3288"/>
      <c r="E139" s="2993">
        <f t="shared" si="24"/>
        <v>1</v>
      </c>
      <c r="F139" s="3288"/>
      <c r="G139" s="2993">
        <f t="shared" si="25"/>
        <v>1</v>
      </c>
      <c r="H139" s="3288"/>
      <c r="I139" s="2993">
        <f t="shared" si="26"/>
        <v>1</v>
      </c>
      <c r="J139" s="3288"/>
      <c r="K139" s="2993">
        <f t="shared" si="27"/>
        <v>1</v>
      </c>
      <c r="L139" s="3288"/>
      <c r="M139" s="2993">
        <f t="shared" si="28"/>
        <v>1</v>
      </c>
      <c r="N139" s="3288"/>
      <c r="O139" s="2993">
        <f t="shared" si="29"/>
        <v>1</v>
      </c>
      <c r="P139" s="3288"/>
      <c r="Q139" s="2993">
        <f t="shared" si="30"/>
        <v>1</v>
      </c>
      <c r="R139" s="2736">
        <f t="shared" si="31"/>
        <v>0</v>
      </c>
      <c r="S139" s="2867">
        <f t="shared" si="32"/>
        <v>0</v>
      </c>
    </row>
    <row r="140" spans="1:19">
      <c r="A140" s="2995"/>
      <c r="B140" s="3286"/>
      <c r="C140" s="2993">
        <f t="shared" si="23"/>
        <v>1</v>
      </c>
      <c r="D140" s="3288"/>
      <c r="E140" s="2993">
        <f t="shared" si="24"/>
        <v>1</v>
      </c>
      <c r="F140" s="3288"/>
      <c r="G140" s="2993">
        <f t="shared" si="25"/>
        <v>1</v>
      </c>
      <c r="H140" s="3288"/>
      <c r="I140" s="2993">
        <f t="shared" si="26"/>
        <v>1</v>
      </c>
      <c r="J140" s="3288"/>
      <c r="K140" s="2993">
        <f t="shared" si="27"/>
        <v>1</v>
      </c>
      <c r="L140" s="3288"/>
      <c r="M140" s="2993">
        <f t="shared" si="28"/>
        <v>1</v>
      </c>
      <c r="N140" s="3288"/>
      <c r="O140" s="2993">
        <f t="shared" si="29"/>
        <v>1</v>
      </c>
      <c r="P140" s="3288"/>
      <c r="Q140" s="2993">
        <f t="shared" si="30"/>
        <v>1</v>
      </c>
      <c r="R140" s="2736">
        <f t="shared" si="31"/>
        <v>0</v>
      </c>
      <c r="S140" s="2867">
        <f t="shared" si="32"/>
        <v>0</v>
      </c>
    </row>
    <row r="141" spans="1:19">
      <c r="A141" s="2995"/>
      <c r="B141" s="3286"/>
      <c r="C141" s="2993">
        <f t="shared" si="23"/>
        <v>1</v>
      </c>
      <c r="D141" s="3288"/>
      <c r="E141" s="2993">
        <f t="shared" si="24"/>
        <v>1</v>
      </c>
      <c r="F141" s="3288"/>
      <c r="G141" s="2993">
        <f t="shared" si="25"/>
        <v>1</v>
      </c>
      <c r="H141" s="3288"/>
      <c r="I141" s="2993">
        <f t="shared" si="26"/>
        <v>1</v>
      </c>
      <c r="J141" s="3288"/>
      <c r="K141" s="2993">
        <f t="shared" si="27"/>
        <v>1</v>
      </c>
      <c r="L141" s="3288"/>
      <c r="M141" s="2993">
        <f t="shared" si="28"/>
        <v>1</v>
      </c>
      <c r="N141" s="3288"/>
      <c r="O141" s="2993">
        <f t="shared" si="29"/>
        <v>1</v>
      </c>
      <c r="P141" s="3288"/>
      <c r="Q141" s="2993">
        <f t="shared" si="30"/>
        <v>1</v>
      </c>
      <c r="R141" s="2736">
        <f t="shared" si="31"/>
        <v>0</v>
      </c>
      <c r="S141" s="2867">
        <f t="shared" si="32"/>
        <v>0</v>
      </c>
    </row>
    <row r="142" spans="1:19">
      <c r="A142" s="2995"/>
      <c r="B142" s="3286"/>
      <c r="C142" s="2993">
        <f t="shared" si="23"/>
        <v>1</v>
      </c>
      <c r="D142" s="3288"/>
      <c r="E142" s="2993">
        <f t="shared" si="24"/>
        <v>1</v>
      </c>
      <c r="F142" s="3288"/>
      <c r="G142" s="2993">
        <f t="shared" si="25"/>
        <v>1</v>
      </c>
      <c r="H142" s="3288"/>
      <c r="I142" s="2993">
        <f t="shared" si="26"/>
        <v>1</v>
      </c>
      <c r="J142" s="3288"/>
      <c r="K142" s="2993">
        <f t="shared" si="27"/>
        <v>1</v>
      </c>
      <c r="L142" s="3288"/>
      <c r="M142" s="2993">
        <f t="shared" si="28"/>
        <v>1</v>
      </c>
      <c r="N142" s="3288"/>
      <c r="O142" s="2993">
        <f t="shared" si="29"/>
        <v>1</v>
      </c>
      <c r="P142" s="3288"/>
      <c r="Q142" s="2993">
        <f t="shared" si="30"/>
        <v>1</v>
      </c>
      <c r="R142" s="2736">
        <f t="shared" si="31"/>
        <v>0</v>
      </c>
      <c r="S142" s="2867">
        <f t="shared" si="32"/>
        <v>0</v>
      </c>
    </row>
    <row r="143" spans="1:19">
      <c r="A143" s="2995"/>
      <c r="B143" s="3286"/>
      <c r="C143" s="2993">
        <f t="shared" si="23"/>
        <v>1</v>
      </c>
      <c r="D143" s="3288"/>
      <c r="E143" s="2993">
        <f t="shared" si="24"/>
        <v>1</v>
      </c>
      <c r="F143" s="3288"/>
      <c r="G143" s="2993">
        <f t="shared" si="25"/>
        <v>1</v>
      </c>
      <c r="H143" s="3288"/>
      <c r="I143" s="2993">
        <f t="shared" si="26"/>
        <v>1</v>
      </c>
      <c r="J143" s="3288"/>
      <c r="K143" s="2993">
        <f t="shared" si="27"/>
        <v>1</v>
      </c>
      <c r="L143" s="3288"/>
      <c r="M143" s="2993">
        <f t="shared" si="28"/>
        <v>1</v>
      </c>
      <c r="N143" s="3288"/>
      <c r="O143" s="2993">
        <f t="shared" si="29"/>
        <v>1</v>
      </c>
      <c r="P143" s="3288"/>
      <c r="Q143" s="2993">
        <f t="shared" si="30"/>
        <v>1</v>
      </c>
      <c r="R143" s="2736">
        <f t="shared" si="31"/>
        <v>0</v>
      </c>
      <c r="S143" s="2867">
        <f t="shared" si="32"/>
        <v>0</v>
      </c>
    </row>
    <row r="144" spans="1:19">
      <c r="A144" s="2995"/>
      <c r="B144" s="3286"/>
      <c r="C144" s="2993">
        <f t="shared" si="23"/>
        <v>1</v>
      </c>
      <c r="D144" s="3288"/>
      <c r="E144" s="2993">
        <f t="shared" si="24"/>
        <v>1</v>
      </c>
      <c r="F144" s="3288"/>
      <c r="G144" s="2993">
        <f t="shared" si="25"/>
        <v>1</v>
      </c>
      <c r="H144" s="3288"/>
      <c r="I144" s="2993">
        <f t="shared" si="26"/>
        <v>1</v>
      </c>
      <c r="J144" s="3288"/>
      <c r="K144" s="2993">
        <f t="shared" si="27"/>
        <v>1</v>
      </c>
      <c r="L144" s="3288"/>
      <c r="M144" s="2993">
        <f t="shared" si="28"/>
        <v>1</v>
      </c>
      <c r="N144" s="3288"/>
      <c r="O144" s="2993">
        <f t="shared" si="29"/>
        <v>1</v>
      </c>
      <c r="P144" s="3288"/>
      <c r="Q144" s="2993">
        <f t="shared" si="30"/>
        <v>1</v>
      </c>
      <c r="R144" s="2736">
        <f t="shared" si="31"/>
        <v>0</v>
      </c>
      <c r="S144" s="2867">
        <f t="shared" si="32"/>
        <v>0</v>
      </c>
    </row>
    <row r="145" spans="1:19">
      <c r="A145" s="2995"/>
      <c r="B145" s="3286"/>
      <c r="C145" s="2993">
        <f t="shared" si="23"/>
        <v>1</v>
      </c>
      <c r="D145" s="3288"/>
      <c r="E145" s="2993">
        <f t="shared" si="24"/>
        <v>1</v>
      </c>
      <c r="F145" s="3288"/>
      <c r="G145" s="2993">
        <f t="shared" si="25"/>
        <v>1</v>
      </c>
      <c r="H145" s="3288"/>
      <c r="I145" s="2993">
        <f t="shared" si="26"/>
        <v>1</v>
      </c>
      <c r="J145" s="3288"/>
      <c r="K145" s="2993">
        <f t="shared" si="27"/>
        <v>1</v>
      </c>
      <c r="L145" s="3288"/>
      <c r="M145" s="2993">
        <f t="shared" si="28"/>
        <v>1</v>
      </c>
      <c r="N145" s="3288"/>
      <c r="O145" s="2993">
        <f t="shared" si="29"/>
        <v>1</v>
      </c>
      <c r="P145" s="3288"/>
      <c r="Q145" s="2993">
        <f t="shared" si="30"/>
        <v>1</v>
      </c>
      <c r="R145" s="2736">
        <f t="shared" si="31"/>
        <v>0</v>
      </c>
      <c r="S145" s="2867">
        <f t="shared" si="32"/>
        <v>0</v>
      </c>
    </row>
    <row r="146" spans="1:19">
      <c r="A146" s="2995"/>
      <c r="B146" s="3286"/>
      <c r="C146" s="2993">
        <f t="shared" si="23"/>
        <v>1</v>
      </c>
      <c r="D146" s="3288"/>
      <c r="E146" s="2993">
        <f t="shared" si="24"/>
        <v>1</v>
      </c>
      <c r="F146" s="3288"/>
      <c r="G146" s="2993">
        <f t="shared" si="25"/>
        <v>1</v>
      </c>
      <c r="H146" s="3288"/>
      <c r="I146" s="2993">
        <f t="shared" si="26"/>
        <v>1</v>
      </c>
      <c r="J146" s="3288"/>
      <c r="K146" s="2993">
        <f t="shared" si="27"/>
        <v>1</v>
      </c>
      <c r="L146" s="3288"/>
      <c r="M146" s="2993">
        <f t="shared" si="28"/>
        <v>1</v>
      </c>
      <c r="N146" s="3288"/>
      <c r="O146" s="2993">
        <f t="shared" si="29"/>
        <v>1</v>
      </c>
      <c r="P146" s="3288"/>
      <c r="Q146" s="2993">
        <f t="shared" si="30"/>
        <v>1</v>
      </c>
      <c r="R146" s="2736">
        <f t="shared" si="31"/>
        <v>0</v>
      </c>
      <c r="S146" s="2867">
        <f t="shared" si="32"/>
        <v>0</v>
      </c>
    </row>
    <row r="147" spans="1:19">
      <c r="A147" s="2995"/>
      <c r="B147" s="3286"/>
      <c r="C147" s="2993">
        <f t="shared" si="23"/>
        <v>1</v>
      </c>
      <c r="D147" s="3288"/>
      <c r="E147" s="2993">
        <f t="shared" si="24"/>
        <v>1</v>
      </c>
      <c r="F147" s="3288"/>
      <c r="G147" s="2993">
        <f t="shared" si="25"/>
        <v>1</v>
      </c>
      <c r="H147" s="3288"/>
      <c r="I147" s="2993">
        <f t="shared" si="26"/>
        <v>1</v>
      </c>
      <c r="J147" s="3288"/>
      <c r="K147" s="2993">
        <f t="shared" si="27"/>
        <v>1</v>
      </c>
      <c r="L147" s="3288"/>
      <c r="M147" s="2993">
        <f t="shared" si="28"/>
        <v>1</v>
      </c>
      <c r="N147" s="3288"/>
      <c r="O147" s="2993">
        <f t="shared" si="29"/>
        <v>1</v>
      </c>
      <c r="P147" s="3288"/>
      <c r="Q147" s="2993">
        <f t="shared" si="30"/>
        <v>1</v>
      </c>
      <c r="R147" s="2736">
        <f t="shared" si="31"/>
        <v>0</v>
      </c>
      <c r="S147" s="2867">
        <f t="shared" si="32"/>
        <v>0</v>
      </c>
    </row>
    <row r="148" spans="1:19">
      <c r="A148" s="2995"/>
      <c r="B148" s="3286"/>
      <c r="C148" s="2993">
        <f t="shared" si="23"/>
        <v>1</v>
      </c>
      <c r="D148" s="3288"/>
      <c r="E148" s="2993">
        <f t="shared" si="24"/>
        <v>1</v>
      </c>
      <c r="F148" s="3288"/>
      <c r="G148" s="2993">
        <f t="shared" si="25"/>
        <v>1</v>
      </c>
      <c r="H148" s="3288"/>
      <c r="I148" s="2993">
        <f t="shared" si="26"/>
        <v>1</v>
      </c>
      <c r="J148" s="3288"/>
      <c r="K148" s="2993">
        <f t="shared" si="27"/>
        <v>1</v>
      </c>
      <c r="L148" s="3288"/>
      <c r="M148" s="2993">
        <f t="shared" si="28"/>
        <v>1</v>
      </c>
      <c r="N148" s="3288"/>
      <c r="O148" s="2993">
        <f t="shared" si="29"/>
        <v>1</v>
      </c>
      <c r="P148" s="3288"/>
      <c r="Q148" s="2993">
        <f t="shared" si="30"/>
        <v>1</v>
      </c>
      <c r="R148" s="2736">
        <f t="shared" si="31"/>
        <v>0</v>
      </c>
      <c r="S148" s="2867">
        <f t="shared" si="32"/>
        <v>0</v>
      </c>
    </row>
    <row r="149" spans="1:19">
      <c r="A149" s="2995"/>
      <c r="B149" s="3286"/>
      <c r="C149" s="2993">
        <f t="shared" si="23"/>
        <v>1</v>
      </c>
      <c r="D149" s="3288"/>
      <c r="E149" s="2993">
        <f t="shared" si="24"/>
        <v>1</v>
      </c>
      <c r="F149" s="3288"/>
      <c r="G149" s="2993">
        <f t="shared" si="25"/>
        <v>1</v>
      </c>
      <c r="H149" s="3288"/>
      <c r="I149" s="2993">
        <f t="shared" si="26"/>
        <v>1</v>
      </c>
      <c r="J149" s="3288"/>
      <c r="K149" s="2993">
        <f t="shared" si="27"/>
        <v>1</v>
      </c>
      <c r="L149" s="3288"/>
      <c r="M149" s="2993">
        <f t="shared" si="28"/>
        <v>1</v>
      </c>
      <c r="N149" s="3288"/>
      <c r="O149" s="2993">
        <f t="shared" si="29"/>
        <v>1</v>
      </c>
      <c r="P149" s="3288"/>
      <c r="Q149" s="2993">
        <f t="shared" si="30"/>
        <v>1</v>
      </c>
      <c r="R149" s="2736">
        <f t="shared" si="31"/>
        <v>0</v>
      </c>
      <c r="S149" s="2867">
        <f t="shared" si="32"/>
        <v>0</v>
      </c>
    </row>
    <row r="150" spans="1:19">
      <c r="A150" s="2995"/>
      <c r="B150" s="3286"/>
      <c r="C150" s="2993">
        <f t="shared" si="23"/>
        <v>1</v>
      </c>
      <c r="D150" s="3288"/>
      <c r="E150" s="2993">
        <f t="shared" si="24"/>
        <v>1</v>
      </c>
      <c r="F150" s="3288"/>
      <c r="G150" s="2993">
        <f t="shared" si="25"/>
        <v>1</v>
      </c>
      <c r="H150" s="3288"/>
      <c r="I150" s="2993">
        <f t="shared" si="26"/>
        <v>1</v>
      </c>
      <c r="J150" s="3288"/>
      <c r="K150" s="2993">
        <f t="shared" si="27"/>
        <v>1</v>
      </c>
      <c r="L150" s="3288"/>
      <c r="M150" s="2993">
        <f t="shared" si="28"/>
        <v>1</v>
      </c>
      <c r="N150" s="3288"/>
      <c r="O150" s="2993">
        <f t="shared" si="29"/>
        <v>1</v>
      </c>
      <c r="P150" s="3288"/>
      <c r="Q150" s="2993">
        <f t="shared" si="30"/>
        <v>1</v>
      </c>
      <c r="R150" s="2736">
        <f t="shared" si="31"/>
        <v>0</v>
      </c>
      <c r="S150" s="2867">
        <f t="shared" si="32"/>
        <v>0</v>
      </c>
    </row>
    <row r="151" spans="1:19">
      <c r="A151" s="2995"/>
      <c r="B151" s="3286"/>
      <c r="C151" s="2993">
        <f t="shared" si="23"/>
        <v>1</v>
      </c>
      <c r="D151" s="3288"/>
      <c r="E151" s="2993">
        <f t="shared" si="24"/>
        <v>1</v>
      </c>
      <c r="F151" s="3288"/>
      <c r="G151" s="2993">
        <f t="shared" si="25"/>
        <v>1</v>
      </c>
      <c r="H151" s="3288"/>
      <c r="I151" s="2993">
        <f t="shared" si="26"/>
        <v>1</v>
      </c>
      <c r="J151" s="3288"/>
      <c r="K151" s="2993">
        <f t="shared" si="27"/>
        <v>1</v>
      </c>
      <c r="L151" s="3288"/>
      <c r="M151" s="2993">
        <f t="shared" si="28"/>
        <v>1</v>
      </c>
      <c r="N151" s="3288"/>
      <c r="O151" s="2993">
        <f t="shared" si="29"/>
        <v>1</v>
      </c>
      <c r="P151" s="3288"/>
      <c r="Q151" s="2993">
        <f t="shared" si="30"/>
        <v>1</v>
      </c>
      <c r="R151" s="2736">
        <f t="shared" si="31"/>
        <v>0</v>
      </c>
      <c r="S151" s="2867">
        <f t="shared" si="32"/>
        <v>0</v>
      </c>
    </row>
    <row r="152" spans="1:19">
      <c r="A152" s="2995"/>
      <c r="B152" s="3286"/>
      <c r="C152" s="2993">
        <f t="shared" si="23"/>
        <v>1</v>
      </c>
      <c r="D152" s="3288"/>
      <c r="E152" s="2993">
        <f t="shared" si="24"/>
        <v>1</v>
      </c>
      <c r="F152" s="3288"/>
      <c r="G152" s="2993">
        <f t="shared" si="25"/>
        <v>1</v>
      </c>
      <c r="H152" s="3288"/>
      <c r="I152" s="2993">
        <f t="shared" si="26"/>
        <v>1</v>
      </c>
      <c r="J152" s="3288"/>
      <c r="K152" s="2993">
        <f t="shared" si="27"/>
        <v>1</v>
      </c>
      <c r="L152" s="3288"/>
      <c r="M152" s="2993">
        <f t="shared" si="28"/>
        <v>1</v>
      </c>
      <c r="N152" s="3288"/>
      <c r="O152" s="2993">
        <f t="shared" si="29"/>
        <v>1</v>
      </c>
      <c r="P152" s="3288"/>
      <c r="Q152" s="2993">
        <f t="shared" si="30"/>
        <v>1</v>
      </c>
      <c r="R152" s="2736">
        <f t="shared" si="31"/>
        <v>0</v>
      </c>
      <c r="S152" s="2867">
        <f t="shared" si="32"/>
        <v>0</v>
      </c>
    </row>
    <row r="153" spans="1:19">
      <c r="A153" s="2995"/>
      <c r="B153" s="3286"/>
      <c r="C153" s="2993">
        <f t="shared" si="23"/>
        <v>1</v>
      </c>
      <c r="D153" s="3288"/>
      <c r="E153" s="2993">
        <f t="shared" si="24"/>
        <v>1</v>
      </c>
      <c r="F153" s="3288"/>
      <c r="G153" s="2993">
        <f t="shared" si="25"/>
        <v>1</v>
      </c>
      <c r="H153" s="3288"/>
      <c r="I153" s="2993">
        <f t="shared" si="26"/>
        <v>1</v>
      </c>
      <c r="J153" s="3288"/>
      <c r="K153" s="2993">
        <f t="shared" si="27"/>
        <v>1</v>
      </c>
      <c r="L153" s="3288"/>
      <c r="M153" s="2993">
        <f t="shared" si="28"/>
        <v>1</v>
      </c>
      <c r="N153" s="3288"/>
      <c r="O153" s="2993">
        <f t="shared" si="29"/>
        <v>1</v>
      </c>
      <c r="P153" s="3288"/>
      <c r="Q153" s="2993">
        <f t="shared" si="30"/>
        <v>1</v>
      </c>
      <c r="R153" s="2736">
        <f t="shared" si="31"/>
        <v>0</v>
      </c>
      <c r="S153" s="2867">
        <f t="shared" si="32"/>
        <v>0</v>
      </c>
    </row>
    <row r="154" spans="1:19">
      <c r="A154" s="2995"/>
      <c r="B154" s="3286"/>
      <c r="C154" s="2993">
        <f t="shared" ref="C154:C217" si="33">IF(B154="",1,(LOOKUP(B154,$3:$3,$4:$4)-LOOKUP($B$24,$3:$3,$4:$4)+100)/100)</f>
        <v>1</v>
      </c>
      <c r="D154" s="3288"/>
      <c r="E154" s="2993">
        <f t="shared" ref="E154:E217" si="34">(SUMIF($5:$5,D154,$6:$6)-SUMIF($5:$5,$D$24,$6:$6)+100)/100</f>
        <v>1</v>
      </c>
      <c r="F154" s="3288"/>
      <c r="G154" s="2993">
        <f t="shared" ref="G154:G217" si="35">(SUMIF($7:$7,F154,$8:$8)-SUMIF($7:$7,$F$24,$8:$8)+100)/100</f>
        <v>1</v>
      </c>
      <c r="H154" s="3288"/>
      <c r="I154" s="2993">
        <f t="shared" ref="I154:I217" si="36">(SUMIF($9:$9,H154,$10:$10)-SUMIF($9:$9,$H$24,$10:$10)+100)/100</f>
        <v>1</v>
      </c>
      <c r="J154" s="3288"/>
      <c r="K154" s="2993">
        <f t="shared" ref="K154:K217" si="37">(SUMIF($11:$11,J154,$12:$12)-SUMIF($11:$11,$J$24,$12:$12)+100)/100</f>
        <v>1</v>
      </c>
      <c r="L154" s="3288"/>
      <c r="M154" s="2993">
        <f t="shared" ref="M154:M217" si="38">(SUMIF($13:$13,L154,$14:$14)-SUMIF($13:$13,$L$24,$14:$14)+100)/100</f>
        <v>1</v>
      </c>
      <c r="N154" s="3288"/>
      <c r="O154" s="2993">
        <f t="shared" ref="O154:O217" si="39">(SUMIF($15:$15,N154,$16:$16)-SUMIF($15:$15,$N$24,$16:$16)+100)/100</f>
        <v>1</v>
      </c>
      <c r="P154" s="3288"/>
      <c r="Q154" s="2993">
        <f t="shared" ref="Q154:Q217" si="40">(SUMIF($17:$17,P154,$18:$18)-SUMIF($17:$17,$P$24,$18:$18)+100)/100</f>
        <v>1</v>
      </c>
      <c r="R154" s="2736">
        <f t="shared" ref="R154:R217" si="41">IF(B154="",0,ROUND($R$24*C154*E154*G154*I154*K154*M154*O154*Q154,0))</f>
        <v>0</v>
      </c>
      <c r="S154" s="2867">
        <f t="shared" si="32"/>
        <v>0</v>
      </c>
    </row>
    <row r="155" spans="1:19">
      <c r="A155" s="2995"/>
      <c r="B155" s="3286"/>
      <c r="C155" s="2993">
        <f t="shared" si="33"/>
        <v>1</v>
      </c>
      <c r="D155" s="3288"/>
      <c r="E155" s="2993">
        <f t="shared" si="34"/>
        <v>1</v>
      </c>
      <c r="F155" s="3288"/>
      <c r="G155" s="2993">
        <f t="shared" si="35"/>
        <v>1</v>
      </c>
      <c r="H155" s="3288"/>
      <c r="I155" s="2993">
        <f t="shared" si="36"/>
        <v>1</v>
      </c>
      <c r="J155" s="3288"/>
      <c r="K155" s="2993">
        <f t="shared" si="37"/>
        <v>1</v>
      </c>
      <c r="L155" s="3288"/>
      <c r="M155" s="2993">
        <f t="shared" si="38"/>
        <v>1</v>
      </c>
      <c r="N155" s="3288"/>
      <c r="O155" s="2993">
        <f t="shared" si="39"/>
        <v>1</v>
      </c>
      <c r="P155" s="3288"/>
      <c r="Q155" s="2993">
        <f t="shared" si="40"/>
        <v>1</v>
      </c>
      <c r="R155" s="2736">
        <f t="shared" si="41"/>
        <v>0</v>
      </c>
      <c r="S155" s="2867">
        <f t="shared" si="32"/>
        <v>0</v>
      </c>
    </row>
    <row r="156" spans="1:19">
      <c r="A156" s="2995"/>
      <c r="B156" s="3286"/>
      <c r="C156" s="2993">
        <f t="shared" si="33"/>
        <v>1</v>
      </c>
      <c r="D156" s="3288"/>
      <c r="E156" s="2993">
        <f t="shared" si="34"/>
        <v>1</v>
      </c>
      <c r="F156" s="3288"/>
      <c r="G156" s="2993">
        <f t="shared" si="35"/>
        <v>1</v>
      </c>
      <c r="H156" s="3288"/>
      <c r="I156" s="2993">
        <f t="shared" si="36"/>
        <v>1</v>
      </c>
      <c r="J156" s="3288"/>
      <c r="K156" s="2993">
        <f t="shared" si="37"/>
        <v>1</v>
      </c>
      <c r="L156" s="3288"/>
      <c r="M156" s="2993">
        <f t="shared" si="38"/>
        <v>1</v>
      </c>
      <c r="N156" s="3288"/>
      <c r="O156" s="2993">
        <f t="shared" si="39"/>
        <v>1</v>
      </c>
      <c r="P156" s="3288"/>
      <c r="Q156" s="2993">
        <f t="shared" si="40"/>
        <v>1</v>
      </c>
      <c r="R156" s="2736">
        <f t="shared" si="41"/>
        <v>0</v>
      </c>
      <c r="S156" s="2867">
        <f t="shared" si="32"/>
        <v>0</v>
      </c>
    </row>
    <row r="157" spans="1:19">
      <c r="A157" s="2995"/>
      <c r="B157" s="3286"/>
      <c r="C157" s="2993">
        <f t="shared" si="33"/>
        <v>1</v>
      </c>
      <c r="D157" s="3288"/>
      <c r="E157" s="2993">
        <f t="shared" si="34"/>
        <v>1</v>
      </c>
      <c r="F157" s="3288"/>
      <c r="G157" s="2993">
        <f t="shared" si="35"/>
        <v>1</v>
      </c>
      <c r="H157" s="3288"/>
      <c r="I157" s="2993">
        <f t="shared" si="36"/>
        <v>1</v>
      </c>
      <c r="J157" s="3288"/>
      <c r="K157" s="2993">
        <f t="shared" si="37"/>
        <v>1</v>
      </c>
      <c r="L157" s="3288"/>
      <c r="M157" s="2993">
        <f t="shared" si="38"/>
        <v>1</v>
      </c>
      <c r="N157" s="3288"/>
      <c r="O157" s="2993">
        <f t="shared" si="39"/>
        <v>1</v>
      </c>
      <c r="P157" s="3288"/>
      <c r="Q157" s="2993">
        <f t="shared" si="40"/>
        <v>1</v>
      </c>
      <c r="R157" s="2736">
        <f t="shared" si="41"/>
        <v>0</v>
      </c>
      <c r="S157" s="2867">
        <f t="shared" si="32"/>
        <v>0</v>
      </c>
    </row>
    <row r="158" spans="1:19">
      <c r="A158" s="2995"/>
      <c r="B158" s="3286"/>
      <c r="C158" s="2993">
        <f t="shared" si="33"/>
        <v>1</v>
      </c>
      <c r="D158" s="3288"/>
      <c r="E158" s="2993">
        <f t="shared" si="34"/>
        <v>1</v>
      </c>
      <c r="F158" s="3288"/>
      <c r="G158" s="2993">
        <f t="shared" si="35"/>
        <v>1</v>
      </c>
      <c r="H158" s="3288"/>
      <c r="I158" s="2993">
        <f t="shared" si="36"/>
        <v>1</v>
      </c>
      <c r="J158" s="3288"/>
      <c r="K158" s="2993">
        <f t="shared" si="37"/>
        <v>1</v>
      </c>
      <c r="L158" s="3288"/>
      <c r="M158" s="2993">
        <f t="shared" si="38"/>
        <v>1</v>
      </c>
      <c r="N158" s="3288"/>
      <c r="O158" s="2993">
        <f t="shared" si="39"/>
        <v>1</v>
      </c>
      <c r="P158" s="3288"/>
      <c r="Q158" s="2993">
        <f t="shared" si="40"/>
        <v>1</v>
      </c>
      <c r="R158" s="2736">
        <f t="shared" si="41"/>
        <v>0</v>
      </c>
      <c r="S158" s="2867">
        <f t="shared" si="32"/>
        <v>0</v>
      </c>
    </row>
    <row r="159" spans="1:19">
      <c r="A159" s="2995"/>
      <c r="B159" s="3286"/>
      <c r="C159" s="2993">
        <f t="shared" si="33"/>
        <v>1</v>
      </c>
      <c r="D159" s="3288"/>
      <c r="E159" s="2993">
        <f t="shared" si="34"/>
        <v>1</v>
      </c>
      <c r="F159" s="3288"/>
      <c r="G159" s="2993">
        <f t="shared" si="35"/>
        <v>1</v>
      </c>
      <c r="H159" s="3288"/>
      <c r="I159" s="2993">
        <f t="shared" si="36"/>
        <v>1</v>
      </c>
      <c r="J159" s="3288"/>
      <c r="K159" s="2993">
        <f t="shared" si="37"/>
        <v>1</v>
      </c>
      <c r="L159" s="3288"/>
      <c r="M159" s="2993">
        <f t="shared" si="38"/>
        <v>1</v>
      </c>
      <c r="N159" s="3288"/>
      <c r="O159" s="2993">
        <f t="shared" si="39"/>
        <v>1</v>
      </c>
      <c r="P159" s="3288"/>
      <c r="Q159" s="2993">
        <f t="shared" si="40"/>
        <v>1</v>
      </c>
      <c r="R159" s="2736">
        <f t="shared" si="41"/>
        <v>0</v>
      </c>
      <c r="S159" s="2867">
        <f t="shared" si="32"/>
        <v>0</v>
      </c>
    </row>
    <row r="160" spans="1:19">
      <c r="A160" s="2995"/>
      <c r="B160" s="3286"/>
      <c r="C160" s="2993">
        <f t="shared" si="33"/>
        <v>1</v>
      </c>
      <c r="D160" s="3288"/>
      <c r="E160" s="2993">
        <f t="shared" si="34"/>
        <v>1</v>
      </c>
      <c r="F160" s="3288"/>
      <c r="G160" s="2993">
        <f t="shared" si="35"/>
        <v>1</v>
      </c>
      <c r="H160" s="3288"/>
      <c r="I160" s="2993">
        <f t="shared" si="36"/>
        <v>1</v>
      </c>
      <c r="J160" s="3288"/>
      <c r="K160" s="2993">
        <f t="shared" si="37"/>
        <v>1</v>
      </c>
      <c r="L160" s="3288"/>
      <c r="M160" s="2993">
        <f t="shared" si="38"/>
        <v>1</v>
      </c>
      <c r="N160" s="3288"/>
      <c r="O160" s="2993">
        <f t="shared" si="39"/>
        <v>1</v>
      </c>
      <c r="P160" s="3288"/>
      <c r="Q160" s="2993">
        <f t="shared" si="40"/>
        <v>1</v>
      </c>
      <c r="R160" s="2736">
        <f t="shared" si="41"/>
        <v>0</v>
      </c>
      <c r="S160" s="2867">
        <f t="shared" si="32"/>
        <v>0</v>
      </c>
    </row>
    <row r="161" spans="1:19">
      <c r="A161" s="2995"/>
      <c r="B161" s="3286"/>
      <c r="C161" s="2993">
        <f t="shared" si="33"/>
        <v>1</v>
      </c>
      <c r="D161" s="3288"/>
      <c r="E161" s="2993">
        <f t="shared" si="34"/>
        <v>1</v>
      </c>
      <c r="F161" s="3288"/>
      <c r="G161" s="2993">
        <f t="shared" si="35"/>
        <v>1</v>
      </c>
      <c r="H161" s="3288"/>
      <c r="I161" s="2993">
        <f t="shared" si="36"/>
        <v>1</v>
      </c>
      <c r="J161" s="3288"/>
      <c r="K161" s="2993">
        <f t="shared" si="37"/>
        <v>1</v>
      </c>
      <c r="L161" s="3288"/>
      <c r="M161" s="2993">
        <f t="shared" si="38"/>
        <v>1</v>
      </c>
      <c r="N161" s="3288"/>
      <c r="O161" s="2993">
        <f t="shared" si="39"/>
        <v>1</v>
      </c>
      <c r="P161" s="3288"/>
      <c r="Q161" s="2993">
        <f t="shared" si="40"/>
        <v>1</v>
      </c>
      <c r="R161" s="2736">
        <f t="shared" si="41"/>
        <v>0</v>
      </c>
      <c r="S161" s="2867">
        <f t="shared" si="32"/>
        <v>0</v>
      </c>
    </row>
    <row r="162" spans="1:19">
      <c r="A162" s="2995"/>
      <c r="B162" s="3286"/>
      <c r="C162" s="2993">
        <f t="shared" si="33"/>
        <v>1</v>
      </c>
      <c r="D162" s="3288"/>
      <c r="E162" s="2993">
        <f t="shared" si="34"/>
        <v>1</v>
      </c>
      <c r="F162" s="3288"/>
      <c r="G162" s="2993">
        <f t="shared" si="35"/>
        <v>1</v>
      </c>
      <c r="H162" s="3288"/>
      <c r="I162" s="2993">
        <f t="shared" si="36"/>
        <v>1</v>
      </c>
      <c r="J162" s="3288"/>
      <c r="K162" s="2993">
        <f t="shared" si="37"/>
        <v>1</v>
      </c>
      <c r="L162" s="3288"/>
      <c r="M162" s="2993">
        <f t="shared" si="38"/>
        <v>1</v>
      </c>
      <c r="N162" s="3288"/>
      <c r="O162" s="2993">
        <f t="shared" si="39"/>
        <v>1</v>
      </c>
      <c r="P162" s="3288"/>
      <c r="Q162" s="2993">
        <f t="shared" si="40"/>
        <v>1</v>
      </c>
      <c r="R162" s="2736">
        <f t="shared" si="41"/>
        <v>0</v>
      </c>
      <c r="S162" s="2867">
        <f t="shared" si="32"/>
        <v>0</v>
      </c>
    </row>
    <row r="163" spans="1:19">
      <c r="A163" s="2995"/>
      <c r="B163" s="3286"/>
      <c r="C163" s="2993">
        <f t="shared" si="33"/>
        <v>1</v>
      </c>
      <c r="D163" s="3288"/>
      <c r="E163" s="2993">
        <f t="shared" si="34"/>
        <v>1</v>
      </c>
      <c r="F163" s="3288"/>
      <c r="G163" s="2993">
        <f t="shared" si="35"/>
        <v>1</v>
      </c>
      <c r="H163" s="3288"/>
      <c r="I163" s="2993">
        <f t="shared" si="36"/>
        <v>1</v>
      </c>
      <c r="J163" s="3288"/>
      <c r="K163" s="2993">
        <f t="shared" si="37"/>
        <v>1</v>
      </c>
      <c r="L163" s="3288"/>
      <c r="M163" s="2993">
        <f t="shared" si="38"/>
        <v>1</v>
      </c>
      <c r="N163" s="3288"/>
      <c r="O163" s="2993">
        <f t="shared" si="39"/>
        <v>1</v>
      </c>
      <c r="P163" s="3288"/>
      <c r="Q163" s="2993">
        <f t="shared" si="40"/>
        <v>1</v>
      </c>
      <c r="R163" s="2736">
        <f t="shared" si="41"/>
        <v>0</v>
      </c>
      <c r="S163" s="2867">
        <f t="shared" si="32"/>
        <v>0</v>
      </c>
    </row>
    <row r="164" spans="1:19">
      <c r="A164" s="2995"/>
      <c r="B164" s="3286"/>
      <c r="C164" s="2993">
        <f t="shared" si="33"/>
        <v>1</v>
      </c>
      <c r="D164" s="3288"/>
      <c r="E164" s="2993">
        <f t="shared" si="34"/>
        <v>1</v>
      </c>
      <c r="F164" s="3288"/>
      <c r="G164" s="2993">
        <f t="shared" si="35"/>
        <v>1</v>
      </c>
      <c r="H164" s="3288"/>
      <c r="I164" s="2993">
        <f t="shared" si="36"/>
        <v>1</v>
      </c>
      <c r="J164" s="3288"/>
      <c r="K164" s="2993">
        <f t="shared" si="37"/>
        <v>1</v>
      </c>
      <c r="L164" s="3288"/>
      <c r="M164" s="2993">
        <f t="shared" si="38"/>
        <v>1</v>
      </c>
      <c r="N164" s="3288"/>
      <c r="O164" s="2993">
        <f t="shared" si="39"/>
        <v>1</v>
      </c>
      <c r="P164" s="3288"/>
      <c r="Q164" s="2993">
        <f t="shared" si="40"/>
        <v>1</v>
      </c>
      <c r="R164" s="2736">
        <f t="shared" si="41"/>
        <v>0</v>
      </c>
      <c r="S164" s="2867">
        <f t="shared" si="32"/>
        <v>0</v>
      </c>
    </row>
    <row r="165" spans="1:19">
      <c r="A165" s="2995"/>
      <c r="B165" s="3286"/>
      <c r="C165" s="2993">
        <f t="shared" si="33"/>
        <v>1</v>
      </c>
      <c r="D165" s="3288"/>
      <c r="E165" s="2993">
        <f t="shared" si="34"/>
        <v>1</v>
      </c>
      <c r="F165" s="3288"/>
      <c r="G165" s="2993">
        <f t="shared" si="35"/>
        <v>1</v>
      </c>
      <c r="H165" s="3288"/>
      <c r="I165" s="2993">
        <f t="shared" si="36"/>
        <v>1</v>
      </c>
      <c r="J165" s="3288"/>
      <c r="K165" s="2993">
        <f t="shared" si="37"/>
        <v>1</v>
      </c>
      <c r="L165" s="3288"/>
      <c r="M165" s="2993">
        <f t="shared" si="38"/>
        <v>1</v>
      </c>
      <c r="N165" s="3288"/>
      <c r="O165" s="2993">
        <f t="shared" si="39"/>
        <v>1</v>
      </c>
      <c r="P165" s="3288"/>
      <c r="Q165" s="2993">
        <f t="shared" si="40"/>
        <v>1</v>
      </c>
      <c r="R165" s="2736">
        <f t="shared" si="41"/>
        <v>0</v>
      </c>
      <c r="S165" s="2867">
        <f t="shared" si="32"/>
        <v>0</v>
      </c>
    </row>
    <row r="166" spans="1:19">
      <c r="A166" s="2995"/>
      <c r="B166" s="3286"/>
      <c r="C166" s="2993">
        <f t="shared" si="33"/>
        <v>1</v>
      </c>
      <c r="D166" s="3288"/>
      <c r="E166" s="2993">
        <f t="shared" si="34"/>
        <v>1</v>
      </c>
      <c r="F166" s="3288"/>
      <c r="G166" s="2993">
        <f t="shared" si="35"/>
        <v>1</v>
      </c>
      <c r="H166" s="3288"/>
      <c r="I166" s="2993">
        <f t="shared" si="36"/>
        <v>1</v>
      </c>
      <c r="J166" s="3288"/>
      <c r="K166" s="2993">
        <f t="shared" si="37"/>
        <v>1</v>
      </c>
      <c r="L166" s="3288"/>
      <c r="M166" s="2993">
        <f t="shared" si="38"/>
        <v>1</v>
      </c>
      <c r="N166" s="3288"/>
      <c r="O166" s="2993">
        <f t="shared" si="39"/>
        <v>1</v>
      </c>
      <c r="P166" s="3288"/>
      <c r="Q166" s="2993">
        <f t="shared" si="40"/>
        <v>1</v>
      </c>
      <c r="R166" s="2736">
        <f t="shared" si="41"/>
        <v>0</v>
      </c>
      <c r="S166" s="2867">
        <f t="shared" si="32"/>
        <v>0</v>
      </c>
    </row>
    <row r="167" spans="1:19">
      <c r="A167" s="2995"/>
      <c r="B167" s="3286"/>
      <c r="C167" s="2993">
        <f t="shared" si="33"/>
        <v>1</v>
      </c>
      <c r="D167" s="3288"/>
      <c r="E167" s="2993">
        <f t="shared" si="34"/>
        <v>1</v>
      </c>
      <c r="F167" s="3288"/>
      <c r="G167" s="2993">
        <f t="shared" si="35"/>
        <v>1</v>
      </c>
      <c r="H167" s="3288"/>
      <c r="I167" s="2993">
        <f t="shared" si="36"/>
        <v>1</v>
      </c>
      <c r="J167" s="3288"/>
      <c r="K167" s="2993">
        <f t="shared" si="37"/>
        <v>1</v>
      </c>
      <c r="L167" s="3288"/>
      <c r="M167" s="2993">
        <f t="shared" si="38"/>
        <v>1</v>
      </c>
      <c r="N167" s="3288"/>
      <c r="O167" s="2993">
        <f t="shared" si="39"/>
        <v>1</v>
      </c>
      <c r="P167" s="3288"/>
      <c r="Q167" s="2993">
        <f t="shared" si="40"/>
        <v>1</v>
      </c>
      <c r="R167" s="2736">
        <f t="shared" si="41"/>
        <v>0</v>
      </c>
      <c r="S167" s="2867">
        <f t="shared" si="32"/>
        <v>0</v>
      </c>
    </row>
    <row r="168" spans="1:19">
      <c r="A168" s="2995"/>
      <c r="B168" s="3286"/>
      <c r="C168" s="2993">
        <f t="shared" si="33"/>
        <v>1</v>
      </c>
      <c r="D168" s="3288"/>
      <c r="E168" s="2993">
        <f t="shared" si="34"/>
        <v>1</v>
      </c>
      <c r="F168" s="3288"/>
      <c r="G168" s="2993">
        <f t="shared" si="35"/>
        <v>1</v>
      </c>
      <c r="H168" s="3288"/>
      <c r="I168" s="2993">
        <f t="shared" si="36"/>
        <v>1</v>
      </c>
      <c r="J168" s="3288"/>
      <c r="K168" s="2993">
        <f t="shared" si="37"/>
        <v>1</v>
      </c>
      <c r="L168" s="3288"/>
      <c r="M168" s="2993">
        <f t="shared" si="38"/>
        <v>1</v>
      </c>
      <c r="N168" s="3288"/>
      <c r="O168" s="2993">
        <f t="shared" si="39"/>
        <v>1</v>
      </c>
      <c r="P168" s="3288"/>
      <c r="Q168" s="2993">
        <f t="shared" si="40"/>
        <v>1</v>
      </c>
      <c r="R168" s="2736">
        <f t="shared" si="41"/>
        <v>0</v>
      </c>
      <c r="S168" s="2867">
        <f t="shared" si="32"/>
        <v>0</v>
      </c>
    </row>
    <row r="169" spans="1:19">
      <c r="A169" s="2995"/>
      <c r="B169" s="3286"/>
      <c r="C169" s="2993">
        <f t="shared" si="33"/>
        <v>1</v>
      </c>
      <c r="D169" s="3288"/>
      <c r="E169" s="2993">
        <f t="shared" si="34"/>
        <v>1</v>
      </c>
      <c r="F169" s="3288"/>
      <c r="G169" s="2993">
        <f t="shared" si="35"/>
        <v>1</v>
      </c>
      <c r="H169" s="3288"/>
      <c r="I169" s="2993">
        <f t="shared" si="36"/>
        <v>1</v>
      </c>
      <c r="J169" s="3288"/>
      <c r="K169" s="2993">
        <f t="shared" si="37"/>
        <v>1</v>
      </c>
      <c r="L169" s="3288"/>
      <c r="M169" s="2993">
        <f t="shared" si="38"/>
        <v>1</v>
      </c>
      <c r="N169" s="3288"/>
      <c r="O169" s="2993">
        <f t="shared" si="39"/>
        <v>1</v>
      </c>
      <c r="P169" s="3288"/>
      <c r="Q169" s="2993">
        <f t="shared" si="40"/>
        <v>1</v>
      </c>
      <c r="R169" s="2736">
        <f t="shared" si="41"/>
        <v>0</v>
      </c>
      <c r="S169" s="2867">
        <f t="shared" si="32"/>
        <v>0</v>
      </c>
    </row>
    <row r="170" spans="1:19">
      <c r="A170" s="2995"/>
      <c r="B170" s="3286"/>
      <c r="C170" s="2993">
        <f t="shared" si="33"/>
        <v>1</v>
      </c>
      <c r="D170" s="3288"/>
      <c r="E170" s="2993">
        <f t="shared" si="34"/>
        <v>1</v>
      </c>
      <c r="F170" s="3288"/>
      <c r="G170" s="2993">
        <f t="shared" si="35"/>
        <v>1</v>
      </c>
      <c r="H170" s="3288"/>
      <c r="I170" s="2993">
        <f t="shared" si="36"/>
        <v>1</v>
      </c>
      <c r="J170" s="3288"/>
      <c r="K170" s="2993">
        <f t="shared" si="37"/>
        <v>1</v>
      </c>
      <c r="L170" s="3288"/>
      <c r="M170" s="2993">
        <f t="shared" si="38"/>
        <v>1</v>
      </c>
      <c r="N170" s="3288"/>
      <c r="O170" s="2993">
        <f t="shared" si="39"/>
        <v>1</v>
      </c>
      <c r="P170" s="3288"/>
      <c r="Q170" s="2993">
        <f t="shared" si="40"/>
        <v>1</v>
      </c>
      <c r="R170" s="2736">
        <f t="shared" si="41"/>
        <v>0</v>
      </c>
      <c r="S170" s="2867">
        <f t="shared" si="32"/>
        <v>0</v>
      </c>
    </row>
    <row r="171" spans="1:19">
      <c r="A171" s="2995"/>
      <c r="B171" s="3286"/>
      <c r="C171" s="2993">
        <f t="shared" si="33"/>
        <v>1</v>
      </c>
      <c r="D171" s="3288"/>
      <c r="E171" s="2993">
        <f t="shared" si="34"/>
        <v>1</v>
      </c>
      <c r="F171" s="3288"/>
      <c r="G171" s="2993">
        <f t="shared" si="35"/>
        <v>1</v>
      </c>
      <c r="H171" s="3288"/>
      <c r="I171" s="2993">
        <f t="shared" si="36"/>
        <v>1</v>
      </c>
      <c r="J171" s="3288"/>
      <c r="K171" s="2993">
        <f t="shared" si="37"/>
        <v>1</v>
      </c>
      <c r="L171" s="3288"/>
      <c r="M171" s="2993">
        <f t="shared" si="38"/>
        <v>1</v>
      </c>
      <c r="N171" s="3288"/>
      <c r="O171" s="2993">
        <f t="shared" si="39"/>
        <v>1</v>
      </c>
      <c r="P171" s="3288"/>
      <c r="Q171" s="2993">
        <f t="shared" si="40"/>
        <v>1</v>
      </c>
      <c r="R171" s="2736">
        <f t="shared" si="41"/>
        <v>0</v>
      </c>
      <c r="S171" s="2867">
        <f t="shared" si="32"/>
        <v>0</v>
      </c>
    </row>
    <row r="172" spans="1:19">
      <c r="A172" s="2995"/>
      <c r="B172" s="3286"/>
      <c r="C172" s="2993">
        <f t="shared" si="33"/>
        <v>1</v>
      </c>
      <c r="D172" s="3288"/>
      <c r="E172" s="2993">
        <f t="shared" si="34"/>
        <v>1</v>
      </c>
      <c r="F172" s="3288"/>
      <c r="G172" s="2993">
        <f t="shared" si="35"/>
        <v>1</v>
      </c>
      <c r="H172" s="3288"/>
      <c r="I172" s="2993">
        <f t="shared" si="36"/>
        <v>1</v>
      </c>
      <c r="J172" s="3288"/>
      <c r="K172" s="2993">
        <f t="shared" si="37"/>
        <v>1</v>
      </c>
      <c r="L172" s="3288"/>
      <c r="M172" s="2993">
        <f t="shared" si="38"/>
        <v>1</v>
      </c>
      <c r="N172" s="3288"/>
      <c r="O172" s="2993">
        <f t="shared" si="39"/>
        <v>1</v>
      </c>
      <c r="P172" s="3288"/>
      <c r="Q172" s="2993">
        <f t="shared" si="40"/>
        <v>1</v>
      </c>
      <c r="R172" s="2736">
        <f t="shared" si="41"/>
        <v>0</v>
      </c>
      <c r="S172" s="2867">
        <f t="shared" si="32"/>
        <v>0</v>
      </c>
    </row>
    <row r="173" spans="1:19">
      <c r="A173" s="2995"/>
      <c r="B173" s="3286"/>
      <c r="C173" s="2993">
        <f t="shared" si="33"/>
        <v>1</v>
      </c>
      <c r="D173" s="3288"/>
      <c r="E173" s="2993">
        <f t="shared" si="34"/>
        <v>1</v>
      </c>
      <c r="F173" s="3288"/>
      <c r="G173" s="2993">
        <f t="shared" si="35"/>
        <v>1</v>
      </c>
      <c r="H173" s="3288"/>
      <c r="I173" s="2993">
        <f t="shared" si="36"/>
        <v>1</v>
      </c>
      <c r="J173" s="3288"/>
      <c r="K173" s="2993">
        <f t="shared" si="37"/>
        <v>1</v>
      </c>
      <c r="L173" s="3288"/>
      <c r="M173" s="2993">
        <f t="shared" si="38"/>
        <v>1</v>
      </c>
      <c r="N173" s="3288"/>
      <c r="O173" s="2993">
        <f t="shared" si="39"/>
        <v>1</v>
      </c>
      <c r="P173" s="3288"/>
      <c r="Q173" s="2993">
        <f t="shared" si="40"/>
        <v>1</v>
      </c>
      <c r="R173" s="2736">
        <f t="shared" si="41"/>
        <v>0</v>
      </c>
      <c r="S173" s="2867">
        <f t="shared" si="32"/>
        <v>0</v>
      </c>
    </row>
    <row r="174" spans="1:19">
      <c r="A174" s="2995"/>
      <c r="B174" s="3286"/>
      <c r="C174" s="2993">
        <f t="shared" si="33"/>
        <v>1</v>
      </c>
      <c r="D174" s="3288"/>
      <c r="E174" s="2993">
        <f t="shared" si="34"/>
        <v>1</v>
      </c>
      <c r="F174" s="3288"/>
      <c r="G174" s="2993">
        <f t="shared" si="35"/>
        <v>1</v>
      </c>
      <c r="H174" s="3288"/>
      <c r="I174" s="2993">
        <f t="shared" si="36"/>
        <v>1</v>
      </c>
      <c r="J174" s="3288"/>
      <c r="K174" s="2993">
        <f t="shared" si="37"/>
        <v>1</v>
      </c>
      <c r="L174" s="3288"/>
      <c r="M174" s="2993">
        <f t="shared" si="38"/>
        <v>1</v>
      </c>
      <c r="N174" s="3288"/>
      <c r="O174" s="2993">
        <f t="shared" si="39"/>
        <v>1</v>
      </c>
      <c r="P174" s="3288"/>
      <c r="Q174" s="2993">
        <f t="shared" si="40"/>
        <v>1</v>
      </c>
      <c r="R174" s="2736">
        <f t="shared" si="41"/>
        <v>0</v>
      </c>
      <c r="S174" s="2867">
        <f t="shared" si="32"/>
        <v>0</v>
      </c>
    </row>
    <row r="175" spans="1:19">
      <c r="A175" s="2995"/>
      <c r="B175" s="3286"/>
      <c r="C175" s="2993">
        <f t="shared" si="33"/>
        <v>1</v>
      </c>
      <c r="D175" s="3288"/>
      <c r="E175" s="2993">
        <f t="shared" si="34"/>
        <v>1</v>
      </c>
      <c r="F175" s="3288"/>
      <c r="G175" s="2993">
        <f t="shared" si="35"/>
        <v>1</v>
      </c>
      <c r="H175" s="3288"/>
      <c r="I175" s="2993">
        <f t="shared" si="36"/>
        <v>1</v>
      </c>
      <c r="J175" s="3288"/>
      <c r="K175" s="2993">
        <f t="shared" si="37"/>
        <v>1</v>
      </c>
      <c r="L175" s="3288"/>
      <c r="M175" s="2993">
        <f t="shared" si="38"/>
        <v>1</v>
      </c>
      <c r="N175" s="3288"/>
      <c r="O175" s="2993">
        <f t="shared" si="39"/>
        <v>1</v>
      </c>
      <c r="P175" s="3288"/>
      <c r="Q175" s="2993">
        <f t="shared" si="40"/>
        <v>1</v>
      </c>
      <c r="R175" s="2736">
        <f t="shared" si="41"/>
        <v>0</v>
      </c>
      <c r="S175" s="2867">
        <f t="shared" si="32"/>
        <v>0</v>
      </c>
    </row>
    <row r="176" spans="1:19">
      <c r="A176" s="2995"/>
      <c r="B176" s="3286"/>
      <c r="C176" s="2993">
        <f t="shared" si="33"/>
        <v>1</v>
      </c>
      <c r="D176" s="3288"/>
      <c r="E176" s="2993">
        <f t="shared" si="34"/>
        <v>1</v>
      </c>
      <c r="F176" s="3288"/>
      <c r="G176" s="2993">
        <f t="shared" si="35"/>
        <v>1</v>
      </c>
      <c r="H176" s="3288"/>
      <c r="I176" s="2993">
        <f t="shared" si="36"/>
        <v>1</v>
      </c>
      <c r="J176" s="3288"/>
      <c r="K176" s="2993">
        <f t="shared" si="37"/>
        <v>1</v>
      </c>
      <c r="L176" s="3288"/>
      <c r="M176" s="2993">
        <f t="shared" si="38"/>
        <v>1</v>
      </c>
      <c r="N176" s="3288"/>
      <c r="O176" s="2993">
        <f t="shared" si="39"/>
        <v>1</v>
      </c>
      <c r="P176" s="3288"/>
      <c r="Q176" s="2993">
        <f t="shared" si="40"/>
        <v>1</v>
      </c>
      <c r="R176" s="2736">
        <f t="shared" si="41"/>
        <v>0</v>
      </c>
      <c r="S176" s="2867">
        <f t="shared" si="32"/>
        <v>0</v>
      </c>
    </row>
    <row r="177" spans="1:19">
      <c r="A177" s="2995"/>
      <c r="B177" s="3286"/>
      <c r="C177" s="2993">
        <f t="shared" si="33"/>
        <v>1</v>
      </c>
      <c r="D177" s="3288"/>
      <c r="E177" s="2993">
        <f t="shared" si="34"/>
        <v>1</v>
      </c>
      <c r="F177" s="3288"/>
      <c r="G177" s="2993">
        <f t="shared" si="35"/>
        <v>1</v>
      </c>
      <c r="H177" s="3288"/>
      <c r="I177" s="2993">
        <f t="shared" si="36"/>
        <v>1</v>
      </c>
      <c r="J177" s="3288"/>
      <c r="K177" s="2993">
        <f t="shared" si="37"/>
        <v>1</v>
      </c>
      <c r="L177" s="3288"/>
      <c r="M177" s="2993">
        <f t="shared" si="38"/>
        <v>1</v>
      </c>
      <c r="N177" s="3288"/>
      <c r="O177" s="2993">
        <f t="shared" si="39"/>
        <v>1</v>
      </c>
      <c r="P177" s="3288"/>
      <c r="Q177" s="2993">
        <f t="shared" si="40"/>
        <v>1</v>
      </c>
      <c r="R177" s="2736">
        <f t="shared" si="41"/>
        <v>0</v>
      </c>
      <c r="S177" s="2867">
        <f t="shared" si="32"/>
        <v>0</v>
      </c>
    </row>
    <row r="178" spans="1:19">
      <c r="A178" s="2995"/>
      <c r="B178" s="3286"/>
      <c r="C178" s="2993">
        <f t="shared" si="33"/>
        <v>1</v>
      </c>
      <c r="D178" s="3288"/>
      <c r="E178" s="2993">
        <f t="shared" si="34"/>
        <v>1</v>
      </c>
      <c r="F178" s="3288"/>
      <c r="G178" s="2993">
        <f t="shared" si="35"/>
        <v>1</v>
      </c>
      <c r="H178" s="3288"/>
      <c r="I178" s="2993">
        <f t="shared" si="36"/>
        <v>1</v>
      </c>
      <c r="J178" s="3288"/>
      <c r="K178" s="2993">
        <f t="shared" si="37"/>
        <v>1</v>
      </c>
      <c r="L178" s="3288"/>
      <c r="M178" s="2993">
        <f t="shared" si="38"/>
        <v>1</v>
      </c>
      <c r="N178" s="3288"/>
      <c r="O178" s="2993">
        <f t="shared" si="39"/>
        <v>1</v>
      </c>
      <c r="P178" s="3288"/>
      <c r="Q178" s="2993">
        <f t="shared" si="40"/>
        <v>1</v>
      </c>
      <c r="R178" s="2736">
        <f t="shared" si="41"/>
        <v>0</v>
      </c>
      <c r="S178" s="2867">
        <f t="shared" si="32"/>
        <v>0</v>
      </c>
    </row>
    <row r="179" spans="1:19">
      <c r="A179" s="2995"/>
      <c r="B179" s="3286"/>
      <c r="C179" s="2993">
        <f t="shared" si="33"/>
        <v>1</v>
      </c>
      <c r="D179" s="3288"/>
      <c r="E179" s="2993">
        <f t="shared" si="34"/>
        <v>1</v>
      </c>
      <c r="F179" s="3288"/>
      <c r="G179" s="2993">
        <f t="shared" si="35"/>
        <v>1</v>
      </c>
      <c r="H179" s="3288"/>
      <c r="I179" s="2993">
        <f t="shared" si="36"/>
        <v>1</v>
      </c>
      <c r="J179" s="3288"/>
      <c r="K179" s="2993">
        <f t="shared" si="37"/>
        <v>1</v>
      </c>
      <c r="L179" s="3288"/>
      <c r="M179" s="2993">
        <f t="shared" si="38"/>
        <v>1</v>
      </c>
      <c r="N179" s="3288"/>
      <c r="O179" s="2993">
        <f t="shared" si="39"/>
        <v>1</v>
      </c>
      <c r="P179" s="3288"/>
      <c r="Q179" s="2993">
        <f t="shared" si="40"/>
        <v>1</v>
      </c>
      <c r="R179" s="2736">
        <f t="shared" si="41"/>
        <v>0</v>
      </c>
      <c r="S179" s="2867">
        <f t="shared" si="32"/>
        <v>0</v>
      </c>
    </row>
    <row r="180" spans="1:19">
      <c r="A180" s="2995"/>
      <c r="B180" s="3286"/>
      <c r="C180" s="2993">
        <f t="shared" si="33"/>
        <v>1</v>
      </c>
      <c r="D180" s="3288"/>
      <c r="E180" s="2993">
        <f t="shared" si="34"/>
        <v>1</v>
      </c>
      <c r="F180" s="3288"/>
      <c r="G180" s="2993">
        <f t="shared" si="35"/>
        <v>1</v>
      </c>
      <c r="H180" s="3288"/>
      <c r="I180" s="2993">
        <f t="shared" si="36"/>
        <v>1</v>
      </c>
      <c r="J180" s="3288"/>
      <c r="K180" s="2993">
        <f t="shared" si="37"/>
        <v>1</v>
      </c>
      <c r="L180" s="3288"/>
      <c r="M180" s="2993">
        <f t="shared" si="38"/>
        <v>1</v>
      </c>
      <c r="N180" s="3288"/>
      <c r="O180" s="2993">
        <f t="shared" si="39"/>
        <v>1</v>
      </c>
      <c r="P180" s="3288"/>
      <c r="Q180" s="2993">
        <f t="shared" si="40"/>
        <v>1</v>
      </c>
      <c r="R180" s="2736">
        <f t="shared" si="41"/>
        <v>0</v>
      </c>
      <c r="S180" s="2867">
        <f t="shared" si="32"/>
        <v>0</v>
      </c>
    </row>
    <row r="181" spans="1:19">
      <c r="A181" s="2995"/>
      <c r="B181" s="3286"/>
      <c r="C181" s="2993">
        <f t="shared" si="33"/>
        <v>1</v>
      </c>
      <c r="D181" s="3288"/>
      <c r="E181" s="2993">
        <f t="shared" si="34"/>
        <v>1</v>
      </c>
      <c r="F181" s="3288"/>
      <c r="G181" s="2993">
        <f t="shared" si="35"/>
        <v>1</v>
      </c>
      <c r="H181" s="3288"/>
      <c r="I181" s="2993">
        <f t="shared" si="36"/>
        <v>1</v>
      </c>
      <c r="J181" s="3288"/>
      <c r="K181" s="2993">
        <f t="shared" si="37"/>
        <v>1</v>
      </c>
      <c r="L181" s="3288"/>
      <c r="M181" s="2993">
        <f t="shared" si="38"/>
        <v>1</v>
      </c>
      <c r="N181" s="3288"/>
      <c r="O181" s="2993">
        <f t="shared" si="39"/>
        <v>1</v>
      </c>
      <c r="P181" s="3288"/>
      <c r="Q181" s="2993">
        <f t="shared" si="40"/>
        <v>1</v>
      </c>
      <c r="R181" s="2736">
        <f t="shared" si="41"/>
        <v>0</v>
      </c>
      <c r="S181" s="2867">
        <f t="shared" si="32"/>
        <v>0</v>
      </c>
    </row>
    <row r="182" spans="1:19">
      <c r="A182" s="2995"/>
      <c r="B182" s="3286"/>
      <c r="C182" s="2993">
        <f t="shared" si="33"/>
        <v>1</v>
      </c>
      <c r="D182" s="3288"/>
      <c r="E182" s="2993">
        <f t="shared" si="34"/>
        <v>1</v>
      </c>
      <c r="F182" s="3288"/>
      <c r="G182" s="2993">
        <f t="shared" si="35"/>
        <v>1</v>
      </c>
      <c r="H182" s="3288"/>
      <c r="I182" s="2993">
        <f t="shared" si="36"/>
        <v>1</v>
      </c>
      <c r="J182" s="3288"/>
      <c r="K182" s="2993">
        <f t="shared" si="37"/>
        <v>1</v>
      </c>
      <c r="L182" s="3288"/>
      <c r="M182" s="2993">
        <f t="shared" si="38"/>
        <v>1</v>
      </c>
      <c r="N182" s="3288"/>
      <c r="O182" s="2993">
        <f t="shared" si="39"/>
        <v>1</v>
      </c>
      <c r="P182" s="3288"/>
      <c r="Q182" s="2993">
        <f t="shared" si="40"/>
        <v>1</v>
      </c>
      <c r="R182" s="2736">
        <f t="shared" si="41"/>
        <v>0</v>
      </c>
      <c r="S182" s="2867">
        <f t="shared" si="32"/>
        <v>0</v>
      </c>
    </row>
    <row r="183" spans="1:19">
      <c r="A183" s="2995"/>
      <c r="B183" s="3286"/>
      <c r="C183" s="2993">
        <f t="shared" si="33"/>
        <v>1</v>
      </c>
      <c r="D183" s="3288"/>
      <c r="E183" s="2993">
        <f t="shared" si="34"/>
        <v>1</v>
      </c>
      <c r="F183" s="3288"/>
      <c r="G183" s="2993">
        <f t="shared" si="35"/>
        <v>1</v>
      </c>
      <c r="H183" s="3288"/>
      <c r="I183" s="2993">
        <f t="shared" si="36"/>
        <v>1</v>
      </c>
      <c r="J183" s="3288"/>
      <c r="K183" s="2993">
        <f t="shared" si="37"/>
        <v>1</v>
      </c>
      <c r="L183" s="3288"/>
      <c r="M183" s="2993">
        <f t="shared" si="38"/>
        <v>1</v>
      </c>
      <c r="N183" s="3288"/>
      <c r="O183" s="2993">
        <f t="shared" si="39"/>
        <v>1</v>
      </c>
      <c r="P183" s="3288"/>
      <c r="Q183" s="2993">
        <f t="shared" si="40"/>
        <v>1</v>
      </c>
      <c r="R183" s="2736">
        <f t="shared" si="41"/>
        <v>0</v>
      </c>
      <c r="S183" s="2867">
        <f t="shared" si="32"/>
        <v>0</v>
      </c>
    </row>
    <row r="184" spans="1:19">
      <c r="A184" s="2995"/>
      <c r="B184" s="3286"/>
      <c r="C184" s="2993">
        <f t="shared" si="33"/>
        <v>1</v>
      </c>
      <c r="D184" s="3288"/>
      <c r="E184" s="2993">
        <f t="shared" si="34"/>
        <v>1</v>
      </c>
      <c r="F184" s="3288"/>
      <c r="G184" s="2993">
        <f t="shared" si="35"/>
        <v>1</v>
      </c>
      <c r="H184" s="3288"/>
      <c r="I184" s="2993">
        <f t="shared" si="36"/>
        <v>1</v>
      </c>
      <c r="J184" s="3288"/>
      <c r="K184" s="2993">
        <f t="shared" si="37"/>
        <v>1</v>
      </c>
      <c r="L184" s="3288"/>
      <c r="M184" s="2993">
        <f t="shared" si="38"/>
        <v>1</v>
      </c>
      <c r="N184" s="3288"/>
      <c r="O184" s="2993">
        <f t="shared" si="39"/>
        <v>1</v>
      </c>
      <c r="P184" s="3288"/>
      <c r="Q184" s="2993">
        <f t="shared" si="40"/>
        <v>1</v>
      </c>
      <c r="R184" s="2736">
        <f t="shared" si="41"/>
        <v>0</v>
      </c>
      <c r="S184" s="2867">
        <f t="shared" si="32"/>
        <v>0</v>
      </c>
    </row>
    <row r="185" spans="1:19">
      <c r="A185" s="2995"/>
      <c r="B185" s="3286"/>
      <c r="C185" s="2993">
        <f t="shared" si="33"/>
        <v>1</v>
      </c>
      <c r="D185" s="3288"/>
      <c r="E185" s="2993">
        <f t="shared" si="34"/>
        <v>1</v>
      </c>
      <c r="F185" s="3288"/>
      <c r="G185" s="2993">
        <f t="shared" si="35"/>
        <v>1</v>
      </c>
      <c r="H185" s="3288"/>
      <c r="I185" s="2993">
        <f t="shared" si="36"/>
        <v>1</v>
      </c>
      <c r="J185" s="3288"/>
      <c r="K185" s="2993">
        <f t="shared" si="37"/>
        <v>1</v>
      </c>
      <c r="L185" s="3288"/>
      <c r="M185" s="2993">
        <f t="shared" si="38"/>
        <v>1</v>
      </c>
      <c r="N185" s="3288"/>
      <c r="O185" s="2993">
        <f t="shared" si="39"/>
        <v>1</v>
      </c>
      <c r="P185" s="3288"/>
      <c r="Q185" s="2993">
        <f t="shared" si="40"/>
        <v>1</v>
      </c>
      <c r="R185" s="2736">
        <f t="shared" si="41"/>
        <v>0</v>
      </c>
      <c r="S185" s="2867">
        <f t="shared" si="32"/>
        <v>0</v>
      </c>
    </row>
    <row r="186" spans="1:19">
      <c r="A186" s="2995"/>
      <c r="B186" s="3286"/>
      <c r="C186" s="2993">
        <f t="shared" si="33"/>
        <v>1</v>
      </c>
      <c r="D186" s="3288"/>
      <c r="E186" s="2993">
        <f t="shared" si="34"/>
        <v>1</v>
      </c>
      <c r="F186" s="3288"/>
      <c r="G186" s="2993">
        <f t="shared" si="35"/>
        <v>1</v>
      </c>
      <c r="H186" s="3288"/>
      <c r="I186" s="2993">
        <f t="shared" si="36"/>
        <v>1</v>
      </c>
      <c r="J186" s="3288"/>
      <c r="K186" s="2993">
        <f t="shared" si="37"/>
        <v>1</v>
      </c>
      <c r="L186" s="3288"/>
      <c r="M186" s="2993">
        <f t="shared" si="38"/>
        <v>1</v>
      </c>
      <c r="N186" s="3288"/>
      <c r="O186" s="2993">
        <f t="shared" si="39"/>
        <v>1</v>
      </c>
      <c r="P186" s="3288"/>
      <c r="Q186" s="2993">
        <f t="shared" si="40"/>
        <v>1</v>
      </c>
      <c r="R186" s="2736">
        <f t="shared" si="41"/>
        <v>0</v>
      </c>
      <c r="S186" s="2867">
        <f t="shared" si="32"/>
        <v>0</v>
      </c>
    </row>
    <row r="187" spans="1:19">
      <c r="A187" s="2995"/>
      <c r="B187" s="3286"/>
      <c r="C187" s="2993">
        <f t="shared" si="33"/>
        <v>1</v>
      </c>
      <c r="D187" s="3288"/>
      <c r="E187" s="2993">
        <f t="shared" si="34"/>
        <v>1</v>
      </c>
      <c r="F187" s="3288"/>
      <c r="G187" s="2993">
        <f t="shared" si="35"/>
        <v>1</v>
      </c>
      <c r="H187" s="3288"/>
      <c r="I187" s="2993">
        <f t="shared" si="36"/>
        <v>1</v>
      </c>
      <c r="J187" s="3288"/>
      <c r="K187" s="2993">
        <f t="shared" si="37"/>
        <v>1</v>
      </c>
      <c r="L187" s="3288"/>
      <c r="M187" s="2993">
        <f t="shared" si="38"/>
        <v>1</v>
      </c>
      <c r="N187" s="3288"/>
      <c r="O187" s="2993">
        <f t="shared" si="39"/>
        <v>1</v>
      </c>
      <c r="P187" s="3288"/>
      <c r="Q187" s="2993">
        <f t="shared" si="40"/>
        <v>1</v>
      </c>
      <c r="R187" s="2736">
        <f t="shared" si="41"/>
        <v>0</v>
      </c>
      <c r="S187" s="2867">
        <f t="shared" ref="S187:S222" si="42">ROUND(R187*B187/10000,0)</f>
        <v>0</v>
      </c>
    </row>
    <row r="188" spans="1:19">
      <c r="A188" s="2995"/>
      <c r="B188" s="3286"/>
      <c r="C188" s="2993">
        <f t="shared" si="33"/>
        <v>1</v>
      </c>
      <c r="D188" s="3288"/>
      <c r="E188" s="2993">
        <f t="shared" si="34"/>
        <v>1</v>
      </c>
      <c r="F188" s="3288"/>
      <c r="G188" s="2993">
        <f t="shared" si="35"/>
        <v>1</v>
      </c>
      <c r="H188" s="3288"/>
      <c r="I188" s="2993">
        <f t="shared" si="36"/>
        <v>1</v>
      </c>
      <c r="J188" s="3288"/>
      <c r="K188" s="2993">
        <f t="shared" si="37"/>
        <v>1</v>
      </c>
      <c r="L188" s="3288"/>
      <c r="M188" s="2993">
        <f t="shared" si="38"/>
        <v>1</v>
      </c>
      <c r="N188" s="3288"/>
      <c r="O188" s="2993">
        <f t="shared" si="39"/>
        <v>1</v>
      </c>
      <c r="P188" s="3288"/>
      <c r="Q188" s="2993">
        <f t="shared" si="40"/>
        <v>1</v>
      </c>
      <c r="R188" s="2736">
        <f t="shared" si="41"/>
        <v>0</v>
      </c>
      <c r="S188" s="2867">
        <f t="shared" si="42"/>
        <v>0</v>
      </c>
    </row>
    <row r="189" spans="1:19">
      <c r="A189" s="2995"/>
      <c r="B189" s="3286"/>
      <c r="C189" s="2993">
        <f t="shared" si="33"/>
        <v>1</v>
      </c>
      <c r="D189" s="3288"/>
      <c r="E189" s="2993">
        <f t="shared" si="34"/>
        <v>1</v>
      </c>
      <c r="F189" s="3288"/>
      <c r="G189" s="2993">
        <f t="shared" si="35"/>
        <v>1</v>
      </c>
      <c r="H189" s="3288"/>
      <c r="I189" s="2993">
        <f t="shared" si="36"/>
        <v>1</v>
      </c>
      <c r="J189" s="3288"/>
      <c r="K189" s="2993">
        <f t="shared" si="37"/>
        <v>1</v>
      </c>
      <c r="L189" s="3288"/>
      <c r="M189" s="2993">
        <f t="shared" si="38"/>
        <v>1</v>
      </c>
      <c r="N189" s="3288"/>
      <c r="O189" s="2993">
        <f t="shared" si="39"/>
        <v>1</v>
      </c>
      <c r="P189" s="3288"/>
      <c r="Q189" s="2993">
        <f t="shared" si="40"/>
        <v>1</v>
      </c>
      <c r="R189" s="2736">
        <f t="shared" si="41"/>
        <v>0</v>
      </c>
      <c r="S189" s="2867">
        <f t="shared" si="42"/>
        <v>0</v>
      </c>
    </row>
    <row r="190" spans="1:19">
      <c r="A190" s="2995"/>
      <c r="B190" s="3286"/>
      <c r="C190" s="2993">
        <f t="shared" si="33"/>
        <v>1</v>
      </c>
      <c r="D190" s="3288"/>
      <c r="E190" s="2993">
        <f t="shared" si="34"/>
        <v>1</v>
      </c>
      <c r="F190" s="3288"/>
      <c r="G190" s="2993">
        <f t="shared" si="35"/>
        <v>1</v>
      </c>
      <c r="H190" s="3288"/>
      <c r="I190" s="2993">
        <f t="shared" si="36"/>
        <v>1</v>
      </c>
      <c r="J190" s="3288"/>
      <c r="K190" s="2993">
        <f t="shared" si="37"/>
        <v>1</v>
      </c>
      <c r="L190" s="3288"/>
      <c r="M190" s="2993">
        <f t="shared" si="38"/>
        <v>1</v>
      </c>
      <c r="N190" s="3288"/>
      <c r="O190" s="2993">
        <f t="shared" si="39"/>
        <v>1</v>
      </c>
      <c r="P190" s="3288"/>
      <c r="Q190" s="2993">
        <f t="shared" si="40"/>
        <v>1</v>
      </c>
      <c r="R190" s="2736">
        <f t="shared" si="41"/>
        <v>0</v>
      </c>
      <c r="S190" s="2867">
        <f t="shared" si="42"/>
        <v>0</v>
      </c>
    </row>
    <row r="191" spans="1:19">
      <c r="A191" s="2995"/>
      <c r="B191" s="3286"/>
      <c r="C191" s="2993">
        <f t="shared" si="33"/>
        <v>1</v>
      </c>
      <c r="D191" s="3288"/>
      <c r="E191" s="2993">
        <f t="shared" si="34"/>
        <v>1</v>
      </c>
      <c r="F191" s="3288"/>
      <c r="G191" s="2993">
        <f t="shared" si="35"/>
        <v>1</v>
      </c>
      <c r="H191" s="3288"/>
      <c r="I191" s="2993">
        <f t="shared" si="36"/>
        <v>1</v>
      </c>
      <c r="J191" s="3288"/>
      <c r="K191" s="2993">
        <f t="shared" si="37"/>
        <v>1</v>
      </c>
      <c r="L191" s="3288"/>
      <c r="M191" s="2993">
        <f t="shared" si="38"/>
        <v>1</v>
      </c>
      <c r="N191" s="3288"/>
      <c r="O191" s="2993">
        <f t="shared" si="39"/>
        <v>1</v>
      </c>
      <c r="P191" s="3288"/>
      <c r="Q191" s="2993">
        <f t="shared" si="40"/>
        <v>1</v>
      </c>
      <c r="R191" s="2736">
        <f t="shared" si="41"/>
        <v>0</v>
      </c>
      <c r="S191" s="2867">
        <f t="shared" si="42"/>
        <v>0</v>
      </c>
    </row>
    <row r="192" spans="1:19">
      <c r="A192" s="2995"/>
      <c r="B192" s="3286"/>
      <c r="C192" s="2993">
        <f t="shared" si="33"/>
        <v>1</v>
      </c>
      <c r="D192" s="3288"/>
      <c r="E192" s="2993">
        <f t="shared" si="34"/>
        <v>1</v>
      </c>
      <c r="F192" s="3288"/>
      <c r="G192" s="2993">
        <f t="shared" si="35"/>
        <v>1</v>
      </c>
      <c r="H192" s="3288"/>
      <c r="I192" s="2993">
        <f t="shared" si="36"/>
        <v>1</v>
      </c>
      <c r="J192" s="3288"/>
      <c r="K192" s="2993">
        <f t="shared" si="37"/>
        <v>1</v>
      </c>
      <c r="L192" s="3288"/>
      <c r="M192" s="2993">
        <f t="shared" si="38"/>
        <v>1</v>
      </c>
      <c r="N192" s="3288"/>
      <c r="O192" s="2993">
        <f t="shared" si="39"/>
        <v>1</v>
      </c>
      <c r="P192" s="3288"/>
      <c r="Q192" s="2993">
        <f t="shared" si="40"/>
        <v>1</v>
      </c>
      <c r="R192" s="2736">
        <f t="shared" si="41"/>
        <v>0</v>
      </c>
      <c r="S192" s="2867">
        <f t="shared" si="42"/>
        <v>0</v>
      </c>
    </row>
    <row r="193" spans="1:19">
      <c r="A193" s="2995"/>
      <c r="B193" s="3286"/>
      <c r="C193" s="2993">
        <f t="shared" si="33"/>
        <v>1</v>
      </c>
      <c r="D193" s="3288"/>
      <c r="E193" s="2993">
        <f t="shared" si="34"/>
        <v>1</v>
      </c>
      <c r="F193" s="3288"/>
      <c r="G193" s="2993">
        <f t="shared" si="35"/>
        <v>1</v>
      </c>
      <c r="H193" s="3288"/>
      <c r="I193" s="2993">
        <f t="shared" si="36"/>
        <v>1</v>
      </c>
      <c r="J193" s="3288"/>
      <c r="K193" s="2993">
        <f t="shared" si="37"/>
        <v>1</v>
      </c>
      <c r="L193" s="3288"/>
      <c r="M193" s="2993">
        <f t="shared" si="38"/>
        <v>1</v>
      </c>
      <c r="N193" s="3288"/>
      <c r="O193" s="2993">
        <f t="shared" si="39"/>
        <v>1</v>
      </c>
      <c r="P193" s="3288"/>
      <c r="Q193" s="2993">
        <f t="shared" si="40"/>
        <v>1</v>
      </c>
      <c r="R193" s="2736">
        <f t="shared" si="41"/>
        <v>0</v>
      </c>
      <c r="S193" s="2867">
        <f t="shared" si="42"/>
        <v>0</v>
      </c>
    </row>
    <row r="194" spans="1:19">
      <c r="A194" s="2995"/>
      <c r="B194" s="3286"/>
      <c r="C194" s="2993">
        <f t="shared" si="33"/>
        <v>1</v>
      </c>
      <c r="D194" s="3288"/>
      <c r="E194" s="2993">
        <f t="shared" si="34"/>
        <v>1</v>
      </c>
      <c r="F194" s="3288"/>
      <c r="G194" s="2993">
        <f t="shared" si="35"/>
        <v>1</v>
      </c>
      <c r="H194" s="3288"/>
      <c r="I194" s="2993">
        <f t="shared" si="36"/>
        <v>1</v>
      </c>
      <c r="J194" s="3288"/>
      <c r="K194" s="2993">
        <f t="shared" si="37"/>
        <v>1</v>
      </c>
      <c r="L194" s="3288"/>
      <c r="M194" s="2993">
        <f t="shared" si="38"/>
        <v>1</v>
      </c>
      <c r="N194" s="3288"/>
      <c r="O194" s="2993">
        <f t="shared" si="39"/>
        <v>1</v>
      </c>
      <c r="P194" s="3288"/>
      <c r="Q194" s="2993">
        <f t="shared" si="40"/>
        <v>1</v>
      </c>
      <c r="R194" s="2736">
        <f t="shared" si="41"/>
        <v>0</v>
      </c>
      <c r="S194" s="2867">
        <f t="shared" si="42"/>
        <v>0</v>
      </c>
    </row>
    <row r="195" spans="1:19">
      <c r="A195" s="2995"/>
      <c r="B195" s="3286"/>
      <c r="C195" s="2993">
        <f t="shared" si="33"/>
        <v>1</v>
      </c>
      <c r="D195" s="3288"/>
      <c r="E195" s="2993">
        <f t="shared" si="34"/>
        <v>1</v>
      </c>
      <c r="F195" s="3288"/>
      <c r="G195" s="2993">
        <f t="shared" si="35"/>
        <v>1</v>
      </c>
      <c r="H195" s="3288"/>
      <c r="I195" s="2993">
        <f t="shared" si="36"/>
        <v>1</v>
      </c>
      <c r="J195" s="3288"/>
      <c r="K195" s="2993">
        <f t="shared" si="37"/>
        <v>1</v>
      </c>
      <c r="L195" s="3288"/>
      <c r="M195" s="2993">
        <f t="shared" si="38"/>
        <v>1</v>
      </c>
      <c r="N195" s="3288"/>
      <c r="O195" s="2993">
        <f t="shared" si="39"/>
        <v>1</v>
      </c>
      <c r="P195" s="3288"/>
      <c r="Q195" s="2993">
        <f t="shared" si="40"/>
        <v>1</v>
      </c>
      <c r="R195" s="2736">
        <f t="shared" si="41"/>
        <v>0</v>
      </c>
      <c r="S195" s="2867">
        <f t="shared" si="42"/>
        <v>0</v>
      </c>
    </row>
    <row r="196" spans="1:19">
      <c r="A196" s="2995"/>
      <c r="B196" s="3286"/>
      <c r="C196" s="2993">
        <f t="shared" si="33"/>
        <v>1</v>
      </c>
      <c r="D196" s="3288"/>
      <c r="E196" s="2993">
        <f t="shared" si="34"/>
        <v>1</v>
      </c>
      <c r="F196" s="3288"/>
      <c r="G196" s="2993">
        <f t="shared" si="35"/>
        <v>1</v>
      </c>
      <c r="H196" s="3288"/>
      <c r="I196" s="2993">
        <f t="shared" si="36"/>
        <v>1</v>
      </c>
      <c r="J196" s="3288"/>
      <c r="K196" s="2993">
        <f t="shared" si="37"/>
        <v>1</v>
      </c>
      <c r="L196" s="3288"/>
      <c r="M196" s="2993">
        <f t="shared" si="38"/>
        <v>1</v>
      </c>
      <c r="N196" s="3288"/>
      <c r="O196" s="2993">
        <f t="shared" si="39"/>
        <v>1</v>
      </c>
      <c r="P196" s="3288"/>
      <c r="Q196" s="2993">
        <f t="shared" si="40"/>
        <v>1</v>
      </c>
      <c r="R196" s="2736">
        <f t="shared" si="41"/>
        <v>0</v>
      </c>
      <c r="S196" s="2867">
        <f t="shared" si="42"/>
        <v>0</v>
      </c>
    </row>
    <row r="197" spans="1:19">
      <c r="A197" s="2995"/>
      <c r="B197" s="3286"/>
      <c r="C197" s="2993">
        <f t="shared" si="33"/>
        <v>1</v>
      </c>
      <c r="D197" s="3288"/>
      <c r="E197" s="2993">
        <f t="shared" si="34"/>
        <v>1</v>
      </c>
      <c r="F197" s="3288"/>
      <c r="G197" s="2993">
        <f t="shared" si="35"/>
        <v>1</v>
      </c>
      <c r="H197" s="3288"/>
      <c r="I197" s="2993">
        <f t="shared" si="36"/>
        <v>1</v>
      </c>
      <c r="J197" s="3288"/>
      <c r="K197" s="2993">
        <f t="shared" si="37"/>
        <v>1</v>
      </c>
      <c r="L197" s="3288"/>
      <c r="M197" s="2993">
        <f t="shared" si="38"/>
        <v>1</v>
      </c>
      <c r="N197" s="3288"/>
      <c r="O197" s="2993">
        <f t="shared" si="39"/>
        <v>1</v>
      </c>
      <c r="P197" s="3288"/>
      <c r="Q197" s="2993">
        <f t="shared" si="40"/>
        <v>1</v>
      </c>
      <c r="R197" s="2736">
        <f t="shared" si="41"/>
        <v>0</v>
      </c>
      <c r="S197" s="2867">
        <f t="shared" si="42"/>
        <v>0</v>
      </c>
    </row>
    <row r="198" spans="1:19">
      <c r="A198" s="2995"/>
      <c r="B198" s="3286"/>
      <c r="C198" s="2993">
        <f t="shared" si="33"/>
        <v>1</v>
      </c>
      <c r="D198" s="3288"/>
      <c r="E198" s="2993">
        <f t="shared" si="34"/>
        <v>1</v>
      </c>
      <c r="F198" s="3288"/>
      <c r="G198" s="2993">
        <f t="shared" si="35"/>
        <v>1</v>
      </c>
      <c r="H198" s="3288"/>
      <c r="I198" s="2993">
        <f t="shared" si="36"/>
        <v>1</v>
      </c>
      <c r="J198" s="3288"/>
      <c r="K198" s="2993">
        <f t="shared" si="37"/>
        <v>1</v>
      </c>
      <c r="L198" s="3288"/>
      <c r="M198" s="2993">
        <f t="shared" si="38"/>
        <v>1</v>
      </c>
      <c r="N198" s="3288"/>
      <c r="O198" s="2993">
        <f t="shared" si="39"/>
        <v>1</v>
      </c>
      <c r="P198" s="3288"/>
      <c r="Q198" s="2993">
        <f t="shared" si="40"/>
        <v>1</v>
      </c>
      <c r="R198" s="2736">
        <f t="shared" si="41"/>
        <v>0</v>
      </c>
      <c r="S198" s="2867">
        <f t="shared" si="42"/>
        <v>0</v>
      </c>
    </row>
    <row r="199" spans="1:19">
      <c r="A199" s="2995"/>
      <c r="B199" s="3286"/>
      <c r="C199" s="2993">
        <f t="shared" si="33"/>
        <v>1</v>
      </c>
      <c r="D199" s="3288"/>
      <c r="E199" s="2993">
        <f t="shared" si="34"/>
        <v>1</v>
      </c>
      <c r="F199" s="3288"/>
      <c r="G199" s="2993">
        <f t="shared" si="35"/>
        <v>1</v>
      </c>
      <c r="H199" s="3288"/>
      <c r="I199" s="2993">
        <f t="shared" si="36"/>
        <v>1</v>
      </c>
      <c r="J199" s="3288"/>
      <c r="K199" s="2993">
        <f t="shared" si="37"/>
        <v>1</v>
      </c>
      <c r="L199" s="3288"/>
      <c r="M199" s="2993">
        <f t="shared" si="38"/>
        <v>1</v>
      </c>
      <c r="N199" s="3288"/>
      <c r="O199" s="2993">
        <f t="shared" si="39"/>
        <v>1</v>
      </c>
      <c r="P199" s="3288"/>
      <c r="Q199" s="2993">
        <f t="shared" si="40"/>
        <v>1</v>
      </c>
      <c r="R199" s="2736">
        <f t="shared" si="41"/>
        <v>0</v>
      </c>
      <c r="S199" s="2867">
        <f t="shared" si="42"/>
        <v>0</v>
      </c>
    </row>
    <row r="200" spans="1:19">
      <c r="A200" s="2995"/>
      <c r="B200" s="3286"/>
      <c r="C200" s="2993">
        <f t="shared" si="33"/>
        <v>1</v>
      </c>
      <c r="D200" s="3288"/>
      <c r="E200" s="2993">
        <f t="shared" si="34"/>
        <v>1</v>
      </c>
      <c r="F200" s="3288"/>
      <c r="G200" s="2993">
        <f t="shared" si="35"/>
        <v>1</v>
      </c>
      <c r="H200" s="3288"/>
      <c r="I200" s="2993">
        <f t="shared" si="36"/>
        <v>1</v>
      </c>
      <c r="J200" s="3288"/>
      <c r="K200" s="2993">
        <f t="shared" si="37"/>
        <v>1</v>
      </c>
      <c r="L200" s="3288"/>
      <c r="M200" s="2993">
        <f t="shared" si="38"/>
        <v>1</v>
      </c>
      <c r="N200" s="3288"/>
      <c r="O200" s="2993">
        <f t="shared" si="39"/>
        <v>1</v>
      </c>
      <c r="P200" s="3288"/>
      <c r="Q200" s="2993">
        <f t="shared" si="40"/>
        <v>1</v>
      </c>
      <c r="R200" s="2736">
        <f t="shared" si="41"/>
        <v>0</v>
      </c>
      <c r="S200" s="2867">
        <f t="shared" si="42"/>
        <v>0</v>
      </c>
    </row>
    <row r="201" spans="1:19">
      <c r="A201" s="2995"/>
      <c r="B201" s="3286"/>
      <c r="C201" s="2993">
        <f t="shared" si="33"/>
        <v>1</v>
      </c>
      <c r="D201" s="3288"/>
      <c r="E201" s="2993">
        <f t="shared" si="34"/>
        <v>1</v>
      </c>
      <c r="F201" s="3288"/>
      <c r="G201" s="2993">
        <f t="shared" si="35"/>
        <v>1</v>
      </c>
      <c r="H201" s="3288"/>
      <c r="I201" s="2993">
        <f t="shared" si="36"/>
        <v>1</v>
      </c>
      <c r="J201" s="3288"/>
      <c r="K201" s="2993">
        <f t="shared" si="37"/>
        <v>1</v>
      </c>
      <c r="L201" s="3288"/>
      <c r="M201" s="2993">
        <f t="shared" si="38"/>
        <v>1</v>
      </c>
      <c r="N201" s="3288"/>
      <c r="O201" s="2993">
        <f t="shared" si="39"/>
        <v>1</v>
      </c>
      <c r="P201" s="3288"/>
      <c r="Q201" s="2993">
        <f t="shared" si="40"/>
        <v>1</v>
      </c>
      <c r="R201" s="2736">
        <f t="shared" si="41"/>
        <v>0</v>
      </c>
      <c r="S201" s="2867">
        <f t="shared" si="42"/>
        <v>0</v>
      </c>
    </row>
    <row r="202" spans="1:19">
      <c r="A202" s="2995"/>
      <c r="B202" s="3286"/>
      <c r="C202" s="2993">
        <f t="shared" si="33"/>
        <v>1</v>
      </c>
      <c r="D202" s="3288"/>
      <c r="E202" s="2993">
        <f t="shared" si="34"/>
        <v>1</v>
      </c>
      <c r="F202" s="3288"/>
      <c r="G202" s="2993">
        <f t="shared" si="35"/>
        <v>1</v>
      </c>
      <c r="H202" s="3288"/>
      <c r="I202" s="2993">
        <f t="shared" si="36"/>
        <v>1</v>
      </c>
      <c r="J202" s="3288"/>
      <c r="K202" s="2993">
        <f t="shared" si="37"/>
        <v>1</v>
      </c>
      <c r="L202" s="3288"/>
      <c r="M202" s="2993">
        <f t="shared" si="38"/>
        <v>1</v>
      </c>
      <c r="N202" s="3288"/>
      <c r="O202" s="2993">
        <f t="shared" si="39"/>
        <v>1</v>
      </c>
      <c r="P202" s="3288"/>
      <c r="Q202" s="2993">
        <f t="shared" si="40"/>
        <v>1</v>
      </c>
      <c r="R202" s="2736">
        <f t="shared" si="41"/>
        <v>0</v>
      </c>
      <c r="S202" s="2867">
        <f t="shared" si="42"/>
        <v>0</v>
      </c>
    </row>
    <row r="203" spans="1:19">
      <c r="A203" s="2995"/>
      <c r="B203" s="3286"/>
      <c r="C203" s="2993">
        <f t="shared" si="33"/>
        <v>1</v>
      </c>
      <c r="D203" s="3288"/>
      <c r="E203" s="2993">
        <f t="shared" si="34"/>
        <v>1</v>
      </c>
      <c r="F203" s="3288"/>
      <c r="G203" s="2993">
        <f t="shared" si="35"/>
        <v>1</v>
      </c>
      <c r="H203" s="3288"/>
      <c r="I203" s="2993">
        <f t="shared" si="36"/>
        <v>1</v>
      </c>
      <c r="J203" s="3288"/>
      <c r="K203" s="2993">
        <f t="shared" si="37"/>
        <v>1</v>
      </c>
      <c r="L203" s="3288"/>
      <c r="M203" s="2993">
        <f t="shared" si="38"/>
        <v>1</v>
      </c>
      <c r="N203" s="3288"/>
      <c r="O203" s="2993">
        <f t="shared" si="39"/>
        <v>1</v>
      </c>
      <c r="P203" s="3288"/>
      <c r="Q203" s="2993">
        <f t="shared" si="40"/>
        <v>1</v>
      </c>
      <c r="R203" s="2736">
        <f t="shared" si="41"/>
        <v>0</v>
      </c>
      <c r="S203" s="2867">
        <f t="shared" si="42"/>
        <v>0</v>
      </c>
    </row>
    <row r="204" spans="1:19">
      <c r="A204" s="2995"/>
      <c r="B204" s="3286"/>
      <c r="C204" s="2993">
        <f t="shared" si="33"/>
        <v>1</v>
      </c>
      <c r="D204" s="3288"/>
      <c r="E204" s="2993">
        <f t="shared" si="34"/>
        <v>1</v>
      </c>
      <c r="F204" s="3288"/>
      <c r="G204" s="2993">
        <f t="shared" si="35"/>
        <v>1</v>
      </c>
      <c r="H204" s="3288"/>
      <c r="I204" s="2993">
        <f t="shared" si="36"/>
        <v>1</v>
      </c>
      <c r="J204" s="3288"/>
      <c r="K204" s="2993">
        <f t="shared" si="37"/>
        <v>1</v>
      </c>
      <c r="L204" s="3288"/>
      <c r="M204" s="2993">
        <f t="shared" si="38"/>
        <v>1</v>
      </c>
      <c r="N204" s="3288"/>
      <c r="O204" s="2993">
        <f t="shared" si="39"/>
        <v>1</v>
      </c>
      <c r="P204" s="3288"/>
      <c r="Q204" s="2993">
        <f t="shared" si="40"/>
        <v>1</v>
      </c>
      <c r="R204" s="2736">
        <f t="shared" si="41"/>
        <v>0</v>
      </c>
      <c r="S204" s="2867">
        <f t="shared" si="42"/>
        <v>0</v>
      </c>
    </row>
    <row r="205" spans="1:19">
      <c r="A205" s="2995"/>
      <c r="B205" s="3286"/>
      <c r="C205" s="2993">
        <f t="shared" si="33"/>
        <v>1</v>
      </c>
      <c r="D205" s="3288"/>
      <c r="E205" s="2993">
        <f t="shared" si="34"/>
        <v>1</v>
      </c>
      <c r="F205" s="3288"/>
      <c r="G205" s="2993">
        <f t="shared" si="35"/>
        <v>1</v>
      </c>
      <c r="H205" s="3288"/>
      <c r="I205" s="2993">
        <f t="shared" si="36"/>
        <v>1</v>
      </c>
      <c r="J205" s="3288"/>
      <c r="K205" s="2993">
        <f t="shared" si="37"/>
        <v>1</v>
      </c>
      <c r="L205" s="3288"/>
      <c r="M205" s="2993">
        <f t="shared" si="38"/>
        <v>1</v>
      </c>
      <c r="N205" s="3288"/>
      <c r="O205" s="2993">
        <f t="shared" si="39"/>
        <v>1</v>
      </c>
      <c r="P205" s="3288"/>
      <c r="Q205" s="2993">
        <f t="shared" si="40"/>
        <v>1</v>
      </c>
      <c r="R205" s="2736">
        <f t="shared" si="41"/>
        <v>0</v>
      </c>
      <c r="S205" s="2867">
        <f t="shared" si="42"/>
        <v>0</v>
      </c>
    </row>
    <row r="206" spans="1:19">
      <c r="A206" s="2995"/>
      <c r="B206" s="3286"/>
      <c r="C206" s="2993">
        <f t="shared" si="33"/>
        <v>1</v>
      </c>
      <c r="D206" s="3288"/>
      <c r="E206" s="2993">
        <f t="shared" si="34"/>
        <v>1</v>
      </c>
      <c r="F206" s="3288"/>
      <c r="G206" s="2993">
        <f t="shared" si="35"/>
        <v>1</v>
      </c>
      <c r="H206" s="3288"/>
      <c r="I206" s="2993">
        <f t="shared" si="36"/>
        <v>1</v>
      </c>
      <c r="J206" s="3288"/>
      <c r="K206" s="2993">
        <f t="shared" si="37"/>
        <v>1</v>
      </c>
      <c r="L206" s="3288"/>
      <c r="M206" s="2993">
        <f t="shared" si="38"/>
        <v>1</v>
      </c>
      <c r="N206" s="3288"/>
      <c r="O206" s="2993">
        <f t="shared" si="39"/>
        <v>1</v>
      </c>
      <c r="P206" s="3288"/>
      <c r="Q206" s="2993">
        <f t="shared" si="40"/>
        <v>1</v>
      </c>
      <c r="R206" s="2736">
        <f t="shared" si="41"/>
        <v>0</v>
      </c>
      <c r="S206" s="2867">
        <f t="shared" si="42"/>
        <v>0</v>
      </c>
    </row>
    <row r="207" spans="1:19">
      <c r="A207" s="2995"/>
      <c r="B207" s="3286"/>
      <c r="C207" s="2993">
        <f t="shared" si="33"/>
        <v>1</v>
      </c>
      <c r="D207" s="3288"/>
      <c r="E207" s="2993">
        <f t="shared" si="34"/>
        <v>1</v>
      </c>
      <c r="F207" s="3288"/>
      <c r="G207" s="2993">
        <f t="shared" si="35"/>
        <v>1</v>
      </c>
      <c r="H207" s="3288"/>
      <c r="I207" s="2993">
        <f t="shared" si="36"/>
        <v>1</v>
      </c>
      <c r="J207" s="3288"/>
      <c r="K207" s="2993">
        <f t="shared" si="37"/>
        <v>1</v>
      </c>
      <c r="L207" s="3288"/>
      <c r="M207" s="2993">
        <f t="shared" si="38"/>
        <v>1</v>
      </c>
      <c r="N207" s="3288"/>
      <c r="O207" s="2993">
        <f t="shared" si="39"/>
        <v>1</v>
      </c>
      <c r="P207" s="3288"/>
      <c r="Q207" s="2993">
        <f t="shared" si="40"/>
        <v>1</v>
      </c>
      <c r="R207" s="2736">
        <f t="shared" si="41"/>
        <v>0</v>
      </c>
      <c r="S207" s="2867">
        <f t="shared" si="42"/>
        <v>0</v>
      </c>
    </row>
    <row r="208" spans="1:19">
      <c r="A208" s="2995"/>
      <c r="B208" s="3286"/>
      <c r="C208" s="2993">
        <f t="shared" si="33"/>
        <v>1</v>
      </c>
      <c r="D208" s="3288"/>
      <c r="E208" s="2993">
        <f t="shared" si="34"/>
        <v>1</v>
      </c>
      <c r="F208" s="3288"/>
      <c r="G208" s="2993">
        <f t="shared" si="35"/>
        <v>1</v>
      </c>
      <c r="H208" s="3288"/>
      <c r="I208" s="2993">
        <f t="shared" si="36"/>
        <v>1</v>
      </c>
      <c r="J208" s="3288"/>
      <c r="K208" s="2993">
        <f t="shared" si="37"/>
        <v>1</v>
      </c>
      <c r="L208" s="3288"/>
      <c r="M208" s="2993">
        <f t="shared" si="38"/>
        <v>1</v>
      </c>
      <c r="N208" s="3288"/>
      <c r="O208" s="2993">
        <f t="shared" si="39"/>
        <v>1</v>
      </c>
      <c r="P208" s="3288"/>
      <c r="Q208" s="2993">
        <f t="shared" si="40"/>
        <v>1</v>
      </c>
      <c r="R208" s="2736">
        <f t="shared" si="41"/>
        <v>0</v>
      </c>
      <c r="S208" s="2867">
        <f t="shared" si="42"/>
        <v>0</v>
      </c>
    </row>
    <row r="209" spans="1:19">
      <c r="A209" s="2995"/>
      <c r="B209" s="3286"/>
      <c r="C209" s="2993">
        <f t="shared" si="33"/>
        <v>1</v>
      </c>
      <c r="D209" s="3288"/>
      <c r="E209" s="2993">
        <f t="shared" si="34"/>
        <v>1</v>
      </c>
      <c r="F209" s="3288"/>
      <c r="G209" s="2993">
        <f t="shared" si="35"/>
        <v>1</v>
      </c>
      <c r="H209" s="3288"/>
      <c r="I209" s="2993">
        <f t="shared" si="36"/>
        <v>1</v>
      </c>
      <c r="J209" s="3288"/>
      <c r="K209" s="2993">
        <f t="shared" si="37"/>
        <v>1</v>
      </c>
      <c r="L209" s="3288"/>
      <c r="M209" s="2993">
        <f t="shared" si="38"/>
        <v>1</v>
      </c>
      <c r="N209" s="3288"/>
      <c r="O209" s="2993">
        <f t="shared" si="39"/>
        <v>1</v>
      </c>
      <c r="P209" s="3288"/>
      <c r="Q209" s="2993">
        <f t="shared" si="40"/>
        <v>1</v>
      </c>
      <c r="R209" s="2736">
        <f t="shared" si="41"/>
        <v>0</v>
      </c>
      <c r="S209" s="2867">
        <f t="shared" si="42"/>
        <v>0</v>
      </c>
    </row>
    <row r="210" spans="1:19">
      <c r="A210" s="2995"/>
      <c r="B210" s="3286"/>
      <c r="C210" s="2993">
        <f t="shared" si="33"/>
        <v>1</v>
      </c>
      <c r="D210" s="3288"/>
      <c r="E210" s="2993">
        <f t="shared" si="34"/>
        <v>1</v>
      </c>
      <c r="F210" s="3288"/>
      <c r="G210" s="2993">
        <f t="shared" si="35"/>
        <v>1</v>
      </c>
      <c r="H210" s="3288"/>
      <c r="I210" s="2993">
        <f t="shared" si="36"/>
        <v>1</v>
      </c>
      <c r="J210" s="3288"/>
      <c r="K210" s="2993">
        <f t="shared" si="37"/>
        <v>1</v>
      </c>
      <c r="L210" s="3288"/>
      <c r="M210" s="2993">
        <f t="shared" si="38"/>
        <v>1</v>
      </c>
      <c r="N210" s="3288"/>
      <c r="O210" s="2993">
        <f t="shared" si="39"/>
        <v>1</v>
      </c>
      <c r="P210" s="3288"/>
      <c r="Q210" s="2993">
        <f t="shared" si="40"/>
        <v>1</v>
      </c>
      <c r="R210" s="2736">
        <f t="shared" si="41"/>
        <v>0</v>
      </c>
      <c r="S210" s="2867">
        <f t="shared" si="42"/>
        <v>0</v>
      </c>
    </row>
    <row r="211" spans="1:19">
      <c r="A211" s="2995"/>
      <c r="B211" s="3286"/>
      <c r="C211" s="2993">
        <f t="shared" si="33"/>
        <v>1</v>
      </c>
      <c r="D211" s="3288"/>
      <c r="E211" s="2993">
        <f t="shared" si="34"/>
        <v>1</v>
      </c>
      <c r="F211" s="3288"/>
      <c r="G211" s="2993">
        <f t="shared" si="35"/>
        <v>1</v>
      </c>
      <c r="H211" s="3288"/>
      <c r="I211" s="2993">
        <f t="shared" si="36"/>
        <v>1</v>
      </c>
      <c r="J211" s="3288"/>
      <c r="K211" s="2993">
        <f t="shared" si="37"/>
        <v>1</v>
      </c>
      <c r="L211" s="3288"/>
      <c r="M211" s="2993">
        <f t="shared" si="38"/>
        <v>1</v>
      </c>
      <c r="N211" s="3288"/>
      <c r="O211" s="2993">
        <f t="shared" si="39"/>
        <v>1</v>
      </c>
      <c r="P211" s="3288"/>
      <c r="Q211" s="2993">
        <f t="shared" si="40"/>
        <v>1</v>
      </c>
      <c r="R211" s="2736">
        <f t="shared" si="41"/>
        <v>0</v>
      </c>
      <c r="S211" s="2867">
        <f t="shared" si="42"/>
        <v>0</v>
      </c>
    </row>
    <row r="212" spans="1:19">
      <c r="A212" s="2995"/>
      <c r="B212" s="3286"/>
      <c r="C212" s="2993">
        <f t="shared" si="33"/>
        <v>1</v>
      </c>
      <c r="D212" s="3288"/>
      <c r="E212" s="2993">
        <f t="shared" si="34"/>
        <v>1</v>
      </c>
      <c r="F212" s="3288"/>
      <c r="G212" s="2993">
        <f t="shared" si="35"/>
        <v>1</v>
      </c>
      <c r="H212" s="3288"/>
      <c r="I212" s="2993">
        <f t="shared" si="36"/>
        <v>1</v>
      </c>
      <c r="J212" s="3288"/>
      <c r="K212" s="2993">
        <f t="shared" si="37"/>
        <v>1</v>
      </c>
      <c r="L212" s="3288"/>
      <c r="M212" s="2993">
        <f t="shared" si="38"/>
        <v>1</v>
      </c>
      <c r="N212" s="3288"/>
      <c r="O212" s="2993">
        <f t="shared" si="39"/>
        <v>1</v>
      </c>
      <c r="P212" s="3288"/>
      <c r="Q212" s="2993">
        <f t="shared" si="40"/>
        <v>1</v>
      </c>
      <c r="R212" s="2736">
        <f t="shared" si="41"/>
        <v>0</v>
      </c>
      <c r="S212" s="2867">
        <f t="shared" si="42"/>
        <v>0</v>
      </c>
    </row>
    <row r="213" spans="1:19">
      <c r="A213" s="2995"/>
      <c r="B213" s="3286"/>
      <c r="C213" s="2993">
        <f t="shared" si="33"/>
        <v>1</v>
      </c>
      <c r="D213" s="3288"/>
      <c r="E213" s="2993">
        <f t="shared" si="34"/>
        <v>1</v>
      </c>
      <c r="F213" s="3288"/>
      <c r="G213" s="2993">
        <f t="shared" si="35"/>
        <v>1</v>
      </c>
      <c r="H213" s="3288"/>
      <c r="I213" s="2993">
        <f t="shared" si="36"/>
        <v>1</v>
      </c>
      <c r="J213" s="3288"/>
      <c r="K213" s="2993">
        <f t="shared" si="37"/>
        <v>1</v>
      </c>
      <c r="L213" s="3288"/>
      <c r="M213" s="2993">
        <f t="shared" si="38"/>
        <v>1</v>
      </c>
      <c r="N213" s="3288"/>
      <c r="O213" s="2993">
        <f t="shared" si="39"/>
        <v>1</v>
      </c>
      <c r="P213" s="3288"/>
      <c r="Q213" s="2993">
        <f t="shared" si="40"/>
        <v>1</v>
      </c>
      <c r="R213" s="2736">
        <f t="shared" si="41"/>
        <v>0</v>
      </c>
      <c r="S213" s="2867">
        <f t="shared" si="42"/>
        <v>0</v>
      </c>
    </row>
    <row r="214" spans="1:19">
      <c r="A214" s="2995"/>
      <c r="B214" s="3286"/>
      <c r="C214" s="2993">
        <f t="shared" si="33"/>
        <v>1</v>
      </c>
      <c r="D214" s="3288"/>
      <c r="E214" s="2993">
        <f t="shared" si="34"/>
        <v>1</v>
      </c>
      <c r="F214" s="3288"/>
      <c r="G214" s="2993">
        <f t="shared" si="35"/>
        <v>1</v>
      </c>
      <c r="H214" s="3288"/>
      <c r="I214" s="2993">
        <f t="shared" si="36"/>
        <v>1</v>
      </c>
      <c r="J214" s="3288"/>
      <c r="K214" s="2993">
        <f t="shared" si="37"/>
        <v>1</v>
      </c>
      <c r="L214" s="3288"/>
      <c r="M214" s="2993">
        <f t="shared" si="38"/>
        <v>1</v>
      </c>
      <c r="N214" s="3288"/>
      <c r="O214" s="2993">
        <f t="shared" si="39"/>
        <v>1</v>
      </c>
      <c r="P214" s="3288"/>
      <c r="Q214" s="2993">
        <f t="shared" si="40"/>
        <v>1</v>
      </c>
      <c r="R214" s="2736">
        <f t="shared" si="41"/>
        <v>0</v>
      </c>
      <c r="S214" s="2867">
        <f t="shared" si="42"/>
        <v>0</v>
      </c>
    </row>
    <row r="215" spans="1:19">
      <c r="A215" s="2995"/>
      <c r="B215" s="3286"/>
      <c r="C215" s="2993">
        <f t="shared" si="33"/>
        <v>1</v>
      </c>
      <c r="D215" s="3288"/>
      <c r="E215" s="2993">
        <f t="shared" si="34"/>
        <v>1</v>
      </c>
      <c r="F215" s="3288"/>
      <c r="G215" s="2993">
        <f t="shared" si="35"/>
        <v>1</v>
      </c>
      <c r="H215" s="3288"/>
      <c r="I215" s="2993">
        <f t="shared" si="36"/>
        <v>1</v>
      </c>
      <c r="J215" s="3288"/>
      <c r="K215" s="2993">
        <f t="shared" si="37"/>
        <v>1</v>
      </c>
      <c r="L215" s="3288"/>
      <c r="M215" s="2993">
        <f t="shared" si="38"/>
        <v>1</v>
      </c>
      <c r="N215" s="3288"/>
      <c r="O215" s="2993">
        <f t="shared" si="39"/>
        <v>1</v>
      </c>
      <c r="P215" s="3288"/>
      <c r="Q215" s="2993">
        <f t="shared" si="40"/>
        <v>1</v>
      </c>
      <c r="R215" s="2736">
        <f t="shared" si="41"/>
        <v>0</v>
      </c>
      <c r="S215" s="2867">
        <f t="shared" si="42"/>
        <v>0</v>
      </c>
    </row>
    <row r="216" spans="1:19">
      <c r="A216" s="2995"/>
      <c r="B216" s="3286"/>
      <c r="C216" s="2993">
        <f t="shared" si="33"/>
        <v>1</v>
      </c>
      <c r="D216" s="3288"/>
      <c r="E216" s="2993">
        <f t="shared" si="34"/>
        <v>1</v>
      </c>
      <c r="F216" s="3288"/>
      <c r="G216" s="2993">
        <f t="shared" si="35"/>
        <v>1</v>
      </c>
      <c r="H216" s="3288"/>
      <c r="I216" s="2993">
        <f t="shared" si="36"/>
        <v>1</v>
      </c>
      <c r="J216" s="3288"/>
      <c r="K216" s="2993">
        <f t="shared" si="37"/>
        <v>1</v>
      </c>
      <c r="L216" s="3288"/>
      <c r="M216" s="2993">
        <f t="shared" si="38"/>
        <v>1</v>
      </c>
      <c r="N216" s="3288"/>
      <c r="O216" s="2993">
        <f t="shared" si="39"/>
        <v>1</v>
      </c>
      <c r="P216" s="3288"/>
      <c r="Q216" s="2993">
        <f t="shared" si="40"/>
        <v>1</v>
      </c>
      <c r="R216" s="2736">
        <f t="shared" si="41"/>
        <v>0</v>
      </c>
      <c r="S216" s="2867">
        <f t="shared" si="42"/>
        <v>0</v>
      </c>
    </row>
    <row r="217" spans="1:19">
      <c r="A217" s="2995"/>
      <c r="B217" s="3286"/>
      <c r="C217" s="2993">
        <f t="shared" si="33"/>
        <v>1</v>
      </c>
      <c r="D217" s="3288"/>
      <c r="E217" s="2993">
        <f t="shared" si="34"/>
        <v>1</v>
      </c>
      <c r="F217" s="3288"/>
      <c r="G217" s="2993">
        <f t="shared" si="35"/>
        <v>1</v>
      </c>
      <c r="H217" s="3288"/>
      <c r="I217" s="2993">
        <f t="shared" si="36"/>
        <v>1</v>
      </c>
      <c r="J217" s="3288"/>
      <c r="K217" s="2993">
        <f t="shared" si="37"/>
        <v>1</v>
      </c>
      <c r="L217" s="3288"/>
      <c r="M217" s="2993">
        <f t="shared" si="38"/>
        <v>1</v>
      </c>
      <c r="N217" s="3288"/>
      <c r="O217" s="2993">
        <f t="shared" si="39"/>
        <v>1</v>
      </c>
      <c r="P217" s="3288"/>
      <c r="Q217" s="2993">
        <f t="shared" si="40"/>
        <v>1</v>
      </c>
      <c r="R217" s="2736">
        <f t="shared" si="41"/>
        <v>0</v>
      </c>
      <c r="S217" s="2867">
        <f t="shared" si="42"/>
        <v>0</v>
      </c>
    </row>
    <row r="218" spans="1:19">
      <c r="A218" s="2995"/>
      <c r="B218" s="3286"/>
      <c r="C218" s="2993">
        <f t="shared" ref="C218:C281" si="43">IF(B218="",1,(LOOKUP(B218,$3:$3,$4:$4)-LOOKUP($B$24,$3:$3,$4:$4)+100)/100)</f>
        <v>1</v>
      </c>
      <c r="D218" s="3288"/>
      <c r="E218" s="2993">
        <f t="shared" ref="E218:E281" si="44">(SUMIF($5:$5,D218,$6:$6)-SUMIF($5:$5,$D$24,$6:$6)+100)/100</f>
        <v>1</v>
      </c>
      <c r="F218" s="3288"/>
      <c r="G218" s="2993">
        <f t="shared" ref="G218:G281" si="45">(SUMIF($7:$7,F218,$8:$8)-SUMIF($7:$7,$F$24,$8:$8)+100)/100</f>
        <v>1</v>
      </c>
      <c r="H218" s="3288"/>
      <c r="I218" s="2993">
        <f t="shared" ref="I218:I281" si="46">(SUMIF($9:$9,H218,$10:$10)-SUMIF($9:$9,$H$24,$10:$10)+100)/100</f>
        <v>1</v>
      </c>
      <c r="J218" s="3288"/>
      <c r="K218" s="2993">
        <f t="shared" ref="K218:K281" si="47">(SUMIF($11:$11,J218,$12:$12)-SUMIF($11:$11,$J$24,$12:$12)+100)/100</f>
        <v>1</v>
      </c>
      <c r="L218" s="3288"/>
      <c r="M218" s="2993">
        <f t="shared" ref="M218:M281" si="48">(SUMIF($13:$13,L218,$14:$14)-SUMIF($13:$13,$L$24,$14:$14)+100)/100</f>
        <v>1</v>
      </c>
      <c r="N218" s="3288"/>
      <c r="O218" s="2993">
        <f t="shared" ref="O218:O281" si="49">(SUMIF($15:$15,N218,$16:$16)-SUMIF($15:$15,$N$24,$16:$16)+100)/100</f>
        <v>1</v>
      </c>
      <c r="P218" s="3288"/>
      <c r="Q218" s="2993">
        <f t="shared" ref="Q218:Q281" si="50">(SUMIF($17:$17,P218,$18:$18)-SUMIF($17:$17,$P$24,$18:$18)+100)/100</f>
        <v>1</v>
      </c>
      <c r="R218" s="2736">
        <f t="shared" ref="R218:R281" si="51">IF(B218="",0,ROUND($R$24*C218*E218*G218*I218*K218*M218*O218*Q218,0))</f>
        <v>0</v>
      </c>
      <c r="S218" s="2867">
        <f t="shared" si="42"/>
        <v>0</v>
      </c>
    </row>
    <row r="219" spans="1:19">
      <c r="A219" s="2995"/>
      <c r="B219" s="3286"/>
      <c r="C219" s="2993">
        <f t="shared" si="43"/>
        <v>1</v>
      </c>
      <c r="D219" s="3288"/>
      <c r="E219" s="2993">
        <f t="shared" si="44"/>
        <v>1</v>
      </c>
      <c r="F219" s="3288"/>
      <c r="G219" s="2993">
        <f t="shared" si="45"/>
        <v>1</v>
      </c>
      <c r="H219" s="3288"/>
      <c r="I219" s="2993">
        <f t="shared" si="46"/>
        <v>1</v>
      </c>
      <c r="J219" s="3288"/>
      <c r="K219" s="2993">
        <f t="shared" si="47"/>
        <v>1</v>
      </c>
      <c r="L219" s="3288"/>
      <c r="M219" s="2993">
        <f t="shared" si="48"/>
        <v>1</v>
      </c>
      <c r="N219" s="3288"/>
      <c r="O219" s="2993">
        <f t="shared" si="49"/>
        <v>1</v>
      </c>
      <c r="P219" s="3288"/>
      <c r="Q219" s="2993">
        <f t="shared" si="50"/>
        <v>1</v>
      </c>
      <c r="R219" s="2736">
        <f t="shared" si="51"/>
        <v>0</v>
      </c>
      <c r="S219" s="2867">
        <f t="shared" si="42"/>
        <v>0</v>
      </c>
    </row>
    <row r="220" spans="1:19">
      <c r="A220" s="2995"/>
      <c r="B220" s="3286"/>
      <c r="C220" s="2993">
        <f t="shared" si="43"/>
        <v>1</v>
      </c>
      <c r="D220" s="3288"/>
      <c r="E220" s="2993">
        <f t="shared" si="44"/>
        <v>1</v>
      </c>
      <c r="F220" s="3288"/>
      <c r="G220" s="2993">
        <f t="shared" si="45"/>
        <v>1</v>
      </c>
      <c r="H220" s="3288"/>
      <c r="I220" s="2993">
        <f t="shared" si="46"/>
        <v>1</v>
      </c>
      <c r="J220" s="3288"/>
      <c r="K220" s="2993">
        <f t="shared" si="47"/>
        <v>1</v>
      </c>
      <c r="L220" s="3288"/>
      <c r="M220" s="2993">
        <f t="shared" si="48"/>
        <v>1</v>
      </c>
      <c r="N220" s="3288"/>
      <c r="O220" s="2993">
        <f t="shared" si="49"/>
        <v>1</v>
      </c>
      <c r="P220" s="3288"/>
      <c r="Q220" s="2993">
        <f t="shared" si="50"/>
        <v>1</v>
      </c>
      <c r="R220" s="2736">
        <f t="shared" si="51"/>
        <v>0</v>
      </c>
      <c r="S220" s="2867">
        <f t="shared" si="42"/>
        <v>0</v>
      </c>
    </row>
    <row r="221" spans="1:19">
      <c r="A221" s="2995"/>
      <c r="B221" s="3286"/>
      <c r="C221" s="2993">
        <f t="shared" si="43"/>
        <v>1</v>
      </c>
      <c r="D221" s="3288"/>
      <c r="E221" s="2993">
        <f t="shared" si="44"/>
        <v>1</v>
      </c>
      <c r="F221" s="3288"/>
      <c r="G221" s="2993">
        <f t="shared" si="45"/>
        <v>1</v>
      </c>
      <c r="H221" s="3288"/>
      <c r="I221" s="2993">
        <f t="shared" si="46"/>
        <v>1</v>
      </c>
      <c r="J221" s="3288"/>
      <c r="K221" s="2993">
        <f t="shared" si="47"/>
        <v>1</v>
      </c>
      <c r="L221" s="3288"/>
      <c r="M221" s="2993">
        <f t="shared" si="48"/>
        <v>1</v>
      </c>
      <c r="N221" s="3288"/>
      <c r="O221" s="2993">
        <f t="shared" si="49"/>
        <v>1</v>
      </c>
      <c r="P221" s="3288"/>
      <c r="Q221" s="2993">
        <f t="shared" si="50"/>
        <v>1</v>
      </c>
      <c r="R221" s="2736">
        <f t="shared" si="51"/>
        <v>0</v>
      </c>
      <c r="S221" s="2867">
        <f t="shared" si="42"/>
        <v>0</v>
      </c>
    </row>
    <row r="222" spans="1:19">
      <c r="A222" s="2995"/>
      <c r="B222" s="3286"/>
      <c r="C222" s="2993">
        <f t="shared" si="43"/>
        <v>1</v>
      </c>
      <c r="D222" s="3288"/>
      <c r="E222" s="2993">
        <f t="shared" si="44"/>
        <v>1</v>
      </c>
      <c r="F222" s="3288"/>
      <c r="G222" s="2993">
        <f t="shared" si="45"/>
        <v>1</v>
      </c>
      <c r="H222" s="3288"/>
      <c r="I222" s="2993">
        <f t="shared" si="46"/>
        <v>1</v>
      </c>
      <c r="J222" s="3288"/>
      <c r="K222" s="2993">
        <f t="shared" si="47"/>
        <v>1</v>
      </c>
      <c r="L222" s="3288"/>
      <c r="M222" s="2993">
        <f t="shared" si="48"/>
        <v>1</v>
      </c>
      <c r="N222" s="3288"/>
      <c r="O222" s="2993">
        <f t="shared" si="49"/>
        <v>1</v>
      </c>
      <c r="P222" s="3288"/>
      <c r="Q222" s="2993">
        <f t="shared" si="50"/>
        <v>1</v>
      </c>
      <c r="R222" s="2736">
        <f t="shared" si="51"/>
        <v>0</v>
      </c>
      <c r="S222" s="2867">
        <f t="shared" si="42"/>
        <v>0</v>
      </c>
    </row>
    <row r="223" spans="1:19">
      <c r="A223" s="2995"/>
      <c r="B223" s="3286"/>
      <c r="C223" s="2993">
        <f t="shared" si="43"/>
        <v>1</v>
      </c>
      <c r="D223" s="3288"/>
      <c r="E223" s="2993">
        <f t="shared" si="44"/>
        <v>1</v>
      </c>
      <c r="F223" s="3288"/>
      <c r="G223" s="2993">
        <f t="shared" si="45"/>
        <v>1</v>
      </c>
      <c r="H223" s="3288"/>
      <c r="I223" s="2993">
        <f t="shared" si="46"/>
        <v>1</v>
      </c>
      <c r="J223" s="3288"/>
      <c r="K223" s="2993">
        <f t="shared" si="47"/>
        <v>1</v>
      </c>
      <c r="L223" s="3288"/>
      <c r="M223" s="2993">
        <f t="shared" si="48"/>
        <v>1</v>
      </c>
      <c r="N223" s="3288"/>
      <c r="O223" s="2993">
        <f t="shared" si="49"/>
        <v>1</v>
      </c>
      <c r="P223" s="3288"/>
      <c r="Q223" s="2993">
        <f t="shared" si="50"/>
        <v>1</v>
      </c>
      <c r="R223" s="2736">
        <f t="shared" si="51"/>
        <v>0</v>
      </c>
      <c r="S223" s="2867">
        <f t="shared" ref="S223:S286" si="52">ROUND(R223*B223/10000,0)</f>
        <v>0</v>
      </c>
    </row>
    <row r="224" spans="1:19">
      <c r="A224" s="2995"/>
      <c r="B224" s="3286"/>
      <c r="C224" s="2993">
        <f t="shared" si="43"/>
        <v>1</v>
      </c>
      <c r="D224" s="3288"/>
      <c r="E224" s="2993">
        <f t="shared" si="44"/>
        <v>1</v>
      </c>
      <c r="F224" s="3288"/>
      <c r="G224" s="2993">
        <f t="shared" si="45"/>
        <v>1</v>
      </c>
      <c r="H224" s="3288"/>
      <c r="I224" s="2993">
        <f t="shared" si="46"/>
        <v>1</v>
      </c>
      <c r="J224" s="3288"/>
      <c r="K224" s="2993">
        <f t="shared" si="47"/>
        <v>1</v>
      </c>
      <c r="L224" s="3288"/>
      <c r="M224" s="2993">
        <f t="shared" si="48"/>
        <v>1</v>
      </c>
      <c r="N224" s="3288"/>
      <c r="O224" s="2993">
        <f t="shared" si="49"/>
        <v>1</v>
      </c>
      <c r="P224" s="3288"/>
      <c r="Q224" s="2993">
        <f t="shared" si="50"/>
        <v>1</v>
      </c>
      <c r="R224" s="2736">
        <f t="shared" si="51"/>
        <v>0</v>
      </c>
      <c r="S224" s="2867">
        <f t="shared" si="52"/>
        <v>0</v>
      </c>
    </row>
    <row r="225" spans="1:19">
      <c r="A225" s="2995"/>
      <c r="B225" s="3286"/>
      <c r="C225" s="2993">
        <f t="shared" si="43"/>
        <v>1</v>
      </c>
      <c r="D225" s="3288"/>
      <c r="E225" s="2993">
        <f t="shared" si="44"/>
        <v>1</v>
      </c>
      <c r="F225" s="3288"/>
      <c r="G225" s="2993">
        <f t="shared" si="45"/>
        <v>1</v>
      </c>
      <c r="H225" s="3288"/>
      <c r="I225" s="2993">
        <f t="shared" si="46"/>
        <v>1</v>
      </c>
      <c r="J225" s="3288"/>
      <c r="K225" s="2993">
        <f t="shared" si="47"/>
        <v>1</v>
      </c>
      <c r="L225" s="3288"/>
      <c r="M225" s="2993">
        <f t="shared" si="48"/>
        <v>1</v>
      </c>
      <c r="N225" s="3288"/>
      <c r="O225" s="2993">
        <f t="shared" si="49"/>
        <v>1</v>
      </c>
      <c r="P225" s="3288"/>
      <c r="Q225" s="2993">
        <f t="shared" si="50"/>
        <v>1</v>
      </c>
      <c r="R225" s="2736">
        <f t="shared" si="51"/>
        <v>0</v>
      </c>
      <c r="S225" s="2867">
        <f t="shared" si="52"/>
        <v>0</v>
      </c>
    </row>
    <row r="226" spans="1:19">
      <c r="A226" s="2995"/>
      <c r="B226" s="3286"/>
      <c r="C226" s="2993">
        <f t="shared" si="43"/>
        <v>1</v>
      </c>
      <c r="D226" s="3288"/>
      <c r="E226" s="2993">
        <f t="shared" si="44"/>
        <v>1</v>
      </c>
      <c r="F226" s="3288"/>
      <c r="G226" s="2993">
        <f t="shared" si="45"/>
        <v>1</v>
      </c>
      <c r="H226" s="3288"/>
      <c r="I226" s="2993">
        <f t="shared" si="46"/>
        <v>1</v>
      </c>
      <c r="J226" s="3288"/>
      <c r="K226" s="2993">
        <f t="shared" si="47"/>
        <v>1</v>
      </c>
      <c r="L226" s="3288"/>
      <c r="M226" s="2993">
        <f t="shared" si="48"/>
        <v>1</v>
      </c>
      <c r="N226" s="3288"/>
      <c r="O226" s="2993">
        <f t="shared" si="49"/>
        <v>1</v>
      </c>
      <c r="P226" s="3288"/>
      <c r="Q226" s="2993">
        <f t="shared" si="50"/>
        <v>1</v>
      </c>
      <c r="R226" s="2736">
        <f t="shared" si="51"/>
        <v>0</v>
      </c>
      <c r="S226" s="2867">
        <f t="shared" si="52"/>
        <v>0</v>
      </c>
    </row>
    <row r="227" spans="1:19">
      <c r="A227" s="2995"/>
      <c r="B227" s="3286"/>
      <c r="C227" s="2993">
        <f t="shared" si="43"/>
        <v>1</v>
      </c>
      <c r="D227" s="3288"/>
      <c r="E227" s="2993">
        <f t="shared" si="44"/>
        <v>1</v>
      </c>
      <c r="F227" s="3288"/>
      <c r="G227" s="2993">
        <f t="shared" si="45"/>
        <v>1</v>
      </c>
      <c r="H227" s="3288"/>
      <c r="I227" s="2993">
        <f t="shared" si="46"/>
        <v>1</v>
      </c>
      <c r="J227" s="3288"/>
      <c r="K227" s="2993">
        <f t="shared" si="47"/>
        <v>1</v>
      </c>
      <c r="L227" s="3288"/>
      <c r="M227" s="2993">
        <f t="shared" si="48"/>
        <v>1</v>
      </c>
      <c r="N227" s="3288"/>
      <c r="O227" s="2993">
        <f t="shared" si="49"/>
        <v>1</v>
      </c>
      <c r="P227" s="3288"/>
      <c r="Q227" s="2993">
        <f t="shared" si="50"/>
        <v>1</v>
      </c>
      <c r="R227" s="2736">
        <f t="shared" si="51"/>
        <v>0</v>
      </c>
      <c r="S227" s="2867">
        <f t="shared" si="52"/>
        <v>0</v>
      </c>
    </row>
    <row r="228" spans="1:19">
      <c r="A228" s="2995"/>
      <c r="B228" s="3286"/>
      <c r="C228" s="2993">
        <f t="shared" si="43"/>
        <v>1</v>
      </c>
      <c r="D228" s="3288"/>
      <c r="E228" s="2993">
        <f t="shared" si="44"/>
        <v>1</v>
      </c>
      <c r="F228" s="3288"/>
      <c r="G228" s="2993">
        <f t="shared" si="45"/>
        <v>1</v>
      </c>
      <c r="H228" s="3288"/>
      <c r="I228" s="2993">
        <f t="shared" si="46"/>
        <v>1</v>
      </c>
      <c r="J228" s="3288"/>
      <c r="K228" s="2993">
        <f t="shared" si="47"/>
        <v>1</v>
      </c>
      <c r="L228" s="3288"/>
      <c r="M228" s="2993">
        <f t="shared" si="48"/>
        <v>1</v>
      </c>
      <c r="N228" s="3288"/>
      <c r="O228" s="2993">
        <f t="shared" si="49"/>
        <v>1</v>
      </c>
      <c r="P228" s="3288"/>
      <c r="Q228" s="2993">
        <f t="shared" si="50"/>
        <v>1</v>
      </c>
      <c r="R228" s="2736">
        <f t="shared" si="51"/>
        <v>0</v>
      </c>
      <c r="S228" s="2867">
        <f t="shared" si="52"/>
        <v>0</v>
      </c>
    </row>
    <row r="229" spans="1:19">
      <c r="A229" s="2995"/>
      <c r="B229" s="3286"/>
      <c r="C229" s="2993">
        <f t="shared" si="43"/>
        <v>1</v>
      </c>
      <c r="D229" s="3288"/>
      <c r="E229" s="2993">
        <f t="shared" si="44"/>
        <v>1</v>
      </c>
      <c r="F229" s="3288"/>
      <c r="G229" s="2993">
        <f t="shared" si="45"/>
        <v>1</v>
      </c>
      <c r="H229" s="3288"/>
      <c r="I229" s="2993">
        <f t="shared" si="46"/>
        <v>1</v>
      </c>
      <c r="J229" s="3288"/>
      <c r="K229" s="2993">
        <f t="shared" si="47"/>
        <v>1</v>
      </c>
      <c r="L229" s="3288"/>
      <c r="M229" s="2993">
        <f t="shared" si="48"/>
        <v>1</v>
      </c>
      <c r="N229" s="3288"/>
      <c r="O229" s="2993">
        <f t="shared" si="49"/>
        <v>1</v>
      </c>
      <c r="P229" s="3288"/>
      <c r="Q229" s="2993">
        <f t="shared" si="50"/>
        <v>1</v>
      </c>
      <c r="R229" s="2736">
        <f t="shared" si="51"/>
        <v>0</v>
      </c>
      <c r="S229" s="2867">
        <f t="shared" si="52"/>
        <v>0</v>
      </c>
    </row>
    <row r="230" spans="1:19">
      <c r="A230" s="2995"/>
      <c r="B230" s="3286"/>
      <c r="C230" s="2993">
        <f t="shared" si="43"/>
        <v>1</v>
      </c>
      <c r="D230" s="3288"/>
      <c r="E230" s="2993">
        <f t="shared" si="44"/>
        <v>1</v>
      </c>
      <c r="F230" s="3288"/>
      <c r="G230" s="2993">
        <f t="shared" si="45"/>
        <v>1</v>
      </c>
      <c r="H230" s="3288"/>
      <c r="I230" s="2993">
        <f t="shared" si="46"/>
        <v>1</v>
      </c>
      <c r="J230" s="3288"/>
      <c r="K230" s="2993">
        <f t="shared" si="47"/>
        <v>1</v>
      </c>
      <c r="L230" s="3288"/>
      <c r="M230" s="2993">
        <f t="shared" si="48"/>
        <v>1</v>
      </c>
      <c r="N230" s="3288"/>
      <c r="O230" s="2993">
        <f t="shared" si="49"/>
        <v>1</v>
      </c>
      <c r="P230" s="3288"/>
      <c r="Q230" s="2993">
        <f t="shared" si="50"/>
        <v>1</v>
      </c>
      <c r="R230" s="2736">
        <f t="shared" si="51"/>
        <v>0</v>
      </c>
      <c r="S230" s="2867">
        <f t="shared" si="52"/>
        <v>0</v>
      </c>
    </row>
    <row r="231" spans="1:19">
      <c r="A231" s="2995"/>
      <c r="B231" s="3286"/>
      <c r="C231" s="2993">
        <f t="shared" si="43"/>
        <v>1</v>
      </c>
      <c r="D231" s="3288"/>
      <c r="E231" s="2993">
        <f t="shared" si="44"/>
        <v>1</v>
      </c>
      <c r="F231" s="3288"/>
      <c r="G231" s="2993">
        <f t="shared" si="45"/>
        <v>1</v>
      </c>
      <c r="H231" s="3288"/>
      <c r="I231" s="2993">
        <f t="shared" si="46"/>
        <v>1</v>
      </c>
      <c r="J231" s="3288"/>
      <c r="K231" s="2993">
        <f t="shared" si="47"/>
        <v>1</v>
      </c>
      <c r="L231" s="3288"/>
      <c r="M231" s="2993">
        <f t="shared" si="48"/>
        <v>1</v>
      </c>
      <c r="N231" s="3288"/>
      <c r="O231" s="2993">
        <f t="shared" si="49"/>
        <v>1</v>
      </c>
      <c r="P231" s="3288"/>
      <c r="Q231" s="2993">
        <f t="shared" si="50"/>
        <v>1</v>
      </c>
      <c r="R231" s="2736">
        <f t="shared" si="51"/>
        <v>0</v>
      </c>
      <c r="S231" s="2867">
        <f t="shared" si="52"/>
        <v>0</v>
      </c>
    </row>
    <row r="232" spans="1:19">
      <c r="A232" s="2995"/>
      <c r="B232" s="3286"/>
      <c r="C232" s="2993">
        <f t="shared" si="43"/>
        <v>1</v>
      </c>
      <c r="D232" s="3288"/>
      <c r="E232" s="2993">
        <f t="shared" si="44"/>
        <v>1</v>
      </c>
      <c r="F232" s="3288"/>
      <c r="G232" s="2993">
        <f t="shared" si="45"/>
        <v>1</v>
      </c>
      <c r="H232" s="3288"/>
      <c r="I232" s="2993">
        <f t="shared" si="46"/>
        <v>1</v>
      </c>
      <c r="J232" s="3288"/>
      <c r="K232" s="2993">
        <f t="shared" si="47"/>
        <v>1</v>
      </c>
      <c r="L232" s="3288"/>
      <c r="M232" s="2993">
        <f t="shared" si="48"/>
        <v>1</v>
      </c>
      <c r="N232" s="3288"/>
      <c r="O232" s="2993">
        <f t="shared" si="49"/>
        <v>1</v>
      </c>
      <c r="P232" s="3288"/>
      <c r="Q232" s="2993">
        <f t="shared" si="50"/>
        <v>1</v>
      </c>
      <c r="R232" s="2736">
        <f t="shared" si="51"/>
        <v>0</v>
      </c>
      <c r="S232" s="2867">
        <f t="shared" si="52"/>
        <v>0</v>
      </c>
    </row>
    <row r="233" spans="1:19">
      <c r="A233" s="2995"/>
      <c r="B233" s="3286"/>
      <c r="C233" s="2993">
        <f t="shared" si="43"/>
        <v>1</v>
      </c>
      <c r="D233" s="3288"/>
      <c r="E233" s="2993">
        <f t="shared" si="44"/>
        <v>1</v>
      </c>
      <c r="F233" s="3288"/>
      <c r="G233" s="2993">
        <f t="shared" si="45"/>
        <v>1</v>
      </c>
      <c r="H233" s="3288"/>
      <c r="I233" s="2993">
        <f t="shared" si="46"/>
        <v>1</v>
      </c>
      <c r="J233" s="3288"/>
      <c r="K233" s="2993">
        <f t="shared" si="47"/>
        <v>1</v>
      </c>
      <c r="L233" s="3288"/>
      <c r="M233" s="2993">
        <f t="shared" si="48"/>
        <v>1</v>
      </c>
      <c r="N233" s="3288"/>
      <c r="O233" s="2993">
        <f t="shared" si="49"/>
        <v>1</v>
      </c>
      <c r="P233" s="3288"/>
      <c r="Q233" s="2993">
        <f t="shared" si="50"/>
        <v>1</v>
      </c>
      <c r="R233" s="2736">
        <f t="shared" si="51"/>
        <v>0</v>
      </c>
      <c r="S233" s="2867">
        <f t="shared" si="52"/>
        <v>0</v>
      </c>
    </row>
    <row r="234" spans="1:19">
      <c r="A234" s="2995"/>
      <c r="B234" s="3286"/>
      <c r="C234" s="2993">
        <f t="shared" si="43"/>
        <v>1</v>
      </c>
      <c r="D234" s="3288"/>
      <c r="E234" s="2993">
        <f t="shared" si="44"/>
        <v>1</v>
      </c>
      <c r="F234" s="3288"/>
      <c r="G234" s="2993">
        <f t="shared" si="45"/>
        <v>1</v>
      </c>
      <c r="H234" s="3288"/>
      <c r="I234" s="2993">
        <f t="shared" si="46"/>
        <v>1</v>
      </c>
      <c r="J234" s="3288"/>
      <c r="K234" s="2993">
        <f t="shared" si="47"/>
        <v>1</v>
      </c>
      <c r="L234" s="3288"/>
      <c r="M234" s="2993">
        <f t="shared" si="48"/>
        <v>1</v>
      </c>
      <c r="N234" s="3288"/>
      <c r="O234" s="2993">
        <f t="shared" si="49"/>
        <v>1</v>
      </c>
      <c r="P234" s="3288"/>
      <c r="Q234" s="2993">
        <f t="shared" si="50"/>
        <v>1</v>
      </c>
      <c r="R234" s="2736">
        <f t="shared" si="51"/>
        <v>0</v>
      </c>
      <c r="S234" s="2867">
        <f t="shared" si="52"/>
        <v>0</v>
      </c>
    </row>
    <row r="235" spans="1:19">
      <c r="A235" s="2995"/>
      <c r="B235" s="3286"/>
      <c r="C235" s="2993">
        <f t="shared" si="43"/>
        <v>1</v>
      </c>
      <c r="D235" s="3288"/>
      <c r="E235" s="2993">
        <f t="shared" si="44"/>
        <v>1</v>
      </c>
      <c r="F235" s="3288"/>
      <c r="G235" s="2993">
        <f t="shared" si="45"/>
        <v>1</v>
      </c>
      <c r="H235" s="3288"/>
      <c r="I235" s="2993">
        <f t="shared" si="46"/>
        <v>1</v>
      </c>
      <c r="J235" s="3288"/>
      <c r="K235" s="2993">
        <f t="shared" si="47"/>
        <v>1</v>
      </c>
      <c r="L235" s="3288"/>
      <c r="M235" s="2993">
        <f t="shared" si="48"/>
        <v>1</v>
      </c>
      <c r="N235" s="3288"/>
      <c r="O235" s="2993">
        <f t="shared" si="49"/>
        <v>1</v>
      </c>
      <c r="P235" s="3288"/>
      <c r="Q235" s="2993">
        <f t="shared" si="50"/>
        <v>1</v>
      </c>
      <c r="R235" s="2736">
        <f t="shared" si="51"/>
        <v>0</v>
      </c>
      <c r="S235" s="2867">
        <f t="shared" si="52"/>
        <v>0</v>
      </c>
    </row>
    <row r="236" spans="1:19">
      <c r="A236" s="2995"/>
      <c r="B236" s="3286"/>
      <c r="C236" s="2993">
        <f t="shared" si="43"/>
        <v>1</v>
      </c>
      <c r="D236" s="3288"/>
      <c r="E236" s="2993">
        <f t="shared" si="44"/>
        <v>1</v>
      </c>
      <c r="F236" s="3288"/>
      <c r="G236" s="2993">
        <f t="shared" si="45"/>
        <v>1</v>
      </c>
      <c r="H236" s="3288"/>
      <c r="I236" s="2993">
        <f t="shared" si="46"/>
        <v>1</v>
      </c>
      <c r="J236" s="3288"/>
      <c r="K236" s="2993">
        <f t="shared" si="47"/>
        <v>1</v>
      </c>
      <c r="L236" s="3288"/>
      <c r="M236" s="2993">
        <f t="shared" si="48"/>
        <v>1</v>
      </c>
      <c r="N236" s="3288"/>
      <c r="O236" s="2993">
        <f t="shared" si="49"/>
        <v>1</v>
      </c>
      <c r="P236" s="3288"/>
      <c r="Q236" s="2993">
        <f t="shared" si="50"/>
        <v>1</v>
      </c>
      <c r="R236" s="2736">
        <f t="shared" si="51"/>
        <v>0</v>
      </c>
      <c r="S236" s="2867">
        <f t="shared" si="52"/>
        <v>0</v>
      </c>
    </row>
    <row r="237" spans="1:19">
      <c r="A237" s="2995"/>
      <c r="B237" s="3286"/>
      <c r="C237" s="2993">
        <f t="shared" si="43"/>
        <v>1</v>
      </c>
      <c r="D237" s="3288"/>
      <c r="E237" s="2993">
        <f t="shared" si="44"/>
        <v>1</v>
      </c>
      <c r="F237" s="3288"/>
      <c r="G237" s="2993">
        <f t="shared" si="45"/>
        <v>1</v>
      </c>
      <c r="H237" s="3288"/>
      <c r="I237" s="2993">
        <f t="shared" si="46"/>
        <v>1</v>
      </c>
      <c r="J237" s="3288"/>
      <c r="K237" s="2993">
        <f t="shared" si="47"/>
        <v>1</v>
      </c>
      <c r="L237" s="3288"/>
      <c r="M237" s="2993">
        <f t="shared" si="48"/>
        <v>1</v>
      </c>
      <c r="N237" s="3288"/>
      <c r="O237" s="2993">
        <f t="shared" si="49"/>
        <v>1</v>
      </c>
      <c r="P237" s="3288"/>
      <c r="Q237" s="2993">
        <f t="shared" si="50"/>
        <v>1</v>
      </c>
      <c r="R237" s="2736">
        <f t="shared" si="51"/>
        <v>0</v>
      </c>
      <c r="S237" s="2867">
        <f t="shared" si="52"/>
        <v>0</v>
      </c>
    </row>
    <row r="238" spans="1:19">
      <c r="A238" s="2995"/>
      <c r="B238" s="3286"/>
      <c r="C238" s="2993">
        <f t="shared" si="43"/>
        <v>1</v>
      </c>
      <c r="D238" s="3288"/>
      <c r="E238" s="2993">
        <f t="shared" si="44"/>
        <v>1</v>
      </c>
      <c r="F238" s="3288"/>
      <c r="G238" s="2993">
        <f t="shared" si="45"/>
        <v>1</v>
      </c>
      <c r="H238" s="3288"/>
      <c r="I238" s="2993">
        <f t="shared" si="46"/>
        <v>1</v>
      </c>
      <c r="J238" s="3288"/>
      <c r="K238" s="2993">
        <f t="shared" si="47"/>
        <v>1</v>
      </c>
      <c r="L238" s="3288"/>
      <c r="M238" s="2993">
        <f t="shared" si="48"/>
        <v>1</v>
      </c>
      <c r="N238" s="3288"/>
      <c r="O238" s="2993">
        <f t="shared" si="49"/>
        <v>1</v>
      </c>
      <c r="P238" s="3288"/>
      <c r="Q238" s="2993">
        <f t="shared" si="50"/>
        <v>1</v>
      </c>
      <c r="R238" s="2736">
        <f t="shared" si="51"/>
        <v>0</v>
      </c>
      <c r="S238" s="2867">
        <f t="shared" si="52"/>
        <v>0</v>
      </c>
    </row>
    <row r="239" spans="1:19">
      <c r="A239" s="2995"/>
      <c r="B239" s="3286"/>
      <c r="C239" s="2993">
        <f t="shared" si="43"/>
        <v>1</v>
      </c>
      <c r="D239" s="3288"/>
      <c r="E239" s="2993">
        <f t="shared" si="44"/>
        <v>1</v>
      </c>
      <c r="F239" s="3288"/>
      <c r="G239" s="2993">
        <f t="shared" si="45"/>
        <v>1</v>
      </c>
      <c r="H239" s="3288"/>
      <c r="I239" s="2993">
        <f t="shared" si="46"/>
        <v>1</v>
      </c>
      <c r="J239" s="3288"/>
      <c r="K239" s="2993">
        <f t="shared" si="47"/>
        <v>1</v>
      </c>
      <c r="L239" s="3288"/>
      <c r="M239" s="2993">
        <f t="shared" si="48"/>
        <v>1</v>
      </c>
      <c r="N239" s="3288"/>
      <c r="O239" s="2993">
        <f t="shared" si="49"/>
        <v>1</v>
      </c>
      <c r="P239" s="3288"/>
      <c r="Q239" s="2993">
        <f t="shared" si="50"/>
        <v>1</v>
      </c>
      <c r="R239" s="2736">
        <f t="shared" si="51"/>
        <v>0</v>
      </c>
      <c r="S239" s="2867">
        <f t="shared" si="52"/>
        <v>0</v>
      </c>
    </row>
    <row r="240" spans="1:19">
      <c r="A240" s="2995"/>
      <c r="B240" s="3286"/>
      <c r="C240" s="2993">
        <f t="shared" si="43"/>
        <v>1</v>
      </c>
      <c r="D240" s="3288"/>
      <c r="E240" s="2993">
        <f t="shared" si="44"/>
        <v>1</v>
      </c>
      <c r="F240" s="3288"/>
      <c r="G240" s="2993">
        <f t="shared" si="45"/>
        <v>1</v>
      </c>
      <c r="H240" s="3288"/>
      <c r="I240" s="2993">
        <f t="shared" si="46"/>
        <v>1</v>
      </c>
      <c r="J240" s="3288"/>
      <c r="K240" s="2993">
        <f t="shared" si="47"/>
        <v>1</v>
      </c>
      <c r="L240" s="3288"/>
      <c r="M240" s="2993">
        <f t="shared" si="48"/>
        <v>1</v>
      </c>
      <c r="N240" s="3288"/>
      <c r="O240" s="2993">
        <f t="shared" si="49"/>
        <v>1</v>
      </c>
      <c r="P240" s="3288"/>
      <c r="Q240" s="2993">
        <f t="shared" si="50"/>
        <v>1</v>
      </c>
      <c r="R240" s="2736">
        <f t="shared" si="51"/>
        <v>0</v>
      </c>
      <c r="S240" s="2867">
        <f t="shared" si="52"/>
        <v>0</v>
      </c>
    </row>
    <row r="241" spans="1:19">
      <c r="A241" s="2995"/>
      <c r="B241" s="3286"/>
      <c r="C241" s="2993">
        <f t="shared" si="43"/>
        <v>1</v>
      </c>
      <c r="D241" s="3288"/>
      <c r="E241" s="2993">
        <f t="shared" si="44"/>
        <v>1</v>
      </c>
      <c r="F241" s="3288"/>
      <c r="G241" s="2993">
        <f t="shared" si="45"/>
        <v>1</v>
      </c>
      <c r="H241" s="3288"/>
      <c r="I241" s="2993">
        <f t="shared" si="46"/>
        <v>1</v>
      </c>
      <c r="J241" s="3288"/>
      <c r="K241" s="2993">
        <f t="shared" si="47"/>
        <v>1</v>
      </c>
      <c r="L241" s="3288"/>
      <c r="M241" s="2993">
        <f t="shared" si="48"/>
        <v>1</v>
      </c>
      <c r="N241" s="3288"/>
      <c r="O241" s="2993">
        <f t="shared" si="49"/>
        <v>1</v>
      </c>
      <c r="P241" s="3288"/>
      <c r="Q241" s="2993">
        <f t="shared" si="50"/>
        <v>1</v>
      </c>
      <c r="R241" s="2736">
        <f t="shared" si="51"/>
        <v>0</v>
      </c>
      <c r="S241" s="2867">
        <f t="shared" si="52"/>
        <v>0</v>
      </c>
    </row>
    <row r="242" spans="1:19">
      <c r="A242" s="2995"/>
      <c r="B242" s="3286"/>
      <c r="C242" s="2993">
        <f t="shared" si="43"/>
        <v>1</v>
      </c>
      <c r="D242" s="3288"/>
      <c r="E242" s="2993">
        <f t="shared" si="44"/>
        <v>1</v>
      </c>
      <c r="F242" s="3288"/>
      <c r="G242" s="2993">
        <f t="shared" si="45"/>
        <v>1</v>
      </c>
      <c r="H242" s="3288"/>
      <c r="I242" s="2993">
        <f t="shared" si="46"/>
        <v>1</v>
      </c>
      <c r="J242" s="3288"/>
      <c r="K242" s="2993">
        <f t="shared" si="47"/>
        <v>1</v>
      </c>
      <c r="L242" s="3288"/>
      <c r="M242" s="2993">
        <f t="shared" si="48"/>
        <v>1</v>
      </c>
      <c r="N242" s="3288"/>
      <c r="O242" s="2993">
        <f t="shared" si="49"/>
        <v>1</v>
      </c>
      <c r="P242" s="3288"/>
      <c r="Q242" s="2993">
        <f t="shared" si="50"/>
        <v>1</v>
      </c>
      <c r="R242" s="2736">
        <f t="shared" si="51"/>
        <v>0</v>
      </c>
      <c r="S242" s="2867">
        <f t="shared" si="52"/>
        <v>0</v>
      </c>
    </row>
    <row r="243" spans="1:19">
      <c r="A243" s="2995"/>
      <c r="B243" s="3286"/>
      <c r="C243" s="2993">
        <f t="shared" si="43"/>
        <v>1</v>
      </c>
      <c r="D243" s="3288"/>
      <c r="E243" s="2993">
        <f t="shared" si="44"/>
        <v>1</v>
      </c>
      <c r="F243" s="3288"/>
      <c r="G243" s="2993">
        <f t="shared" si="45"/>
        <v>1</v>
      </c>
      <c r="H243" s="3288"/>
      <c r="I243" s="2993">
        <f t="shared" si="46"/>
        <v>1</v>
      </c>
      <c r="J243" s="3288"/>
      <c r="K243" s="2993">
        <f t="shared" si="47"/>
        <v>1</v>
      </c>
      <c r="L243" s="3288"/>
      <c r="M243" s="2993">
        <f t="shared" si="48"/>
        <v>1</v>
      </c>
      <c r="N243" s="3288"/>
      <c r="O243" s="2993">
        <f t="shared" si="49"/>
        <v>1</v>
      </c>
      <c r="P243" s="3288"/>
      <c r="Q243" s="2993">
        <f t="shared" si="50"/>
        <v>1</v>
      </c>
      <c r="R243" s="2736">
        <f t="shared" si="51"/>
        <v>0</v>
      </c>
      <c r="S243" s="2867">
        <f t="shared" si="52"/>
        <v>0</v>
      </c>
    </row>
    <row r="244" spans="1:19">
      <c r="A244" s="2995"/>
      <c r="B244" s="3286"/>
      <c r="C244" s="2993">
        <f t="shared" si="43"/>
        <v>1</v>
      </c>
      <c r="D244" s="3288"/>
      <c r="E244" s="2993">
        <f t="shared" si="44"/>
        <v>1</v>
      </c>
      <c r="F244" s="3288"/>
      <c r="G244" s="2993">
        <f t="shared" si="45"/>
        <v>1</v>
      </c>
      <c r="H244" s="3288"/>
      <c r="I244" s="2993">
        <f t="shared" si="46"/>
        <v>1</v>
      </c>
      <c r="J244" s="3288"/>
      <c r="K244" s="2993">
        <f t="shared" si="47"/>
        <v>1</v>
      </c>
      <c r="L244" s="3288"/>
      <c r="M244" s="2993">
        <f t="shared" si="48"/>
        <v>1</v>
      </c>
      <c r="N244" s="3288"/>
      <c r="O244" s="2993">
        <f t="shared" si="49"/>
        <v>1</v>
      </c>
      <c r="P244" s="3288"/>
      <c r="Q244" s="2993">
        <f t="shared" si="50"/>
        <v>1</v>
      </c>
      <c r="R244" s="2736">
        <f t="shared" si="51"/>
        <v>0</v>
      </c>
      <c r="S244" s="2867">
        <f t="shared" si="52"/>
        <v>0</v>
      </c>
    </row>
    <row r="245" spans="1:19">
      <c r="A245" s="2995"/>
      <c r="B245" s="3286"/>
      <c r="C245" s="2993">
        <f t="shared" si="43"/>
        <v>1</v>
      </c>
      <c r="D245" s="3288"/>
      <c r="E245" s="2993">
        <f t="shared" si="44"/>
        <v>1</v>
      </c>
      <c r="F245" s="3288"/>
      <c r="G245" s="2993">
        <f t="shared" si="45"/>
        <v>1</v>
      </c>
      <c r="H245" s="3288"/>
      <c r="I245" s="2993">
        <f t="shared" si="46"/>
        <v>1</v>
      </c>
      <c r="J245" s="3288"/>
      <c r="K245" s="2993">
        <f t="shared" si="47"/>
        <v>1</v>
      </c>
      <c r="L245" s="3288"/>
      <c r="M245" s="2993">
        <f t="shared" si="48"/>
        <v>1</v>
      </c>
      <c r="N245" s="3288"/>
      <c r="O245" s="2993">
        <f t="shared" si="49"/>
        <v>1</v>
      </c>
      <c r="P245" s="3288"/>
      <c r="Q245" s="2993">
        <f t="shared" si="50"/>
        <v>1</v>
      </c>
      <c r="R245" s="2736">
        <f t="shared" si="51"/>
        <v>0</v>
      </c>
      <c r="S245" s="2867">
        <f t="shared" si="52"/>
        <v>0</v>
      </c>
    </row>
    <row r="246" spans="1:19">
      <c r="A246" s="2995"/>
      <c r="B246" s="3286"/>
      <c r="C246" s="2993">
        <f t="shared" si="43"/>
        <v>1</v>
      </c>
      <c r="D246" s="3288"/>
      <c r="E246" s="2993">
        <f t="shared" si="44"/>
        <v>1</v>
      </c>
      <c r="F246" s="3288"/>
      <c r="G246" s="2993">
        <f t="shared" si="45"/>
        <v>1</v>
      </c>
      <c r="H246" s="3288"/>
      <c r="I246" s="2993">
        <f t="shared" si="46"/>
        <v>1</v>
      </c>
      <c r="J246" s="3288"/>
      <c r="K246" s="2993">
        <f t="shared" si="47"/>
        <v>1</v>
      </c>
      <c r="L246" s="3288"/>
      <c r="M246" s="2993">
        <f t="shared" si="48"/>
        <v>1</v>
      </c>
      <c r="N246" s="3288"/>
      <c r="O246" s="2993">
        <f t="shared" si="49"/>
        <v>1</v>
      </c>
      <c r="P246" s="3288"/>
      <c r="Q246" s="2993">
        <f t="shared" si="50"/>
        <v>1</v>
      </c>
      <c r="R246" s="2736">
        <f t="shared" si="51"/>
        <v>0</v>
      </c>
      <c r="S246" s="2867">
        <f t="shared" si="52"/>
        <v>0</v>
      </c>
    </row>
    <row r="247" spans="1:19">
      <c r="A247" s="2995"/>
      <c r="B247" s="3286"/>
      <c r="C247" s="2993">
        <f t="shared" si="43"/>
        <v>1</v>
      </c>
      <c r="D247" s="3288"/>
      <c r="E247" s="2993">
        <f t="shared" si="44"/>
        <v>1</v>
      </c>
      <c r="F247" s="3288"/>
      <c r="G247" s="2993">
        <f t="shared" si="45"/>
        <v>1</v>
      </c>
      <c r="H247" s="3288"/>
      <c r="I247" s="2993">
        <f t="shared" si="46"/>
        <v>1</v>
      </c>
      <c r="J247" s="3288"/>
      <c r="K247" s="2993">
        <f t="shared" si="47"/>
        <v>1</v>
      </c>
      <c r="L247" s="3288"/>
      <c r="M247" s="2993">
        <f t="shared" si="48"/>
        <v>1</v>
      </c>
      <c r="N247" s="3288"/>
      <c r="O247" s="2993">
        <f t="shared" si="49"/>
        <v>1</v>
      </c>
      <c r="P247" s="3288"/>
      <c r="Q247" s="2993">
        <f t="shared" si="50"/>
        <v>1</v>
      </c>
      <c r="R247" s="2736">
        <f t="shared" si="51"/>
        <v>0</v>
      </c>
      <c r="S247" s="2867">
        <f t="shared" si="52"/>
        <v>0</v>
      </c>
    </row>
    <row r="248" spans="1:19">
      <c r="A248" s="2995"/>
      <c r="B248" s="3286"/>
      <c r="C248" s="2993">
        <f t="shared" si="43"/>
        <v>1</v>
      </c>
      <c r="D248" s="3288"/>
      <c r="E248" s="2993">
        <f t="shared" si="44"/>
        <v>1</v>
      </c>
      <c r="F248" s="3288"/>
      <c r="G248" s="2993">
        <f t="shared" si="45"/>
        <v>1</v>
      </c>
      <c r="H248" s="3288"/>
      <c r="I248" s="2993">
        <f t="shared" si="46"/>
        <v>1</v>
      </c>
      <c r="J248" s="3288"/>
      <c r="K248" s="2993">
        <f t="shared" si="47"/>
        <v>1</v>
      </c>
      <c r="L248" s="3288"/>
      <c r="M248" s="2993">
        <f t="shared" si="48"/>
        <v>1</v>
      </c>
      <c r="N248" s="3288"/>
      <c r="O248" s="2993">
        <f t="shared" si="49"/>
        <v>1</v>
      </c>
      <c r="P248" s="3288"/>
      <c r="Q248" s="2993">
        <f t="shared" si="50"/>
        <v>1</v>
      </c>
      <c r="R248" s="2736">
        <f t="shared" si="51"/>
        <v>0</v>
      </c>
      <c r="S248" s="2867">
        <f t="shared" si="52"/>
        <v>0</v>
      </c>
    </row>
    <row r="249" spans="1:19">
      <c r="A249" s="2995"/>
      <c r="B249" s="3286"/>
      <c r="C249" s="2993">
        <f t="shared" si="43"/>
        <v>1</v>
      </c>
      <c r="D249" s="3288"/>
      <c r="E249" s="2993">
        <f t="shared" si="44"/>
        <v>1</v>
      </c>
      <c r="F249" s="3288"/>
      <c r="G249" s="2993">
        <f t="shared" si="45"/>
        <v>1</v>
      </c>
      <c r="H249" s="3288"/>
      <c r="I249" s="2993">
        <f t="shared" si="46"/>
        <v>1</v>
      </c>
      <c r="J249" s="3288"/>
      <c r="K249" s="2993">
        <f t="shared" si="47"/>
        <v>1</v>
      </c>
      <c r="L249" s="3288"/>
      <c r="M249" s="2993">
        <f t="shared" si="48"/>
        <v>1</v>
      </c>
      <c r="N249" s="3288"/>
      <c r="O249" s="2993">
        <f t="shared" si="49"/>
        <v>1</v>
      </c>
      <c r="P249" s="3288"/>
      <c r="Q249" s="2993">
        <f t="shared" si="50"/>
        <v>1</v>
      </c>
      <c r="R249" s="2736">
        <f t="shared" si="51"/>
        <v>0</v>
      </c>
      <c r="S249" s="2867">
        <f t="shared" si="52"/>
        <v>0</v>
      </c>
    </row>
    <row r="250" spans="1:19">
      <c r="A250" s="2995"/>
      <c r="B250" s="3286"/>
      <c r="C250" s="2993">
        <f t="shared" si="43"/>
        <v>1</v>
      </c>
      <c r="D250" s="3288"/>
      <c r="E250" s="2993">
        <f t="shared" si="44"/>
        <v>1</v>
      </c>
      <c r="F250" s="3288"/>
      <c r="G250" s="2993">
        <f t="shared" si="45"/>
        <v>1</v>
      </c>
      <c r="H250" s="3288"/>
      <c r="I250" s="2993">
        <f t="shared" si="46"/>
        <v>1</v>
      </c>
      <c r="J250" s="3288"/>
      <c r="K250" s="2993">
        <f t="shared" si="47"/>
        <v>1</v>
      </c>
      <c r="L250" s="3288"/>
      <c r="M250" s="2993">
        <f t="shared" si="48"/>
        <v>1</v>
      </c>
      <c r="N250" s="3288"/>
      <c r="O250" s="2993">
        <f t="shared" si="49"/>
        <v>1</v>
      </c>
      <c r="P250" s="3288"/>
      <c r="Q250" s="2993">
        <f t="shared" si="50"/>
        <v>1</v>
      </c>
      <c r="R250" s="2736">
        <f t="shared" si="51"/>
        <v>0</v>
      </c>
      <c r="S250" s="2867">
        <f t="shared" si="52"/>
        <v>0</v>
      </c>
    </row>
    <row r="251" spans="1:19">
      <c r="A251" s="2995"/>
      <c r="B251" s="3286"/>
      <c r="C251" s="2993">
        <f t="shared" si="43"/>
        <v>1</v>
      </c>
      <c r="D251" s="3288"/>
      <c r="E251" s="2993">
        <f t="shared" si="44"/>
        <v>1</v>
      </c>
      <c r="F251" s="3288"/>
      <c r="G251" s="2993">
        <f t="shared" si="45"/>
        <v>1</v>
      </c>
      <c r="H251" s="3288"/>
      <c r="I251" s="2993">
        <f t="shared" si="46"/>
        <v>1</v>
      </c>
      <c r="J251" s="3288"/>
      <c r="K251" s="2993">
        <f t="shared" si="47"/>
        <v>1</v>
      </c>
      <c r="L251" s="3288"/>
      <c r="M251" s="2993">
        <f t="shared" si="48"/>
        <v>1</v>
      </c>
      <c r="N251" s="3288"/>
      <c r="O251" s="2993">
        <f t="shared" si="49"/>
        <v>1</v>
      </c>
      <c r="P251" s="3288"/>
      <c r="Q251" s="2993">
        <f t="shared" si="50"/>
        <v>1</v>
      </c>
      <c r="R251" s="2736">
        <f t="shared" si="51"/>
        <v>0</v>
      </c>
      <c r="S251" s="2867">
        <f t="shared" si="52"/>
        <v>0</v>
      </c>
    </row>
    <row r="252" spans="1:19">
      <c r="A252" s="2995"/>
      <c r="B252" s="3286"/>
      <c r="C252" s="2993">
        <f t="shared" si="43"/>
        <v>1</v>
      </c>
      <c r="D252" s="3288"/>
      <c r="E252" s="2993">
        <f t="shared" si="44"/>
        <v>1</v>
      </c>
      <c r="F252" s="3288"/>
      <c r="G252" s="2993">
        <f t="shared" si="45"/>
        <v>1</v>
      </c>
      <c r="H252" s="3288"/>
      <c r="I252" s="2993">
        <f t="shared" si="46"/>
        <v>1</v>
      </c>
      <c r="J252" s="3288"/>
      <c r="K252" s="2993">
        <f t="shared" si="47"/>
        <v>1</v>
      </c>
      <c r="L252" s="3288"/>
      <c r="M252" s="2993">
        <f t="shared" si="48"/>
        <v>1</v>
      </c>
      <c r="N252" s="3288"/>
      <c r="O252" s="2993">
        <f t="shared" si="49"/>
        <v>1</v>
      </c>
      <c r="P252" s="3288"/>
      <c r="Q252" s="2993">
        <f t="shared" si="50"/>
        <v>1</v>
      </c>
      <c r="R252" s="2736">
        <f t="shared" si="51"/>
        <v>0</v>
      </c>
      <c r="S252" s="2867">
        <f t="shared" si="52"/>
        <v>0</v>
      </c>
    </row>
    <row r="253" spans="1:19">
      <c r="A253" s="2995"/>
      <c r="B253" s="3286"/>
      <c r="C253" s="2993">
        <f t="shared" si="43"/>
        <v>1</v>
      </c>
      <c r="D253" s="3288"/>
      <c r="E253" s="2993">
        <f t="shared" si="44"/>
        <v>1</v>
      </c>
      <c r="F253" s="3288"/>
      <c r="G253" s="2993">
        <f t="shared" si="45"/>
        <v>1</v>
      </c>
      <c r="H253" s="3288"/>
      <c r="I253" s="2993">
        <f t="shared" si="46"/>
        <v>1</v>
      </c>
      <c r="J253" s="3288"/>
      <c r="K253" s="2993">
        <f t="shared" si="47"/>
        <v>1</v>
      </c>
      <c r="L253" s="3288"/>
      <c r="M253" s="2993">
        <f t="shared" si="48"/>
        <v>1</v>
      </c>
      <c r="N253" s="3288"/>
      <c r="O253" s="2993">
        <f t="shared" si="49"/>
        <v>1</v>
      </c>
      <c r="P253" s="3288"/>
      <c r="Q253" s="2993">
        <f t="shared" si="50"/>
        <v>1</v>
      </c>
      <c r="R253" s="2736">
        <f t="shared" si="51"/>
        <v>0</v>
      </c>
      <c r="S253" s="2867">
        <f t="shared" si="52"/>
        <v>0</v>
      </c>
    </row>
    <row r="254" spans="1:19">
      <c r="A254" s="2995"/>
      <c r="B254" s="3286"/>
      <c r="C254" s="2993">
        <f t="shared" si="43"/>
        <v>1</v>
      </c>
      <c r="D254" s="3288"/>
      <c r="E254" s="2993">
        <f t="shared" si="44"/>
        <v>1</v>
      </c>
      <c r="F254" s="3288"/>
      <c r="G254" s="2993">
        <f t="shared" si="45"/>
        <v>1</v>
      </c>
      <c r="H254" s="3288"/>
      <c r="I254" s="2993">
        <f t="shared" si="46"/>
        <v>1</v>
      </c>
      <c r="J254" s="3288"/>
      <c r="K254" s="2993">
        <f t="shared" si="47"/>
        <v>1</v>
      </c>
      <c r="L254" s="3288"/>
      <c r="M254" s="2993">
        <f t="shared" si="48"/>
        <v>1</v>
      </c>
      <c r="N254" s="3288"/>
      <c r="O254" s="2993">
        <f t="shared" si="49"/>
        <v>1</v>
      </c>
      <c r="P254" s="3288"/>
      <c r="Q254" s="2993">
        <f t="shared" si="50"/>
        <v>1</v>
      </c>
      <c r="R254" s="2736">
        <f t="shared" si="51"/>
        <v>0</v>
      </c>
      <c r="S254" s="2867">
        <f t="shared" si="52"/>
        <v>0</v>
      </c>
    </row>
    <row r="255" spans="1:19">
      <c r="A255" s="2995"/>
      <c r="B255" s="3286"/>
      <c r="C255" s="2993">
        <f t="shared" si="43"/>
        <v>1</v>
      </c>
      <c r="D255" s="3288"/>
      <c r="E255" s="2993">
        <f t="shared" si="44"/>
        <v>1</v>
      </c>
      <c r="F255" s="3288"/>
      <c r="G255" s="2993">
        <f t="shared" si="45"/>
        <v>1</v>
      </c>
      <c r="H255" s="3288"/>
      <c r="I255" s="2993">
        <f t="shared" si="46"/>
        <v>1</v>
      </c>
      <c r="J255" s="3288"/>
      <c r="K255" s="2993">
        <f t="shared" si="47"/>
        <v>1</v>
      </c>
      <c r="L255" s="3288"/>
      <c r="M255" s="2993">
        <f t="shared" si="48"/>
        <v>1</v>
      </c>
      <c r="N255" s="3288"/>
      <c r="O255" s="2993">
        <f t="shared" si="49"/>
        <v>1</v>
      </c>
      <c r="P255" s="3288"/>
      <c r="Q255" s="2993">
        <f t="shared" si="50"/>
        <v>1</v>
      </c>
      <c r="R255" s="2736">
        <f t="shared" si="51"/>
        <v>0</v>
      </c>
      <c r="S255" s="2867">
        <f t="shared" si="52"/>
        <v>0</v>
      </c>
    </row>
    <row r="256" spans="1:19">
      <c r="A256" s="2995"/>
      <c r="B256" s="3286"/>
      <c r="C256" s="2993">
        <f t="shared" si="43"/>
        <v>1</v>
      </c>
      <c r="D256" s="3288"/>
      <c r="E256" s="2993">
        <f t="shared" si="44"/>
        <v>1</v>
      </c>
      <c r="F256" s="3288"/>
      <c r="G256" s="2993">
        <f t="shared" si="45"/>
        <v>1</v>
      </c>
      <c r="H256" s="3288"/>
      <c r="I256" s="2993">
        <f t="shared" si="46"/>
        <v>1</v>
      </c>
      <c r="J256" s="3288"/>
      <c r="K256" s="2993">
        <f t="shared" si="47"/>
        <v>1</v>
      </c>
      <c r="L256" s="3288"/>
      <c r="M256" s="2993">
        <f t="shared" si="48"/>
        <v>1</v>
      </c>
      <c r="N256" s="3288"/>
      <c r="O256" s="2993">
        <f t="shared" si="49"/>
        <v>1</v>
      </c>
      <c r="P256" s="3288"/>
      <c r="Q256" s="2993">
        <f t="shared" si="50"/>
        <v>1</v>
      </c>
      <c r="R256" s="2736">
        <f t="shared" si="51"/>
        <v>0</v>
      </c>
      <c r="S256" s="2867">
        <f t="shared" si="52"/>
        <v>0</v>
      </c>
    </row>
    <row r="257" spans="1:19">
      <c r="A257" s="2995"/>
      <c r="B257" s="3286"/>
      <c r="C257" s="2993">
        <f t="shared" si="43"/>
        <v>1</v>
      </c>
      <c r="D257" s="3288"/>
      <c r="E257" s="2993">
        <f t="shared" si="44"/>
        <v>1</v>
      </c>
      <c r="F257" s="3288"/>
      <c r="G257" s="2993">
        <f t="shared" si="45"/>
        <v>1</v>
      </c>
      <c r="H257" s="3288"/>
      <c r="I257" s="2993">
        <f t="shared" si="46"/>
        <v>1</v>
      </c>
      <c r="J257" s="3288"/>
      <c r="K257" s="2993">
        <f t="shared" si="47"/>
        <v>1</v>
      </c>
      <c r="L257" s="3288"/>
      <c r="M257" s="2993">
        <f t="shared" si="48"/>
        <v>1</v>
      </c>
      <c r="N257" s="3288"/>
      <c r="O257" s="2993">
        <f t="shared" si="49"/>
        <v>1</v>
      </c>
      <c r="P257" s="3288"/>
      <c r="Q257" s="2993">
        <f t="shared" si="50"/>
        <v>1</v>
      </c>
      <c r="R257" s="2736">
        <f t="shared" si="51"/>
        <v>0</v>
      </c>
      <c r="S257" s="2867">
        <f t="shared" si="52"/>
        <v>0</v>
      </c>
    </row>
    <row r="258" spans="1:19">
      <c r="A258" s="2995"/>
      <c r="B258" s="3286"/>
      <c r="C258" s="2993">
        <f t="shared" si="43"/>
        <v>1</v>
      </c>
      <c r="D258" s="3288"/>
      <c r="E258" s="2993">
        <f t="shared" si="44"/>
        <v>1</v>
      </c>
      <c r="F258" s="3288"/>
      <c r="G258" s="2993">
        <f t="shared" si="45"/>
        <v>1</v>
      </c>
      <c r="H258" s="3288"/>
      <c r="I258" s="2993">
        <f t="shared" si="46"/>
        <v>1</v>
      </c>
      <c r="J258" s="3288"/>
      <c r="K258" s="2993">
        <f t="shared" si="47"/>
        <v>1</v>
      </c>
      <c r="L258" s="3288"/>
      <c r="M258" s="2993">
        <f t="shared" si="48"/>
        <v>1</v>
      </c>
      <c r="N258" s="3288"/>
      <c r="O258" s="2993">
        <f t="shared" si="49"/>
        <v>1</v>
      </c>
      <c r="P258" s="3288"/>
      <c r="Q258" s="2993">
        <f t="shared" si="50"/>
        <v>1</v>
      </c>
      <c r="R258" s="2736">
        <f t="shared" si="51"/>
        <v>0</v>
      </c>
      <c r="S258" s="2867">
        <f t="shared" si="52"/>
        <v>0</v>
      </c>
    </row>
    <row r="259" spans="1:19">
      <c r="A259" s="2995"/>
      <c r="B259" s="3286"/>
      <c r="C259" s="2993">
        <f t="shared" si="43"/>
        <v>1</v>
      </c>
      <c r="D259" s="3288"/>
      <c r="E259" s="2993">
        <f t="shared" si="44"/>
        <v>1</v>
      </c>
      <c r="F259" s="3288"/>
      <c r="G259" s="2993">
        <f t="shared" si="45"/>
        <v>1</v>
      </c>
      <c r="H259" s="3288"/>
      <c r="I259" s="2993">
        <f t="shared" si="46"/>
        <v>1</v>
      </c>
      <c r="J259" s="3288"/>
      <c r="K259" s="2993">
        <f t="shared" si="47"/>
        <v>1</v>
      </c>
      <c r="L259" s="3288"/>
      <c r="M259" s="2993">
        <f t="shared" si="48"/>
        <v>1</v>
      </c>
      <c r="N259" s="3288"/>
      <c r="O259" s="2993">
        <f t="shared" si="49"/>
        <v>1</v>
      </c>
      <c r="P259" s="3288"/>
      <c r="Q259" s="2993">
        <f t="shared" si="50"/>
        <v>1</v>
      </c>
      <c r="R259" s="2736">
        <f t="shared" si="51"/>
        <v>0</v>
      </c>
      <c r="S259" s="2867">
        <f t="shared" si="52"/>
        <v>0</v>
      </c>
    </row>
    <row r="260" spans="1:19">
      <c r="A260" s="2995"/>
      <c r="B260" s="3286"/>
      <c r="C260" s="2993">
        <f t="shared" si="43"/>
        <v>1</v>
      </c>
      <c r="D260" s="3288"/>
      <c r="E260" s="2993">
        <f t="shared" si="44"/>
        <v>1</v>
      </c>
      <c r="F260" s="3288"/>
      <c r="G260" s="2993">
        <f t="shared" si="45"/>
        <v>1</v>
      </c>
      <c r="H260" s="3288"/>
      <c r="I260" s="2993">
        <f t="shared" si="46"/>
        <v>1</v>
      </c>
      <c r="J260" s="3288"/>
      <c r="K260" s="2993">
        <f t="shared" si="47"/>
        <v>1</v>
      </c>
      <c r="L260" s="3288"/>
      <c r="M260" s="2993">
        <f t="shared" si="48"/>
        <v>1</v>
      </c>
      <c r="N260" s="3288"/>
      <c r="O260" s="2993">
        <f t="shared" si="49"/>
        <v>1</v>
      </c>
      <c r="P260" s="3288"/>
      <c r="Q260" s="2993">
        <f t="shared" si="50"/>
        <v>1</v>
      </c>
      <c r="R260" s="2736">
        <f t="shared" si="51"/>
        <v>0</v>
      </c>
      <c r="S260" s="2867">
        <f t="shared" si="52"/>
        <v>0</v>
      </c>
    </row>
    <row r="261" spans="1:19">
      <c r="A261" s="2995"/>
      <c r="B261" s="3286"/>
      <c r="C261" s="2993">
        <f t="shared" si="43"/>
        <v>1</v>
      </c>
      <c r="D261" s="3288"/>
      <c r="E261" s="2993">
        <f t="shared" si="44"/>
        <v>1</v>
      </c>
      <c r="F261" s="3288"/>
      <c r="G261" s="2993">
        <f t="shared" si="45"/>
        <v>1</v>
      </c>
      <c r="H261" s="3288"/>
      <c r="I261" s="2993">
        <f t="shared" si="46"/>
        <v>1</v>
      </c>
      <c r="J261" s="3288"/>
      <c r="K261" s="2993">
        <f t="shared" si="47"/>
        <v>1</v>
      </c>
      <c r="L261" s="3288"/>
      <c r="M261" s="2993">
        <f t="shared" si="48"/>
        <v>1</v>
      </c>
      <c r="N261" s="3288"/>
      <c r="O261" s="2993">
        <f t="shared" si="49"/>
        <v>1</v>
      </c>
      <c r="P261" s="3288"/>
      <c r="Q261" s="2993">
        <f t="shared" si="50"/>
        <v>1</v>
      </c>
      <c r="R261" s="2736">
        <f t="shared" si="51"/>
        <v>0</v>
      </c>
      <c r="S261" s="2867">
        <f t="shared" si="52"/>
        <v>0</v>
      </c>
    </row>
    <row r="262" spans="1:19">
      <c r="A262" s="2995"/>
      <c r="B262" s="3286"/>
      <c r="C262" s="2993">
        <f t="shared" si="43"/>
        <v>1</v>
      </c>
      <c r="D262" s="3288"/>
      <c r="E262" s="2993">
        <f t="shared" si="44"/>
        <v>1</v>
      </c>
      <c r="F262" s="3288"/>
      <c r="G262" s="2993">
        <f t="shared" si="45"/>
        <v>1</v>
      </c>
      <c r="H262" s="3288"/>
      <c r="I262" s="2993">
        <f t="shared" si="46"/>
        <v>1</v>
      </c>
      <c r="J262" s="3288"/>
      <c r="K262" s="2993">
        <f t="shared" si="47"/>
        <v>1</v>
      </c>
      <c r="L262" s="3288"/>
      <c r="M262" s="2993">
        <f t="shared" si="48"/>
        <v>1</v>
      </c>
      <c r="N262" s="3288"/>
      <c r="O262" s="2993">
        <f t="shared" si="49"/>
        <v>1</v>
      </c>
      <c r="P262" s="3288"/>
      <c r="Q262" s="2993">
        <f t="shared" si="50"/>
        <v>1</v>
      </c>
      <c r="R262" s="2736">
        <f t="shared" si="51"/>
        <v>0</v>
      </c>
      <c r="S262" s="2867">
        <f t="shared" si="52"/>
        <v>0</v>
      </c>
    </row>
    <row r="263" spans="1:19">
      <c r="A263" s="2995"/>
      <c r="B263" s="3286"/>
      <c r="C263" s="2993">
        <f t="shared" si="43"/>
        <v>1</v>
      </c>
      <c r="D263" s="3288"/>
      <c r="E263" s="2993">
        <f t="shared" si="44"/>
        <v>1</v>
      </c>
      <c r="F263" s="3288"/>
      <c r="G263" s="2993">
        <f t="shared" si="45"/>
        <v>1</v>
      </c>
      <c r="H263" s="3288"/>
      <c r="I263" s="2993">
        <f t="shared" si="46"/>
        <v>1</v>
      </c>
      <c r="J263" s="3288"/>
      <c r="K263" s="2993">
        <f t="shared" si="47"/>
        <v>1</v>
      </c>
      <c r="L263" s="3288"/>
      <c r="M263" s="2993">
        <f t="shared" si="48"/>
        <v>1</v>
      </c>
      <c r="N263" s="3288"/>
      <c r="O263" s="2993">
        <f t="shared" si="49"/>
        <v>1</v>
      </c>
      <c r="P263" s="3288"/>
      <c r="Q263" s="2993">
        <f t="shared" si="50"/>
        <v>1</v>
      </c>
      <c r="R263" s="2736">
        <f t="shared" si="51"/>
        <v>0</v>
      </c>
      <c r="S263" s="2867">
        <f t="shared" si="52"/>
        <v>0</v>
      </c>
    </row>
    <row r="264" spans="1:19">
      <c r="A264" s="2995"/>
      <c r="B264" s="3286"/>
      <c r="C264" s="2993">
        <f t="shared" si="43"/>
        <v>1</v>
      </c>
      <c r="D264" s="3288"/>
      <c r="E264" s="2993">
        <f t="shared" si="44"/>
        <v>1</v>
      </c>
      <c r="F264" s="3288"/>
      <c r="G264" s="2993">
        <f t="shared" si="45"/>
        <v>1</v>
      </c>
      <c r="H264" s="3288"/>
      <c r="I264" s="2993">
        <f t="shared" si="46"/>
        <v>1</v>
      </c>
      <c r="J264" s="3288"/>
      <c r="K264" s="2993">
        <f t="shared" si="47"/>
        <v>1</v>
      </c>
      <c r="L264" s="3288"/>
      <c r="M264" s="2993">
        <f t="shared" si="48"/>
        <v>1</v>
      </c>
      <c r="N264" s="3288"/>
      <c r="O264" s="2993">
        <f t="shared" si="49"/>
        <v>1</v>
      </c>
      <c r="P264" s="3288"/>
      <c r="Q264" s="2993">
        <f t="shared" si="50"/>
        <v>1</v>
      </c>
      <c r="R264" s="2736">
        <f t="shared" si="51"/>
        <v>0</v>
      </c>
      <c r="S264" s="2867">
        <f t="shared" si="52"/>
        <v>0</v>
      </c>
    </row>
    <row r="265" spans="1:19">
      <c r="A265" s="2995"/>
      <c r="B265" s="3286"/>
      <c r="C265" s="2993">
        <f t="shared" si="43"/>
        <v>1</v>
      </c>
      <c r="D265" s="3288"/>
      <c r="E265" s="2993">
        <f t="shared" si="44"/>
        <v>1</v>
      </c>
      <c r="F265" s="3288"/>
      <c r="G265" s="2993">
        <f t="shared" si="45"/>
        <v>1</v>
      </c>
      <c r="H265" s="3288"/>
      <c r="I265" s="2993">
        <f t="shared" si="46"/>
        <v>1</v>
      </c>
      <c r="J265" s="3288"/>
      <c r="K265" s="2993">
        <f t="shared" si="47"/>
        <v>1</v>
      </c>
      <c r="L265" s="3288"/>
      <c r="M265" s="2993">
        <f t="shared" si="48"/>
        <v>1</v>
      </c>
      <c r="N265" s="3288"/>
      <c r="O265" s="2993">
        <f t="shared" si="49"/>
        <v>1</v>
      </c>
      <c r="P265" s="3288"/>
      <c r="Q265" s="2993">
        <f t="shared" si="50"/>
        <v>1</v>
      </c>
      <c r="R265" s="2736">
        <f t="shared" si="51"/>
        <v>0</v>
      </c>
      <c r="S265" s="2867">
        <f t="shared" si="52"/>
        <v>0</v>
      </c>
    </row>
    <row r="266" spans="1:19">
      <c r="A266" s="2995"/>
      <c r="B266" s="3286"/>
      <c r="C266" s="2993">
        <f t="shared" si="43"/>
        <v>1</v>
      </c>
      <c r="D266" s="3288"/>
      <c r="E266" s="2993">
        <f t="shared" si="44"/>
        <v>1</v>
      </c>
      <c r="F266" s="3288"/>
      <c r="G266" s="2993">
        <f t="shared" si="45"/>
        <v>1</v>
      </c>
      <c r="H266" s="3288"/>
      <c r="I266" s="2993">
        <f t="shared" si="46"/>
        <v>1</v>
      </c>
      <c r="J266" s="3288"/>
      <c r="K266" s="2993">
        <f t="shared" si="47"/>
        <v>1</v>
      </c>
      <c r="L266" s="3288"/>
      <c r="M266" s="2993">
        <f t="shared" si="48"/>
        <v>1</v>
      </c>
      <c r="N266" s="3288"/>
      <c r="O266" s="2993">
        <f t="shared" si="49"/>
        <v>1</v>
      </c>
      <c r="P266" s="3288"/>
      <c r="Q266" s="2993">
        <f t="shared" si="50"/>
        <v>1</v>
      </c>
      <c r="R266" s="2736">
        <f t="shared" si="51"/>
        <v>0</v>
      </c>
      <c r="S266" s="2867">
        <f t="shared" si="52"/>
        <v>0</v>
      </c>
    </row>
    <row r="267" spans="1:19">
      <c r="A267" s="2995"/>
      <c r="B267" s="3286"/>
      <c r="C267" s="2993">
        <f t="shared" si="43"/>
        <v>1</v>
      </c>
      <c r="D267" s="3288"/>
      <c r="E267" s="2993">
        <f t="shared" si="44"/>
        <v>1</v>
      </c>
      <c r="F267" s="3288"/>
      <c r="G267" s="2993">
        <f t="shared" si="45"/>
        <v>1</v>
      </c>
      <c r="H267" s="3288"/>
      <c r="I267" s="2993">
        <f t="shared" si="46"/>
        <v>1</v>
      </c>
      <c r="J267" s="3288"/>
      <c r="K267" s="2993">
        <f t="shared" si="47"/>
        <v>1</v>
      </c>
      <c r="L267" s="3288"/>
      <c r="M267" s="2993">
        <f t="shared" si="48"/>
        <v>1</v>
      </c>
      <c r="N267" s="3288"/>
      <c r="O267" s="2993">
        <f t="shared" si="49"/>
        <v>1</v>
      </c>
      <c r="P267" s="3288"/>
      <c r="Q267" s="2993">
        <f t="shared" si="50"/>
        <v>1</v>
      </c>
      <c r="R267" s="2736">
        <f t="shared" si="51"/>
        <v>0</v>
      </c>
      <c r="S267" s="2867">
        <f t="shared" si="52"/>
        <v>0</v>
      </c>
    </row>
    <row r="268" spans="1:19">
      <c r="A268" s="2995"/>
      <c r="B268" s="3286"/>
      <c r="C268" s="2993">
        <f t="shared" si="43"/>
        <v>1</v>
      </c>
      <c r="D268" s="3288"/>
      <c r="E268" s="2993">
        <f t="shared" si="44"/>
        <v>1</v>
      </c>
      <c r="F268" s="3288"/>
      <c r="G268" s="2993">
        <f t="shared" si="45"/>
        <v>1</v>
      </c>
      <c r="H268" s="3288"/>
      <c r="I268" s="2993">
        <f t="shared" si="46"/>
        <v>1</v>
      </c>
      <c r="J268" s="3288"/>
      <c r="K268" s="2993">
        <f t="shared" si="47"/>
        <v>1</v>
      </c>
      <c r="L268" s="3288"/>
      <c r="M268" s="2993">
        <f t="shared" si="48"/>
        <v>1</v>
      </c>
      <c r="N268" s="3288"/>
      <c r="O268" s="2993">
        <f t="shared" si="49"/>
        <v>1</v>
      </c>
      <c r="P268" s="3288"/>
      <c r="Q268" s="2993">
        <f t="shared" si="50"/>
        <v>1</v>
      </c>
      <c r="R268" s="2736">
        <f t="shared" si="51"/>
        <v>0</v>
      </c>
      <c r="S268" s="2867">
        <f t="shared" si="52"/>
        <v>0</v>
      </c>
    </row>
    <row r="269" spans="1:19">
      <c r="A269" s="2995"/>
      <c r="B269" s="3286"/>
      <c r="C269" s="2993">
        <f t="shared" si="43"/>
        <v>1</v>
      </c>
      <c r="D269" s="3288"/>
      <c r="E269" s="2993">
        <f t="shared" si="44"/>
        <v>1</v>
      </c>
      <c r="F269" s="3288"/>
      <c r="G269" s="2993">
        <f t="shared" si="45"/>
        <v>1</v>
      </c>
      <c r="H269" s="3288"/>
      <c r="I269" s="2993">
        <f t="shared" si="46"/>
        <v>1</v>
      </c>
      <c r="J269" s="3288"/>
      <c r="K269" s="2993">
        <f t="shared" si="47"/>
        <v>1</v>
      </c>
      <c r="L269" s="3288"/>
      <c r="M269" s="2993">
        <f t="shared" si="48"/>
        <v>1</v>
      </c>
      <c r="N269" s="3288"/>
      <c r="O269" s="2993">
        <f t="shared" si="49"/>
        <v>1</v>
      </c>
      <c r="P269" s="3288"/>
      <c r="Q269" s="2993">
        <f t="shared" si="50"/>
        <v>1</v>
      </c>
      <c r="R269" s="2736">
        <f t="shared" si="51"/>
        <v>0</v>
      </c>
      <c r="S269" s="2867">
        <f t="shared" si="52"/>
        <v>0</v>
      </c>
    </row>
    <row r="270" spans="1:19">
      <c r="A270" s="2995"/>
      <c r="B270" s="3286"/>
      <c r="C270" s="2993">
        <f t="shared" si="43"/>
        <v>1</v>
      </c>
      <c r="D270" s="3288"/>
      <c r="E270" s="2993">
        <f t="shared" si="44"/>
        <v>1</v>
      </c>
      <c r="F270" s="3288"/>
      <c r="G270" s="2993">
        <f t="shared" si="45"/>
        <v>1</v>
      </c>
      <c r="H270" s="3288"/>
      <c r="I270" s="2993">
        <f t="shared" si="46"/>
        <v>1</v>
      </c>
      <c r="J270" s="3288"/>
      <c r="K270" s="2993">
        <f t="shared" si="47"/>
        <v>1</v>
      </c>
      <c r="L270" s="3288"/>
      <c r="M270" s="2993">
        <f t="shared" si="48"/>
        <v>1</v>
      </c>
      <c r="N270" s="3288"/>
      <c r="O270" s="2993">
        <f t="shared" si="49"/>
        <v>1</v>
      </c>
      <c r="P270" s="3288"/>
      <c r="Q270" s="2993">
        <f t="shared" si="50"/>
        <v>1</v>
      </c>
      <c r="R270" s="2736">
        <f t="shared" si="51"/>
        <v>0</v>
      </c>
      <c r="S270" s="2867">
        <f t="shared" si="52"/>
        <v>0</v>
      </c>
    </row>
    <row r="271" spans="1:19">
      <c r="A271" s="2995"/>
      <c r="B271" s="3286"/>
      <c r="C271" s="2993">
        <f t="shared" si="43"/>
        <v>1</v>
      </c>
      <c r="D271" s="3288"/>
      <c r="E271" s="2993">
        <f t="shared" si="44"/>
        <v>1</v>
      </c>
      <c r="F271" s="3288"/>
      <c r="G271" s="2993">
        <f t="shared" si="45"/>
        <v>1</v>
      </c>
      <c r="H271" s="3288"/>
      <c r="I271" s="2993">
        <f t="shared" si="46"/>
        <v>1</v>
      </c>
      <c r="J271" s="3288"/>
      <c r="K271" s="2993">
        <f t="shared" si="47"/>
        <v>1</v>
      </c>
      <c r="L271" s="3288"/>
      <c r="M271" s="2993">
        <f t="shared" si="48"/>
        <v>1</v>
      </c>
      <c r="N271" s="3288"/>
      <c r="O271" s="2993">
        <f t="shared" si="49"/>
        <v>1</v>
      </c>
      <c r="P271" s="3288"/>
      <c r="Q271" s="2993">
        <f t="shared" si="50"/>
        <v>1</v>
      </c>
      <c r="R271" s="2736">
        <f t="shared" si="51"/>
        <v>0</v>
      </c>
      <c r="S271" s="2867">
        <f t="shared" si="52"/>
        <v>0</v>
      </c>
    </row>
    <row r="272" spans="1:19">
      <c r="A272" s="2995"/>
      <c r="B272" s="3286"/>
      <c r="C272" s="2993">
        <f t="shared" si="43"/>
        <v>1</v>
      </c>
      <c r="D272" s="3288"/>
      <c r="E272" s="2993">
        <f t="shared" si="44"/>
        <v>1</v>
      </c>
      <c r="F272" s="3288"/>
      <c r="G272" s="2993">
        <f t="shared" si="45"/>
        <v>1</v>
      </c>
      <c r="H272" s="3288"/>
      <c r="I272" s="2993">
        <f t="shared" si="46"/>
        <v>1</v>
      </c>
      <c r="J272" s="3288"/>
      <c r="K272" s="2993">
        <f t="shared" si="47"/>
        <v>1</v>
      </c>
      <c r="L272" s="3288"/>
      <c r="M272" s="2993">
        <f t="shared" si="48"/>
        <v>1</v>
      </c>
      <c r="N272" s="3288"/>
      <c r="O272" s="2993">
        <f t="shared" si="49"/>
        <v>1</v>
      </c>
      <c r="P272" s="3288"/>
      <c r="Q272" s="2993">
        <f t="shared" si="50"/>
        <v>1</v>
      </c>
      <c r="R272" s="2736">
        <f t="shared" si="51"/>
        <v>0</v>
      </c>
      <c r="S272" s="2867">
        <f t="shared" si="52"/>
        <v>0</v>
      </c>
    </row>
    <row r="273" spans="1:19">
      <c r="A273" s="2995"/>
      <c r="B273" s="3286"/>
      <c r="C273" s="2993">
        <f t="shared" si="43"/>
        <v>1</v>
      </c>
      <c r="D273" s="3288"/>
      <c r="E273" s="2993">
        <f t="shared" si="44"/>
        <v>1</v>
      </c>
      <c r="F273" s="3288"/>
      <c r="G273" s="2993">
        <f t="shared" si="45"/>
        <v>1</v>
      </c>
      <c r="H273" s="3288"/>
      <c r="I273" s="2993">
        <f t="shared" si="46"/>
        <v>1</v>
      </c>
      <c r="J273" s="3288"/>
      <c r="K273" s="2993">
        <f t="shared" si="47"/>
        <v>1</v>
      </c>
      <c r="L273" s="3288"/>
      <c r="M273" s="2993">
        <f t="shared" si="48"/>
        <v>1</v>
      </c>
      <c r="N273" s="3288"/>
      <c r="O273" s="2993">
        <f t="shared" si="49"/>
        <v>1</v>
      </c>
      <c r="P273" s="3288"/>
      <c r="Q273" s="2993">
        <f t="shared" si="50"/>
        <v>1</v>
      </c>
      <c r="R273" s="2736">
        <f t="shared" si="51"/>
        <v>0</v>
      </c>
      <c r="S273" s="2867">
        <f t="shared" si="52"/>
        <v>0</v>
      </c>
    </row>
    <row r="274" spans="1:19">
      <c r="A274" s="2995"/>
      <c r="B274" s="3286"/>
      <c r="C274" s="2993">
        <f t="shared" si="43"/>
        <v>1</v>
      </c>
      <c r="D274" s="3288"/>
      <c r="E274" s="2993">
        <f t="shared" si="44"/>
        <v>1</v>
      </c>
      <c r="F274" s="3288"/>
      <c r="G274" s="2993">
        <f t="shared" si="45"/>
        <v>1</v>
      </c>
      <c r="H274" s="3288"/>
      <c r="I274" s="2993">
        <f t="shared" si="46"/>
        <v>1</v>
      </c>
      <c r="J274" s="3288"/>
      <c r="K274" s="2993">
        <f t="shared" si="47"/>
        <v>1</v>
      </c>
      <c r="L274" s="3288"/>
      <c r="M274" s="2993">
        <f t="shared" si="48"/>
        <v>1</v>
      </c>
      <c r="N274" s="3288"/>
      <c r="O274" s="2993">
        <f t="shared" si="49"/>
        <v>1</v>
      </c>
      <c r="P274" s="3288"/>
      <c r="Q274" s="2993">
        <f t="shared" si="50"/>
        <v>1</v>
      </c>
      <c r="R274" s="2736">
        <f t="shared" si="51"/>
        <v>0</v>
      </c>
      <c r="S274" s="2867">
        <f t="shared" si="52"/>
        <v>0</v>
      </c>
    </row>
    <row r="275" spans="1:19">
      <c r="A275" s="2995"/>
      <c r="B275" s="3286"/>
      <c r="C275" s="2993">
        <f t="shared" si="43"/>
        <v>1</v>
      </c>
      <c r="D275" s="3288"/>
      <c r="E275" s="2993">
        <f t="shared" si="44"/>
        <v>1</v>
      </c>
      <c r="F275" s="3288"/>
      <c r="G275" s="2993">
        <f t="shared" si="45"/>
        <v>1</v>
      </c>
      <c r="H275" s="3288"/>
      <c r="I275" s="2993">
        <f t="shared" si="46"/>
        <v>1</v>
      </c>
      <c r="J275" s="3288"/>
      <c r="K275" s="2993">
        <f t="shared" si="47"/>
        <v>1</v>
      </c>
      <c r="L275" s="3288"/>
      <c r="M275" s="2993">
        <f t="shared" si="48"/>
        <v>1</v>
      </c>
      <c r="N275" s="3288"/>
      <c r="O275" s="2993">
        <f t="shared" si="49"/>
        <v>1</v>
      </c>
      <c r="P275" s="3288"/>
      <c r="Q275" s="2993">
        <f t="shared" si="50"/>
        <v>1</v>
      </c>
      <c r="R275" s="2736">
        <f t="shared" si="51"/>
        <v>0</v>
      </c>
      <c r="S275" s="2867">
        <f t="shared" si="52"/>
        <v>0</v>
      </c>
    </row>
    <row r="276" spans="1:19">
      <c r="A276" s="2995"/>
      <c r="B276" s="3286"/>
      <c r="C276" s="2993">
        <f t="shared" si="43"/>
        <v>1</v>
      </c>
      <c r="D276" s="3288"/>
      <c r="E276" s="2993">
        <f t="shared" si="44"/>
        <v>1</v>
      </c>
      <c r="F276" s="3288"/>
      <c r="G276" s="2993">
        <f t="shared" si="45"/>
        <v>1</v>
      </c>
      <c r="H276" s="3288"/>
      <c r="I276" s="2993">
        <f t="shared" si="46"/>
        <v>1</v>
      </c>
      <c r="J276" s="3288"/>
      <c r="K276" s="2993">
        <f t="shared" si="47"/>
        <v>1</v>
      </c>
      <c r="L276" s="3288"/>
      <c r="M276" s="2993">
        <f t="shared" si="48"/>
        <v>1</v>
      </c>
      <c r="N276" s="3288"/>
      <c r="O276" s="2993">
        <f t="shared" si="49"/>
        <v>1</v>
      </c>
      <c r="P276" s="3288"/>
      <c r="Q276" s="2993">
        <f t="shared" si="50"/>
        <v>1</v>
      </c>
      <c r="R276" s="2736">
        <f t="shared" si="51"/>
        <v>0</v>
      </c>
      <c r="S276" s="2867">
        <f t="shared" si="52"/>
        <v>0</v>
      </c>
    </row>
    <row r="277" spans="1:19">
      <c r="A277" s="2995"/>
      <c r="B277" s="3286"/>
      <c r="C277" s="2993">
        <f t="shared" si="43"/>
        <v>1</v>
      </c>
      <c r="D277" s="3288"/>
      <c r="E277" s="2993">
        <f t="shared" si="44"/>
        <v>1</v>
      </c>
      <c r="F277" s="3288"/>
      <c r="G277" s="2993">
        <f t="shared" si="45"/>
        <v>1</v>
      </c>
      <c r="H277" s="3288"/>
      <c r="I277" s="2993">
        <f t="shared" si="46"/>
        <v>1</v>
      </c>
      <c r="J277" s="3288"/>
      <c r="K277" s="2993">
        <f t="shared" si="47"/>
        <v>1</v>
      </c>
      <c r="L277" s="3288"/>
      <c r="M277" s="2993">
        <f t="shared" si="48"/>
        <v>1</v>
      </c>
      <c r="N277" s="3288"/>
      <c r="O277" s="2993">
        <f t="shared" si="49"/>
        <v>1</v>
      </c>
      <c r="P277" s="3288"/>
      <c r="Q277" s="2993">
        <f t="shared" si="50"/>
        <v>1</v>
      </c>
      <c r="R277" s="2736">
        <f t="shared" si="51"/>
        <v>0</v>
      </c>
      <c r="S277" s="2867">
        <f t="shared" si="52"/>
        <v>0</v>
      </c>
    </row>
    <row r="278" spans="1:19">
      <c r="A278" s="2995"/>
      <c r="B278" s="3286"/>
      <c r="C278" s="2993">
        <f t="shared" si="43"/>
        <v>1</v>
      </c>
      <c r="D278" s="3288"/>
      <c r="E278" s="2993">
        <f t="shared" si="44"/>
        <v>1</v>
      </c>
      <c r="F278" s="3288"/>
      <c r="G278" s="2993">
        <f t="shared" si="45"/>
        <v>1</v>
      </c>
      <c r="H278" s="3288"/>
      <c r="I278" s="2993">
        <f t="shared" si="46"/>
        <v>1</v>
      </c>
      <c r="J278" s="3288"/>
      <c r="K278" s="2993">
        <f t="shared" si="47"/>
        <v>1</v>
      </c>
      <c r="L278" s="3288"/>
      <c r="M278" s="2993">
        <f t="shared" si="48"/>
        <v>1</v>
      </c>
      <c r="N278" s="3288"/>
      <c r="O278" s="2993">
        <f t="shared" si="49"/>
        <v>1</v>
      </c>
      <c r="P278" s="3288"/>
      <c r="Q278" s="2993">
        <f t="shared" si="50"/>
        <v>1</v>
      </c>
      <c r="R278" s="2736">
        <f t="shared" si="51"/>
        <v>0</v>
      </c>
      <c r="S278" s="2867">
        <f t="shared" si="52"/>
        <v>0</v>
      </c>
    </row>
    <row r="279" spans="1:19">
      <c r="A279" s="2995"/>
      <c r="B279" s="3286"/>
      <c r="C279" s="2993">
        <f t="shared" si="43"/>
        <v>1</v>
      </c>
      <c r="D279" s="3288"/>
      <c r="E279" s="2993">
        <f t="shared" si="44"/>
        <v>1</v>
      </c>
      <c r="F279" s="3288"/>
      <c r="G279" s="2993">
        <f t="shared" si="45"/>
        <v>1</v>
      </c>
      <c r="H279" s="3288"/>
      <c r="I279" s="2993">
        <f t="shared" si="46"/>
        <v>1</v>
      </c>
      <c r="J279" s="3288"/>
      <c r="K279" s="2993">
        <f t="shared" si="47"/>
        <v>1</v>
      </c>
      <c r="L279" s="3288"/>
      <c r="M279" s="2993">
        <f t="shared" si="48"/>
        <v>1</v>
      </c>
      <c r="N279" s="3288"/>
      <c r="O279" s="2993">
        <f t="shared" si="49"/>
        <v>1</v>
      </c>
      <c r="P279" s="3288"/>
      <c r="Q279" s="2993">
        <f t="shared" si="50"/>
        <v>1</v>
      </c>
      <c r="R279" s="2736">
        <f t="shared" si="51"/>
        <v>0</v>
      </c>
      <c r="S279" s="2867">
        <f t="shared" si="52"/>
        <v>0</v>
      </c>
    </row>
    <row r="280" spans="1:19">
      <c r="A280" s="2995"/>
      <c r="B280" s="3286"/>
      <c r="C280" s="2993">
        <f t="shared" si="43"/>
        <v>1</v>
      </c>
      <c r="D280" s="3288"/>
      <c r="E280" s="2993">
        <f t="shared" si="44"/>
        <v>1</v>
      </c>
      <c r="F280" s="3288"/>
      <c r="G280" s="2993">
        <f t="shared" si="45"/>
        <v>1</v>
      </c>
      <c r="H280" s="3288"/>
      <c r="I280" s="2993">
        <f t="shared" si="46"/>
        <v>1</v>
      </c>
      <c r="J280" s="3288"/>
      <c r="K280" s="2993">
        <f t="shared" si="47"/>
        <v>1</v>
      </c>
      <c r="L280" s="3288"/>
      <c r="M280" s="2993">
        <f t="shared" si="48"/>
        <v>1</v>
      </c>
      <c r="N280" s="3288"/>
      <c r="O280" s="2993">
        <f t="shared" si="49"/>
        <v>1</v>
      </c>
      <c r="P280" s="3288"/>
      <c r="Q280" s="2993">
        <f t="shared" si="50"/>
        <v>1</v>
      </c>
      <c r="R280" s="2736">
        <f t="shared" si="51"/>
        <v>0</v>
      </c>
      <c r="S280" s="2867">
        <f t="shared" si="52"/>
        <v>0</v>
      </c>
    </row>
    <row r="281" spans="1:19">
      <c r="A281" s="2995"/>
      <c r="B281" s="3286"/>
      <c r="C281" s="2993">
        <f t="shared" si="43"/>
        <v>1</v>
      </c>
      <c r="D281" s="3288"/>
      <c r="E281" s="2993">
        <f t="shared" si="44"/>
        <v>1</v>
      </c>
      <c r="F281" s="3288"/>
      <c r="G281" s="2993">
        <f t="shared" si="45"/>
        <v>1</v>
      </c>
      <c r="H281" s="3288"/>
      <c r="I281" s="2993">
        <f t="shared" si="46"/>
        <v>1</v>
      </c>
      <c r="J281" s="3288"/>
      <c r="K281" s="2993">
        <f t="shared" si="47"/>
        <v>1</v>
      </c>
      <c r="L281" s="3288"/>
      <c r="M281" s="2993">
        <f t="shared" si="48"/>
        <v>1</v>
      </c>
      <c r="N281" s="3288"/>
      <c r="O281" s="2993">
        <f t="shared" si="49"/>
        <v>1</v>
      </c>
      <c r="P281" s="3288"/>
      <c r="Q281" s="2993">
        <f t="shared" si="50"/>
        <v>1</v>
      </c>
      <c r="R281" s="2736">
        <f t="shared" si="51"/>
        <v>0</v>
      </c>
      <c r="S281" s="2867">
        <f t="shared" si="52"/>
        <v>0</v>
      </c>
    </row>
    <row r="282" spans="1:19">
      <c r="A282" s="2995"/>
      <c r="B282" s="3286"/>
      <c r="C282" s="2993">
        <f t="shared" ref="C282:C345" si="53">IF(B282="",1,(LOOKUP(B282,$3:$3,$4:$4)-LOOKUP($B$24,$3:$3,$4:$4)+100)/100)</f>
        <v>1</v>
      </c>
      <c r="D282" s="3288"/>
      <c r="E282" s="2993">
        <f t="shared" ref="E282:E345" si="54">(SUMIF($5:$5,D282,$6:$6)-SUMIF($5:$5,$D$24,$6:$6)+100)/100</f>
        <v>1</v>
      </c>
      <c r="F282" s="3288"/>
      <c r="G282" s="2993">
        <f t="shared" ref="G282:G345" si="55">(SUMIF($7:$7,F282,$8:$8)-SUMIF($7:$7,$F$24,$8:$8)+100)/100</f>
        <v>1</v>
      </c>
      <c r="H282" s="3288"/>
      <c r="I282" s="2993">
        <f t="shared" ref="I282:I345" si="56">(SUMIF($9:$9,H282,$10:$10)-SUMIF($9:$9,$H$24,$10:$10)+100)/100</f>
        <v>1</v>
      </c>
      <c r="J282" s="3288"/>
      <c r="K282" s="2993">
        <f t="shared" ref="K282:K345" si="57">(SUMIF($11:$11,J282,$12:$12)-SUMIF($11:$11,$J$24,$12:$12)+100)/100</f>
        <v>1</v>
      </c>
      <c r="L282" s="3288"/>
      <c r="M282" s="2993">
        <f t="shared" ref="M282:M345" si="58">(SUMIF($13:$13,L282,$14:$14)-SUMIF($13:$13,$L$24,$14:$14)+100)/100</f>
        <v>1</v>
      </c>
      <c r="N282" s="3288"/>
      <c r="O282" s="2993">
        <f t="shared" ref="O282:O345" si="59">(SUMIF($15:$15,N282,$16:$16)-SUMIF($15:$15,$N$24,$16:$16)+100)/100</f>
        <v>1</v>
      </c>
      <c r="P282" s="3288"/>
      <c r="Q282" s="2993">
        <f t="shared" ref="Q282:Q345" si="60">(SUMIF($17:$17,P282,$18:$18)-SUMIF($17:$17,$P$24,$18:$18)+100)/100</f>
        <v>1</v>
      </c>
      <c r="R282" s="2736">
        <f t="shared" ref="R282:R345" si="61">IF(B282="",0,ROUND($R$24*C282*E282*G282*I282*K282*M282*O282*Q282,0))</f>
        <v>0</v>
      </c>
      <c r="S282" s="2867">
        <f t="shared" si="52"/>
        <v>0</v>
      </c>
    </row>
    <row r="283" spans="1:19">
      <c r="A283" s="2995"/>
      <c r="B283" s="3286"/>
      <c r="C283" s="2993">
        <f t="shared" si="53"/>
        <v>1</v>
      </c>
      <c r="D283" s="3288"/>
      <c r="E283" s="2993">
        <f t="shared" si="54"/>
        <v>1</v>
      </c>
      <c r="F283" s="3288"/>
      <c r="G283" s="2993">
        <f t="shared" si="55"/>
        <v>1</v>
      </c>
      <c r="H283" s="3288"/>
      <c r="I283" s="2993">
        <f t="shared" si="56"/>
        <v>1</v>
      </c>
      <c r="J283" s="3288"/>
      <c r="K283" s="2993">
        <f t="shared" si="57"/>
        <v>1</v>
      </c>
      <c r="L283" s="3288"/>
      <c r="M283" s="2993">
        <f t="shared" si="58"/>
        <v>1</v>
      </c>
      <c r="N283" s="3288"/>
      <c r="O283" s="2993">
        <f t="shared" si="59"/>
        <v>1</v>
      </c>
      <c r="P283" s="3288"/>
      <c r="Q283" s="2993">
        <f t="shared" si="60"/>
        <v>1</v>
      </c>
      <c r="R283" s="2736">
        <f t="shared" si="61"/>
        <v>0</v>
      </c>
      <c r="S283" s="2867">
        <f t="shared" si="52"/>
        <v>0</v>
      </c>
    </row>
    <row r="284" spans="1:19">
      <c r="A284" s="2995"/>
      <c r="B284" s="3286"/>
      <c r="C284" s="2993">
        <f t="shared" si="53"/>
        <v>1</v>
      </c>
      <c r="D284" s="3288"/>
      <c r="E284" s="2993">
        <f t="shared" si="54"/>
        <v>1</v>
      </c>
      <c r="F284" s="3288"/>
      <c r="G284" s="2993">
        <f t="shared" si="55"/>
        <v>1</v>
      </c>
      <c r="H284" s="3288"/>
      <c r="I284" s="2993">
        <f t="shared" si="56"/>
        <v>1</v>
      </c>
      <c r="J284" s="3288"/>
      <c r="K284" s="2993">
        <f t="shared" si="57"/>
        <v>1</v>
      </c>
      <c r="L284" s="3288"/>
      <c r="M284" s="2993">
        <f t="shared" si="58"/>
        <v>1</v>
      </c>
      <c r="N284" s="3288"/>
      <c r="O284" s="2993">
        <f t="shared" si="59"/>
        <v>1</v>
      </c>
      <c r="P284" s="3288"/>
      <c r="Q284" s="2993">
        <f t="shared" si="60"/>
        <v>1</v>
      </c>
      <c r="R284" s="2736">
        <f t="shared" si="61"/>
        <v>0</v>
      </c>
      <c r="S284" s="2867">
        <f t="shared" si="52"/>
        <v>0</v>
      </c>
    </row>
    <row r="285" spans="1:19">
      <c r="A285" s="2995"/>
      <c r="B285" s="3286"/>
      <c r="C285" s="2993">
        <f t="shared" si="53"/>
        <v>1</v>
      </c>
      <c r="D285" s="3288"/>
      <c r="E285" s="2993">
        <f t="shared" si="54"/>
        <v>1</v>
      </c>
      <c r="F285" s="3288"/>
      <c r="G285" s="2993">
        <f t="shared" si="55"/>
        <v>1</v>
      </c>
      <c r="H285" s="3288"/>
      <c r="I285" s="2993">
        <f t="shared" si="56"/>
        <v>1</v>
      </c>
      <c r="J285" s="3288"/>
      <c r="K285" s="2993">
        <f t="shared" si="57"/>
        <v>1</v>
      </c>
      <c r="L285" s="3288"/>
      <c r="M285" s="2993">
        <f t="shared" si="58"/>
        <v>1</v>
      </c>
      <c r="N285" s="3288"/>
      <c r="O285" s="2993">
        <f t="shared" si="59"/>
        <v>1</v>
      </c>
      <c r="P285" s="3288"/>
      <c r="Q285" s="2993">
        <f t="shared" si="60"/>
        <v>1</v>
      </c>
      <c r="R285" s="2736">
        <f t="shared" si="61"/>
        <v>0</v>
      </c>
      <c r="S285" s="2867">
        <f t="shared" si="52"/>
        <v>0</v>
      </c>
    </row>
    <row r="286" spans="1:19">
      <c r="A286" s="2995"/>
      <c r="B286" s="3286"/>
      <c r="C286" s="2993">
        <f t="shared" si="53"/>
        <v>1</v>
      </c>
      <c r="D286" s="3288"/>
      <c r="E286" s="2993">
        <f t="shared" si="54"/>
        <v>1</v>
      </c>
      <c r="F286" s="3288"/>
      <c r="G286" s="2993">
        <f t="shared" si="55"/>
        <v>1</v>
      </c>
      <c r="H286" s="3288"/>
      <c r="I286" s="2993">
        <f t="shared" si="56"/>
        <v>1</v>
      </c>
      <c r="J286" s="3288"/>
      <c r="K286" s="2993">
        <f t="shared" si="57"/>
        <v>1</v>
      </c>
      <c r="L286" s="3288"/>
      <c r="M286" s="2993">
        <f t="shared" si="58"/>
        <v>1</v>
      </c>
      <c r="N286" s="3288"/>
      <c r="O286" s="2993">
        <f t="shared" si="59"/>
        <v>1</v>
      </c>
      <c r="P286" s="3288"/>
      <c r="Q286" s="2993">
        <f t="shared" si="60"/>
        <v>1</v>
      </c>
      <c r="R286" s="2736">
        <f t="shared" si="61"/>
        <v>0</v>
      </c>
      <c r="S286" s="2867">
        <f t="shared" si="52"/>
        <v>0</v>
      </c>
    </row>
    <row r="287" spans="1:19">
      <c r="A287" s="2995"/>
      <c r="B287" s="3286"/>
      <c r="C287" s="2993">
        <f t="shared" si="53"/>
        <v>1</v>
      </c>
      <c r="D287" s="3288"/>
      <c r="E287" s="2993">
        <f t="shared" si="54"/>
        <v>1</v>
      </c>
      <c r="F287" s="3288"/>
      <c r="G287" s="2993">
        <f t="shared" si="55"/>
        <v>1</v>
      </c>
      <c r="H287" s="3288"/>
      <c r="I287" s="2993">
        <f t="shared" si="56"/>
        <v>1</v>
      </c>
      <c r="J287" s="3288"/>
      <c r="K287" s="2993">
        <f t="shared" si="57"/>
        <v>1</v>
      </c>
      <c r="L287" s="3288"/>
      <c r="M287" s="2993">
        <f t="shared" si="58"/>
        <v>1</v>
      </c>
      <c r="N287" s="3288"/>
      <c r="O287" s="2993">
        <f t="shared" si="59"/>
        <v>1</v>
      </c>
      <c r="P287" s="3288"/>
      <c r="Q287" s="2993">
        <f t="shared" si="60"/>
        <v>1</v>
      </c>
      <c r="R287" s="2736">
        <f t="shared" si="61"/>
        <v>0</v>
      </c>
      <c r="S287" s="2867">
        <f t="shared" ref="S287:S320" si="62">ROUND(R287*B287/10000,0)</f>
        <v>0</v>
      </c>
    </row>
    <row r="288" spans="1:19">
      <c r="A288" s="2995"/>
      <c r="B288" s="3286"/>
      <c r="C288" s="2993">
        <f t="shared" si="53"/>
        <v>1</v>
      </c>
      <c r="D288" s="3288"/>
      <c r="E288" s="2993">
        <f t="shared" si="54"/>
        <v>1</v>
      </c>
      <c r="F288" s="3288"/>
      <c r="G288" s="2993">
        <f t="shared" si="55"/>
        <v>1</v>
      </c>
      <c r="H288" s="3288"/>
      <c r="I288" s="2993">
        <f t="shared" si="56"/>
        <v>1</v>
      </c>
      <c r="J288" s="3288"/>
      <c r="K288" s="2993">
        <f t="shared" si="57"/>
        <v>1</v>
      </c>
      <c r="L288" s="3288"/>
      <c r="M288" s="2993">
        <f t="shared" si="58"/>
        <v>1</v>
      </c>
      <c r="N288" s="3288"/>
      <c r="O288" s="2993">
        <f t="shared" si="59"/>
        <v>1</v>
      </c>
      <c r="P288" s="3288"/>
      <c r="Q288" s="2993">
        <f t="shared" si="60"/>
        <v>1</v>
      </c>
      <c r="R288" s="2736">
        <f t="shared" si="61"/>
        <v>0</v>
      </c>
      <c r="S288" s="2867">
        <f t="shared" si="62"/>
        <v>0</v>
      </c>
    </row>
    <row r="289" spans="1:19">
      <c r="A289" s="2995"/>
      <c r="B289" s="3286"/>
      <c r="C289" s="2993">
        <f t="shared" si="53"/>
        <v>1</v>
      </c>
      <c r="D289" s="3288"/>
      <c r="E289" s="2993">
        <f t="shared" si="54"/>
        <v>1</v>
      </c>
      <c r="F289" s="3288"/>
      <c r="G289" s="2993">
        <f t="shared" si="55"/>
        <v>1</v>
      </c>
      <c r="H289" s="3288"/>
      <c r="I289" s="2993">
        <f t="shared" si="56"/>
        <v>1</v>
      </c>
      <c r="J289" s="3288"/>
      <c r="K289" s="2993">
        <f t="shared" si="57"/>
        <v>1</v>
      </c>
      <c r="L289" s="3288"/>
      <c r="M289" s="2993">
        <f t="shared" si="58"/>
        <v>1</v>
      </c>
      <c r="N289" s="3288"/>
      <c r="O289" s="2993">
        <f t="shared" si="59"/>
        <v>1</v>
      </c>
      <c r="P289" s="3288"/>
      <c r="Q289" s="2993">
        <f t="shared" si="60"/>
        <v>1</v>
      </c>
      <c r="R289" s="2736">
        <f t="shared" si="61"/>
        <v>0</v>
      </c>
      <c r="S289" s="2867">
        <f t="shared" si="62"/>
        <v>0</v>
      </c>
    </row>
    <row r="290" spans="1:19">
      <c r="A290" s="2995"/>
      <c r="B290" s="3286"/>
      <c r="C290" s="2993">
        <f t="shared" si="53"/>
        <v>1</v>
      </c>
      <c r="D290" s="3288"/>
      <c r="E290" s="2993">
        <f t="shared" si="54"/>
        <v>1</v>
      </c>
      <c r="F290" s="3288"/>
      <c r="G290" s="2993">
        <f t="shared" si="55"/>
        <v>1</v>
      </c>
      <c r="H290" s="3288"/>
      <c r="I290" s="2993">
        <f t="shared" si="56"/>
        <v>1</v>
      </c>
      <c r="J290" s="3288"/>
      <c r="K290" s="2993">
        <f t="shared" si="57"/>
        <v>1</v>
      </c>
      <c r="L290" s="3288"/>
      <c r="M290" s="2993">
        <f t="shared" si="58"/>
        <v>1</v>
      </c>
      <c r="N290" s="3288"/>
      <c r="O290" s="2993">
        <f t="shared" si="59"/>
        <v>1</v>
      </c>
      <c r="P290" s="3288"/>
      <c r="Q290" s="2993">
        <f t="shared" si="60"/>
        <v>1</v>
      </c>
      <c r="R290" s="2736">
        <f t="shared" si="61"/>
        <v>0</v>
      </c>
      <c r="S290" s="2867">
        <f t="shared" si="62"/>
        <v>0</v>
      </c>
    </row>
    <row r="291" spans="1:19">
      <c r="A291" s="2995"/>
      <c r="B291" s="3286"/>
      <c r="C291" s="2993">
        <f t="shared" si="53"/>
        <v>1</v>
      </c>
      <c r="D291" s="3288"/>
      <c r="E291" s="2993">
        <f t="shared" si="54"/>
        <v>1</v>
      </c>
      <c r="F291" s="3288"/>
      <c r="G291" s="2993">
        <f t="shared" si="55"/>
        <v>1</v>
      </c>
      <c r="H291" s="3288"/>
      <c r="I291" s="2993">
        <f t="shared" si="56"/>
        <v>1</v>
      </c>
      <c r="J291" s="3288"/>
      <c r="K291" s="2993">
        <f t="shared" si="57"/>
        <v>1</v>
      </c>
      <c r="L291" s="3288"/>
      <c r="M291" s="2993">
        <f t="shared" si="58"/>
        <v>1</v>
      </c>
      <c r="N291" s="3288"/>
      <c r="O291" s="2993">
        <f t="shared" si="59"/>
        <v>1</v>
      </c>
      <c r="P291" s="3288"/>
      <c r="Q291" s="2993">
        <f t="shared" si="60"/>
        <v>1</v>
      </c>
      <c r="R291" s="2736">
        <f t="shared" si="61"/>
        <v>0</v>
      </c>
      <c r="S291" s="2867">
        <f t="shared" si="62"/>
        <v>0</v>
      </c>
    </row>
    <row r="292" spans="1:19">
      <c r="A292" s="2995"/>
      <c r="B292" s="3286"/>
      <c r="C292" s="2993">
        <f t="shared" si="53"/>
        <v>1</v>
      </c>
      <c r="D292" s="3288"/>
      <c r="E292" s="2993">
        <f t="shared" si="54"/>
        <v>1</v>
      </c>
      <c r="F292" s="3288"/>
      <c r="G292" s="2993">
        <f t="shared" si="55"/>
        <v>1</v>
      </c>
      <c r="H292" s="3288"/>
      <c r="I292" s="2993">
        <f t="shared" si="56"/>
        <v>1</v>
      </c>
      <c r="J292" s="3288"/>
      <c r="K292" s="2993">
        <f t="shared" si="57"/>
        <v>1</v>
      </c>
      <c r="L292" s="3288"/>
      <c r="M292" s="2993">
        <f t="shared" si="58"/>
        <v>1</v>
      </c>
      <c r="N292" s="3288"/>
      <c r="O292" s="2993">
        <f t="shared" si="59"/>
        <v>1</v>
      </c>
      <c r="P292" s="3288"/>
      <c r="Q292" s="2993">
        <f t="shared" si="60"/>
        <v>1</v>
      </c>
      <c r="R292" s="2736">
        <f t="shared" si="61"/>
        <v>0</v>
      </c>
      <c r="S292" s="2867">
        <f t="shared" si="62"/>
        <v>0</v>
      </c>
    </row>
    <row r="293" spans="1:19">
      <c r="A293" s="2995"/>
      <c r="B293" s="3286"/>
      <c r="C293" s="2993">
        <f t="shared" si="53"/>
        <v>1</v>
      </c>
      <c r="D293" s="3288"/>
      <c r="E293" s="2993">
        <f t="shared" si="54"/>
        <v>1</v>
      </c>
      <c r="F293" s="3288"/>
      <c r="G293" s="2993">
        <f t="shared" si="55"/>
        <v>1</v>
      </c>
      <c r="H293" s="3288"/>
      <c r="I293" s="2993">
        <f t="shared" si="56"/>
        <v>1</v>
      </c>
      <c r="J293" s="3288"/>
      <c r="K293" s="2993">
        <f t="shared" si="57"/>
        <v>1</v>
      </c>
      <c r="L293" s="3288"/>
      <c r="M293" s="2993">
        <f t="shared" si="58"/>
        <v>1</v>
      </c>
      <c r="N293" s="3288"/>
      <c r="O293" s="2993">
        <f t="shared" si="59"/>
        <v>1</v>
      </c>
      <c r="P293" s="3288"/>
      <c r="Q293" s="2993">
        <f t="shared" si="60"/>
        <v>1</v>
      </c>
      <c r="R293" s="2736">
        <f t="shared" si="61"/>
        <v>0</v>
      </c>
      <c r="S293" s="2867">
        <f t="shared" si="62"/>
        <v>0</v>
      </c>
    </row>
    <row r="294" spans="1:19">
      <c r="A294" s="2995"/>
      <c r="B294" s="3286"/>
      <c r="C294" s="2993">
        <f t="shared" si="53"/>
        <v>1</v>
      </c>
      <c r="D294" s="3288"/>
      <c r="E294" s="2993">
        <f t="shared" si="54"/>
        <v>1</v>
      </c>
      <c r="F294" s="3288"/>
      <c r="G294" s="2993">
        <f t="shared" si="55"/>
        <v>1</v>
      </c>
      <c r="H294" s="3288"/>
      <c r="I294" s="2993">
        <f t="shared" si="56"/>
        <v>1</v>
      </c>
      <c r="J294" s="3288"/>
      <c r="K294" s="2993">
        <f t="shared" si="57"/>
        <v>1</v>
      </c>
      <c r="L294" s="3288"/>
      <c r="M294" s="2993">
        <f t="shared" si="58"/>
        <v>1</v>
      </c>
      <c r="N294" s="3288"/>
      <c r="O294" s="2993">
        <f t="shared" si="59"/>
        <v>1</v>
      </c>
      <c r="P294" s="3288"/>
      <c r="Q294" s="2993">
        <f t="shared" si="60"/>
        <v>1</v>
      </c>
      <c r="R294" s="2736">
        <f t="shared" si="61"/>
        <v>0</v>
      </c>
      <c r="S294" s="2867">
        <f t="shared" si="62"/>
        <v>0</v>
      </c>
    </row>
    <row r="295" spans="1:19">
      <c r="A295" s="2995"/>
      <c r="B295" s="3286"/>
      <c r="C295" s="2993">
        <f t="shared" si="53"/>
        <v>1</v>
      </c>
      <c r="D295" s="3288"/>
      <c r="E295" s="2993">
        <f t="shared" si="54"/>
        <v>1</v>
      </c>
      <c r="F295" s="3288"/>
      <c r="G295" s="2993">
        <f t="shared" si="55"/>
        <v>1</v>
      </c>
      <c r="H295" s="3288"/>
      <c r="I295" s="2993">
        <f t="shared" si="56"/>
        <v>1</v>
      </c>
      <c r="J295" s="3288"/>
      <c r="K295" s="2993">
        <f t="shared" si="57"/>
        <v>1</v>
      </c>
      <c r="L295" s="3288"/>
      <c r="M295" s="2993">
        <f t="shared" si="58"/>
        <v>1</v>
      </c>
      <c r="N295" s="3288"/>
      <c r="O295" s="2993">
        <f t="shared" si="59"/>
        <v>1</v>
      </c>
      <c r="P295" s="3288"/>
      <c r="Q295" s="2993">
        <f t="shared" si="60"/>
        <v>1</v>
      </c>
      <c r="R295" s="2736">
        <f t="shared" si="61"/>
        <v>0</v>
      </c>
      <c r="S295" s="2867">
        <f t="shared" si="62"/>
        <v>0</v>
      </c>
    </row>
    <row r="296" spans="1:19">
      <c r="A296" s="2995"/>
      <c r="B296" s="3286"/>
      <c r="C296" s="2993">
        <f t="shared" si="53"/>
        <v>1</v>
      </c>
      <c r="D296" s="3288"/>
      <c r="E296" s="2993">
        <f t="shared" si="54"/>
        <v>1</v>
      </c>
      <c r="F296" s="3288"/>
      <c r="G296" s="2993">
        <f t="shared" si="55"/>
        <v>1</v>
      </c>
      <c r="H296" s="3288"/>
      <c r="I296" s="2993">
        <f t="shared" si="56"/>
        <v>1</v>
      </c>
      <c r="J296" s="3288"/>
      <c r="K296" s="2993">
        <f t="shared" si="57"/>
        <v>1</v>
      </c>
      <c r="L296" s="3288"/>
      <c r="M296" s="2993">
        <f t="shared" si="58"/>
        <v>1</v>
      </c>
      <c r="N296" s="3288"/>
      <c r="O296" s="2993">
        <f t="shared" si="59"/>
        <v>1</v>
      </c>
      <c r="P296" s="3288"/>
      <c r="Q296" s="2993">
        <f t="shared" si="60"/>
        <v>1</v>
      </c>
      <c r="R296" s="2736">
        <f t="shared" si="61"/>
        <v>0</v>
      </c>
      <c r="S296" s="2867">
        <f t="shared" si="62"/>
        <v>0</v>
      </c>
    </row>
    <row r="297" spans="1:19">
      <c r="A297" s="2995"/>
      <c r="B297" s="3286"/>
      <c r="C297" s="2993">
        <f t="shared" si="53"/>
        <v>1</v>
      </c>
      <c r="D297" s="3288"/>
      <c r="E297" s="2993">
        <f t="shared" si="54"/>
        <v>1</v>
      </c>
      <c r="F297" s="3288"/>
      <c r="G297" s="2993">
        <f t="shared" si="55"/>
        <v>1</v>
      </c>
      <c r="H297" s="3288"/>
      <c r="I297" s="2993">
        <f t="shared" si="56"/>
        <v>1</v>
      </c>
      <c r="J297" s="3288"/>
      <c r="K297" s="2993">
        <f t="shared" si="57"/>
        <v>1</v>
      </c>
      <c r="L297" s="3288"/>
      <c r="M297" s="2993">
        <f t="shared" si="58"/>
        <v>1</v>
      </c>
      <c r="N297" s="3288"/>
      <c r="O297" s="2993">
        <f t="shared" si="59"/>
        <v>1</v>
      </c>
      <c r="P297" s="3288"/>
      <c r="Q297" s="2993">
        <f t="shared" si="60"/>
        <v>1</v>
      </c>
      <c r="R297" s="2736">
        <f t="shared" si="61"/>
        <v>0</v>
      </c>
      <c r="S297" s="2867">
        <f t="shared" si="62"/>
        <v>0</v>
      </c>
    </row>
    <row r="298" spans="1:19">
      <c r="A298" s="2995"/>
      <c r="B298" s="3286"/>
      <c r="C298" s="2993">
        <f t="shared" si="53"/>
        <v>1</v>
      </c>
      <c r="D298" s="3288"/>
      <c r="E298" s="2993">
        <f t="shared" si="54"/>
        <v>1</v>
      </c>
      <c r="F298" s="3288"/>
      <c r="G298" s="2993">
        <f t="shared" si="55"/>
        <v>1</v>
      </c>
      <c r="H298" s="3288"/>
      <c r="I298" s="2993">
        <f t="shared" si="56"/>
        <v>1</v>
      </c>
      <c r="J298" s="3288"/>
      <c r="K298" s="2993">
        <f t="shared" si="57"/>
        <v>1</v>
      </c>
      <c r="L298" s="3288"/>
      <c r="M298" s="2993">
        <f t="shared" si="58"/>
        <v>1</v>
      </c>
      <c r="N298" s="3288"/>
      <c r="O298" s="2993">
        <f t="shared" si="59"/>
        <v>1</v>
      </c>
      <c r="P298" s="3288"/>
      <c r="Q298" s="2993">
        <f t="shared" si="60"/>
        <v>1</v>
      </c>
      <c r="R298" s="2736">
        <f t="shared" si="61"/>
        <v>0</v>
      </c>
      <c r="S298" s="2867">
        <f t="shared" si="62"/>
        <v>0</v>
      </c>
    </row>
    <row r="299" spans="1:19">
      <c r="A299" s="2995"/>
      <c r="B299" s="3286"/>
      <c r="C299" s="2993">
        <f t="shared" si="53"/>
        <v>1</v>
      </c>
      <c r="D299" s="3288"/>
      <c r="E299" s="2993">
        <f t="shared" si="54"/>
        <v>1</v>
      </c>
      <c r="F299" s="3288"/>
      <c r="G299" s="2993">
        <f t="shared" si="55"/>
        <v>1</v>
      </c>
      <c r="H299" s="3288"/>
      <c r="I299" s="2993">
        <f t="shared" si="56"/>
        <v>1</v>
      </c>
      <c r="J299" s="3288"/>
      <c r="K299" s="2993">
        <f t="shared" si="57"/>
        <v>1</v>
      </c>
      <c r="L299" s="3288"/>
      <c r="M299" s="2993">
        <f t="shared" si="58"/>
        <v>1</v>
      </c>
      <c r="N299" s="3288"/>
      <c r="O299" s="2993">
        <f t="shared" si="59"/>
        <v>1</v>
      </c>
      <c r="P299" s="3288"/>
      <c r="Q299" s="2993">
        <f t="shared" si="60"/>
        <v>1</v>
      </c>
      <c r="R299" s="2736">
        <f t="shared" si="61"/>
        <v>0</v>
      </c>
      <c r="S299" s="2867">
        <f t="shared" si="62"/>
        <v>0</v>
      </c>
    </row>
    <row r="300" spans="1:19">
      <c r="A300" s="2995"/>
      <c r="B300" s="3286"/>
      <c r="C300" s="2993">
        <f t="shared" si="53"/>
        <v>1</v>
      </c>
      <c r="D300" s="3288"/>
      <c r="E300" s="2993">
        <f t="shared" si="54"/>
        <v>1</v>
      </c>
      <c r="F300" s="3288"/>
      <c r="G300" s="2993">
        <f t="shared" si="55"/>
        <v>1</v>
      </c>
      <c r="H300" s="3288"/>
      <c r="I300" s="2993">
        <f t="shared" si="56"/>
        <v>1</v>
      </c>
      <c r="J300" s="3288"/>
      <c r="K300" s="2993">
        <f t="shared" si="57"/>
        <v>1</v>
      </c>
      <c r="L300" s="3288"/>
      <c r="M300" s="2993">
        <f t="shared" si="58"/>
        <v>1</v>
      </c>
      <c r="N300" s="3288"/>
      <c r="O300" s="2993">
        <f t="shared" si="59"/>
        <v>1</v>
      </c>
      <c r="P300" s="3288"/>
      <c r="Q300" s="2993">
        <f t="shared" si="60"/>
        <v>1</v>
      </c>
      <c r="R300" s="2736">
        <f t="shared" si="61"/>
        <v>0</v>
      </c>
      <c r="S300" s="2867">
        <f t="shared" si="62"/>
        <v>0</v>
      </c>
    </row>
    <row r="301" spans="1:19">
      <c r="A301" s="2995"/>
      <c r="B301" s="3286"/>
      <c r="C301" s="2993">
        <f t="shared" si="53"/>
        <v>1</v>
      </c>
      <c r="D301" s="3288"/>
      <c r="E301" s="2993">
        <f t="shared" si="54"/>
        <v>1</v>
      </c>
      <c r="F301" s="3288"/>
      <c r="G301" s="2993">
        <f t="shared" si="55"/>
        <v>1</v>
      </c>
      <c r="H301" s="3288"/>
      <c r="I301" s="2993">
        <f t="shared" si="56"/>
        <v>1</v>
      </c>
      <c r="J301" s="3288"/>
      <c r="K301" s="2993">
        <f t="shared" si="57"/>
        <v>1</v>
      </c>
      <c r="L301" s="3288"/>
      <c r="M301" s="2993">
        <f t="shared" si="58"/>
        <v>1</v>
      </c>
      <c r="N301" s="3288"/>
      <c r="O301" s="2993">
        <f t="shared" si="59"/>
        <v>1</v>
      </c>
      <c r="P301" s="3288"/>
      <c r="Q301" s="2993">
        <f t="shared" si="60"/>
        <v>1</v>
      </c>
      <c r="R301" s="2736">
        <f t="shared" si="61"/>
        <v>0</v>
      </c>
      <c r="S301" s="2867">
        <f t="shared" si="62"/>
        <v>0</v>
      </c>
    </row>
    <row r="302" spans="1:19">
      <c r="A302" s="2995"/>
      <c r="B302" s="3286"/>
      <c r="C302" s="2993">
        <f t="shared" si="53"/>
        <v>1</v>
      </c>
      <c r="D302" s="3288"/>
      <c r="E302" s="2993">
        <f t="shared" si="54"/>
        <v>1</v>
      </c>
      <c r="F302" s="3288"/>
      <c r="G302" s="2993">
        <f t="shared" si="55"/>
        <v>1</v>
      </c>
      <c r="H302" s="3288"/>
      <c r="I302" s="2993">
        <f t="shared" si="56"/>
        <v>1</v>
      </c>
      <c r="J302" s="3288"/>
      <c r="K302" s="2993">
        <f t="shared" si="57"/>
        <v>1</v>
      </c>
      <c r="L302" s="3288"/>
      <c r="M302" s="2993">
        <f t="shared" si="58"/>
        <v>1</v>
      </c>
      <c r="N302" s="3288"/>
      <c r="O302" s="2993">
        <f t="shared" si="59"/>
        <v>1</v>
      </c>
      <c r="P302" s="3288"/>
      <c r="Q302" s="2993">
        <f t="shared" si="60"/>
        <v>1</v>
      </c>
      <c r="R302" s="2736">
        <f t="shared" si="61"/>
        <v>0</v>
      </c>
      <c r="S302" s="2867">
        <f t="shared" si="62"/>
        <v>0</v>
      </c>
    </row>
    <row r="303" spans="1:19">
      <c r="A303" s="2995"/>
      <c r="B303" s="3286"/>
      <c r="C303" s="2993">
        <f t="shared" si="53"/>
        <v>1</v>
      </c>
      <c r="D303" s="3288"/>
      <c r="E303" s="2993">
        <f t="shared" si="54"/>
        <v>1</v>
      </c>
      <c r="F303" s="3288"/>
      <c r="G303" s="2993">
        <f t="shared" si="55"/>
        <v>1</v>
      </c>
      <c r="H303" s="3288"/>
      <c r="I303" s="2993">
        <f t="shared" si="56"/>
        <v>1</v>
      </c>
      <c r="J303" s="3288"/>
      <c r="K303" s="2993">
        <f t="shared" si="57"/>
        <v>1</v>
      </c>
      <c r="L303" s="3288"/>
      <c r="M303" s="2993">
        <f t="shared" si="58"/>
        <v>1</v>
      </c>
      <c r="N303" s="3288"/>
      <c r="O303" s="2993">
        <f t="shared" si="59"/>
        <v>1</v>
      </c>
      <c r="P303" s="3288"/>
      <c r="Q303" s="2993">
        <f t="shared" si="60"/>
        <v>1</v>
      </c>
      <c r="R303" s="2736">
        <f t="shared" si="61"/>
        <v>0</v>
      </c>
      <c r="S303" s="2867">
        <f t="shared" si="62"/>
        <v>0</v>
      </c>
    </row>
    <row r="304" spans="1:19">
      <c r="A304" s="2995"/>
      <c r="B304" s="3286"/>
      <c r="C304" s="2993">
        <f t="shared" si="53"/>
        <v>1</v>
      </c>
      <c r="D304" s="3288"/>
      <c r="E304" s="2993">
        <f t="shared" si="54"/>
        <v>1</v>
      </c>
      <c r="F304" s="3288"/>
      <c r="G304" s="2993">
        <f t="shared" si="55"/>
        <v>1</v>
      </c>
      <c r="H304" s="3288"/>
      <c r="I304" s="2993">
        <f t="shared" si="56"/>
        <v>1</v>
      </c>
      <c r="J304" s="3288"/>
      <c r="K304" s="2993">
        <f t="shared" si="57"/>
        <v>1</v>
      </c>
      <c r="L304" s="3288"/>
      <c r="M304" s="2993">
        <f t="shared" si="58"/>
        <v>1</v>
      </c>
      <c r="N304" s="3288"/>
      <c r="O304" s="2993">
        <f t="shared" si="59"/>
        <v>1</v>
      </c>
      <c r="P304" s="3288"/>
      <c r="Q304" s="2993">
        <f t="shared" si="60"/>
        <v>1</v>
      </c>
      <c r="R304" s="2736">
        <f t="shared" si="61"/>
        <v>0</v>
      </c>
      <c r="S304" s="2867">
        <f t="shared" si="62"/>
        <v>0</v>
      </c>
    </row>
    <row r="305" spans="1:19">
      <c r="A305" s="2995"/>
      <c r="B305" s="3286"/>
      <c r="C305" s="2993">
        <f t="shared" si="53"/>
        <v>1</v>
      </c>
      <c r="D305" s="3288"/>
      <c r="E305" s="2993">
        <f t="shared" si="54"/>
        <v>1</v>
      </c>
      <c r="F305" s="3288"/>
      <c r="G305" s="2993">
        <f t="shared" si="55"/>
        <v>1</v>
      </c>
      <c r="H305" s="3288"/>
      <c r="I305" s="2993">
        <f t="shared" si="56"/>
        <v>1</v>
      </c>
      <c r="J305" s="3288"/>
      <c r="K305" s="2993">
        <f t="shared" si="57"/>
        <v>1</v>
      </c>
      <c r="L305" s="3288"/>
      <c r="M305" s="2993">
        <f t="shared" si="58"/>
        <v>1</v>
      </c>
      <c r="N305" s="3288"/>
      <c r="O305" s="2993">
        <f t="shared" si="59"/>
        <v>1</v>
      </c>
      <c r="P305" s="3288"/>
      <c r="Q305" s="2993">
        <f t="shared" si="60"/>
        <v>1</v>
      </c>
      <c r="R305" s="2736">
        <f t="shared" si="61"/>
        <v>0</v>
      </c>
      <c r="S305" s="2867">
        <f t="shared" si="62"/>
        <v>0</v>
      </c>
    </row>
    <row r="306" spans="1:19">
      <c r="A306" s="2995"/>
      <c r="B306" s="3286"/>
      <c r="C306" s="2993">
        <f t="shared" si="53"/>
        <v>1</v>
      </c>
      <c r="D306" s="3288"/>
      <c r="E306" s="2993">
        <f t="shared" si="54"/>
        <v>1</v>
      </c>
      <c r="F306" s="3288"/>
      <c r="G306" s="2993">
        <f t="shared" si="55"/>
        <v>1</v>
      </c>
      <c r="H306" s="3288"/>
      <c r="I306" s="2993">
        <f t="shared" si="56"/>
        <v>1</v>
      </c>
      <c r="J306" s="3288"/>
      <c r="K306" s="2993">
        <f t="shared" si="57"/>
        <v>1</v>
      </c>
      <c r="L306" s="3288"/>
      <c r="M306" s="2993">
        <f t="shared" si="58"/>
        <v>1</v>
      </c>
      <c r="N306" s="3288"/>
      <c r="O306" s="2993">
        <f t="shared" si="59"/>
        <v>1</v>
      </c>
      <c r="P306" s="3288"/>
      <c r="Q306" s="2993">
        <f t="shared" si="60"/>
        <v>1</v>
      </c>
      <c r="R306" s="2736">
        <f t="shared" si="61"/>
        <v>0</v>
      </c>
      <c r="S306" s="2867">
        <f t="shared" si="62"/>
        <v>0</v>
      </c>
    </row>
    <row r="307" spans="1:19">
      <c r="A307" s="2995"/>
      <c r="B307" s="3286"/>
      <c r="C307" s="2993">
        <f t="shared" si="53"/>
        <v>1</v>
      </c>
      <c r="D307" s="3288"/>
      <c r="E307" s="2993">
        <f t="shared" si="54"/>
        <v>1</v>
      </c>
      <c r="F307" s="3288"/>
      <c r="G307" s="2993">
        <f t="shared" si="55"/>
        <v>1</v>
      </c>
      <c r="H307" s="3288"/>
      <c r="I307" s="2993">
        <f t="shared" si="56"/>
        <v>1</v>
      </c>
      <c r="J307" s="3288"/>
      <c r="K307" s="2993">
        <f t="shared" si="57"/>
        <v>1</v>
      </c>
      <c r="L307" s="3288"/>
      <c r="M307" s="2993">
        <f t="shared" si="58"/>
        <v>1</v>
      </c>
      <c r="N307" s="3288"/>
      <c r="O307" s="2993">
        <f t="shared" si="59"/>
        <v>1</v>
      </c>
      <c r="P307" s="3288"/>
      <c r="Q307" s="2993">
        <f t="shared" si="60"/>
        <v>1</v>
      </c>
      <c r="R307" s="2736">
        <f t="shared" si="61"/>
        <v>0</v>
      </c>
      <c r="S307" s="2867">
        <f t="shared" si="62"/>
        <v>0</v>
      </c>
    </row>
    <row r="308" spans="1:19">
      <c r="A308" s="2995"/>
      <c r="B308" s="3286"/>
      <c r="C308" s="2993">
        <f t="shared" si="53"/>
        <v>1</v>
      </c>
      <c r="D308" s="3288"/>
      <c r="E308" s="2993">
        <f t="shared" si="54"/>
        <v>1</v>
      </c>
      <c r="F308" s="3288"/>
      <c r="G308" s="2993">
        <f t="shared" si="55"/>
        <v>1</v>
      </c>
      <c r="H308" s="3288"/>
      <c r="I308" s="2993">
        <f t="shared" si="56"/>
        <v>1</v>
      </c>
      <c r="J308" s="3288"/>
      <c r="K308" s="2993">
        <f t="shared" si="57"/>
        <v>1</v>
      </c>
      <c r="L308" s="3288"/>
      <c r="M308" s="2993">
        <f t="shared" si="58"/>
        <v>1</v>
      </c>
      <c r="N308" s="3288"/>
      <c r="O308" s="2993">
        <f t="shared" si="59"/>
        <v>1</v>
      </c>
      <c r="P308" s="3288"/>
      <c r="Q308" s="2993">
        <f t="shared" si="60"/>
        <v>1</v>
      </c>
      <c r="R308" s="2736">
        <f t="shared" si="61"/>
        <v>0</v>
      </c>
      <c r="S308" s="2867">
        <f t="shared" si="62"/>
        <v>0</v>
      </c>
    </row>
    <row r="309" spans="1:19">
      <c r="A309" s="2995"/>
      <c r="B309" s="3286"/>
      <c r="C309" s="2993">
        <f t="shared" si="53"/>
        <v>1</v>
      </c>
      <c r="D309" s="3288"/>
      <c r="E309" s="2993">
        <f t="shared" si="54"/>
        <v>1</v>
      </c>
      <c r="F309" s="3288"/>
      <c r="G309" s="2993">
        <f t="shared" si="55"/>
        <v>1</v>
      </c>
      <c r="H309" s="3288"/>
      <c r="I309" s="2993">
        <f t="shared" si="56"/>
        <v>1</v>
      </c>
      <c r="J309" s="3288"/>
      <c r="K309" s="2993">
        <f t="shared" si="57"/>
        <v>1</v>
      </c>
      <c r="L309" s="3288"/>
      <c r="M309" s="2993">
        <f t="shared" si="58"/>
        <v>1</v>
      </c>
      <c r="N309" s="3288"/>
      <c r="O309" s="2993">
        <f t="shared" si="59"/>
        <v>1</v>
      </c>
      <c r="P309" s="3288"/>
      <c r="Q309" s="2993">
        <f t="shared" si="60"/>
        <v>1</v>
      </c>
      <c r="R309" s="2736">
        <f t="shared" si="61"/>
        <v>0</v>
      </c>
      <c r="S309" s="2867">
        <f t="shared" si="62"/>
        <v>0</v>
      </c>
    </row>
    <row r="310" spans="1:19">
      <c r="A310" s="2995"/>
      <c r="B310" s="3286"/>
      <c r="C310" s="2993">
        <f t="shared" si="53"/>
        <v>1</v>
      </c>
      <c r="D310" s="3288"/>
      <c r="E310" s="2993">
        <f t="shared" si="54"/>
        <v>1</v>
      </c>
      <c r="F310" s="3288"/>
      <c r="G310" s="2993">
        <f t="shared" si="55"/>
        <v>1</v>
      </c>
      <c r="H310" s="3288"/>
      <c r="I310" s="2993">
        <f t="shared" si="56"/>
        <v>1</v>
      </c>
      <c r="J310" s="3288"/>
      <c r="K310" s="2993">
        <f t="shared" si="57"/>
        <v>1</v>
      </c>
      <c r="L310" s="3288"/>
      <c r="M310" s="2993">
        <f t="shared" si="58"/>
        <v>1</v>
      </c>
      <c r="N310" s="3288"/>
      <c r="O310" s="2993">
        <f t="shared" si="59"/>
        <v>1</v>
      </c>
      <c r="P310" s="3288"/>
      <c r="Q310" s="2993">
        <f t="shared" si="60"/>
        <v>1</v>
      </c>
      <c r="R310" s="2736">
        <f t="shared" si="61"/>
        <v>0</v>
      </c>
      <c r="S310" s="2867">
        <f t="shared" si="62"/>
        <v>0</v>
      </c>
    </row>
    <row r="311" spans="1:19">
      <c r="A311" s="2995"/>
      <c r="B311" s="3286"/>
      <c r="C311" s="2993">
        <f t="shared" si="53"/>
        <v>1</v>
      </c>
      <c r="D311" s="3288"/>
      <c r="E311" s="2993">
        <f t="shared" si="54"/>
        <v>1</v>
      </c>
      <c r="F311" s="3288"/>
      <c r="G311" s="2993">
        <f t="shared" si="55"/>
        <v>1</v>
      </c>
      <c r="H311" s="3288"/>
      <c r="I311" s="2993">
        <f t="shared" si="56"/>
        <v>1</v>
      </c>
      <c r="J311" s="3288"/>
      <c r="K311" s="2993">
        <f t="shared" si="57"/>
        <v>1</v>
      </c>
      <c r="L311" s="3288"/>
      <c r="M311" s="2993">
        <f t="shared" si="58"/>
        <v>1</v>
      </c>
      <c r="N311" s="3288"/>
      <c r="O311" s="2993">
        <f t="shared" si="59"/>
        <v>1</v>
      </c>
      <c r="P311" s="3288"/>
      <c r="Q311" s="2993">
        <f t="shared" si="60"/>
        <v>1</v>
      </c>
      <c r="R311" s="2736">
        <f t="shared" si="61"/>
        <v>0</v>
      </c>
      <c r="S311" s="2867">
        <f t="shared" si="62"/>
        <v>0</v>
      </c>
    </row>
    <row r="312" spans="1:19">
      <c r="A312" s="2995"/>
      <c r="B312" s="3286"/>
      <c r="C312" s="2993">
        <f t="shared" si="53"/>
        <v>1</v>
      </c>
      <c r="D312" s="3288"/>
      <c r="E312" s="2993">
        <f t="shared" si="54"/>
        <v>1</v>
      </c>
      <c r="F312" s="3288"/>
      <c r="G312" s="2993">
        <f t="shared" si="55"/>
        <v>1</v>
      </c>
      <c r="H312" s="3288"/>
      <c r="I312" s="2993">
        <f t="shared" si="56"/>
        <v>1</v>
      </c>
      <c r="J312" s="3288"/>
      <c r="K312" s="2993">
        <f t="shared" si="57"/>
        <v>1</v>
      </c>
      <c r="L312" s="3288"/>
      <c r="M312" s="2993">
        <f t="shared" si="58"/>
        <v>1</v>
      </c>
      <c r="N312" s="3288"/>
      <c r="O312" s="2993">
        <f t="shared" si="59"/>
        <v>1</v>
      </c>
      <c r="P312" s="3288"/>
      <c r="Q312" s="2993">
        <f t="shared" si="60"/>
        <v>1</v>
      </c>
      <c r="R312" s="2736">
        <f t="shared" si="61"/>
        <v>0</v>
      </c>
      <c r="S312" s="2867">
        <f t="shared" si="62"/>
        <v>0</v>
      </c>
    </row>
    <row r="313" spans="1:19">
      <c r="A313" s="2995"/>
      <c r="B313" s="3286"/>
      <c r="C313" s="2993">
        <f t="shared" si="53"/>
        <v>1</v>
      </c>
      <c r="D313" s="3288"/>
      <c r="E313" s="2993">
        <f t="shared" si="54"/>
        <v>1</v>
      </c>
      <c r="F313" s="3288"/>
      <c r="G313" s="2993">
        <f t="shared" si="55"/>
        <v>1</v>
      </c>
      <c r="H313" s="3288"/>
      <c r="I313" s="2993">
        <f t="shared" si="56"/>
        <v>1</v>
      </c>
      <c r="J313" s="3288"/>
      <c r="K313" s="2993">
        <f t="shared" si="57"/>
        <v>1</v>
      </c>
      <c r="L313" s="3288"/>
      <c r="M313" s="2993">
        <f t="shared" si="58"/>
        <v>1</v>
      </c>
      <c r="N313" s="3288"/>
      <c r="O313" s="2993">
        <f t="shared" si="59"/>
        <v>1</v>
      </c>
      <c r="P313" s="3288"/>
      <c r="Q313" s="2993">
        <f t="shared" si="60"/>
        <v>1</v>
      </c>
      <c r="R313" s="2736">
        <f t="shared" si="61"/>
        <v>0</v>
      </c>
      <c r="S313" s="2867">
        <f t="shared" si="62"/>
        <v>0</v>
      </c>
    </row>
    <row r="314" spans="1:19">
      <c r="A314" s="2995"/>
      <c r="B314" s="3286"/>
      <c r="C314" s="2993">
        <f t="shared" si="53"/>
        <v>1</v>
      </c>
      <c r="D314" s="3288"/>
      <c r="E314" s="2993">
        <f t="shared" si="54"/>
        <v>1</v>
      </c>
      <c r="F314" s="3288"/>
      <c r="G314" s="2993">
        <f t="shared" si="55"/>
        <v>1</v>
      </c>
      <c r="H314" s="3288"/>
      <c r="I314" s="2993">
        <f t="shared" si="56"/>
        <v>1</v>
      </c>
      <c r="J314" s="3288"/>
      <c r="K314" s="2993">
        <f t="shared" si="57"/>
        <v>1</v>
      </c>
      <c r="L314" s="3288"/>
      <c r="M314" s="2993">
        <f t="shared" si="58"/>
        <v>1</v>
      </c>
      <c r="N314" s="3288"/>
      <c r="O314" s="2993">
        <f t="shared" si="59"/>
        <v>1</v>
      </c>
      <c r="P314" s="3288"/>
      <c r="Q314" s="2993">
        <f t="shared" si="60"/>
        <v>1</v>
      </c>
      <c r="R314" s="2736">
        <f t="shared" si="61"/>
        <v>0</v>
      </c>
      <c r="S314" s="2867">
        <f t="shared" si="62"/>
        <v>0</v>
      </c>
    </row>
    <row r="315" spans="1:19">
      <c r="A315" s="2995"/>
      <c r="B315" s="3286"/>
      <c r="C315" s="2993">
        <f t="shared" si="53"/>
        <v>1</v>
      </c>
      <c r="D315" s="3288"/>
      <c r="E315" s="2993">
        <f t="shared" si="54"/>
        <v>1</v>
      </c>
      <c r="F315" s="3288"/>
      <c r="G315" s="2993">
        <f t="shared" si="55"/>
        <v>1</v>
      </c>
      <c r="H315" s="3288"/>
      <c r="I315" s="2993">
        <f t="shared" si="56"/>
        <v>1</v>
      </c>
      <c r="J315" s="3288"/>
      <c r="K315" s="2993">
        <f t="shared" si="57"/>
        <v>1</v>
      </c>
      <c r="L315" s="3288"/>
      <c r="M315" s="2993">
        <f t="shared" si="58"/>
        <v>1</v>
      </c>
      <c r="N315" s="3288"/>
      <c r="O315" s="2993">
        <f t="shared" si="59"/>
        <v>1</v>
      </c>
      <c r="P315" s="3288"/>
      <c r="Q315" s="2993">
        <f t="shared" si="60"/>
        <v>1</v>
      </c>
      <c r="R315" s="2736">
        <f t="shared" si="61"/>
        <v>0</v>
      </c>
      <c r="S315" s="2867">
        <f t="shared" si="62"/>
        <v>0</v>
      </c>
    </row>
    <row r="316" spans="1:19">
      <c r="A316" s="2995"/>
      <c r="B316" s="3286"/>
      <c r="C316" s="2993">
        <f t="shared" si="53"/>
        <v>1</v>
      </c>
      <c r="D316" s="3288"/>
      <c r="E316" s="2993">
        <f t="shared" si="54"/>
        <v>1</v>
      </c>
      <c r="F316" s="3288"/>
      <c r="G316" s="2993">
        <f t="shared" si="55"/>
        <v>1</v>
      </c>
      <c r="H316" s="3288"/>
      <c r="I316" s="2993">
        <f t="shared" si="56"/>
        <v>1</v>
      </c>
      <c r="J316" s="3288"/>
      <c r="K316" s="2993">
        <f t="shared" si="57"/>
        <v>1</v>
      </c>
      <c r="L316" s="3288"/>
      <c r="M316" s="2993">
        <f t="shared" si="58"/>
        <v>1</v>
      </c>
      <c r="N316" s="3288"/>
      <c r="O316" s="2993">
        <f t="shared" si="59"/>
        <v>1</v>
      </c>
      <c r="P316" s="3288"/>
      <c r="Q316" s="2993">
        <f t="shared" si="60"/>
        <v>1</v>
      </c>
      <c r="R316" s="2736">
        <f t="shared" si="61"/>
        <v>0</v>
      </c>
      <c r="S316" s="2867">
        <f t="shared" si="62"/>
        <v>0</v>
      </c>
    </row>
    <row r="317" spans="1:19">
      <c r="A317" s="2995"/>
      <c r="B317" s="3286"/>
      <c r="C317" s="2993">
        <f t="shared" si="53"/>
        <v>1</v>
      </c>
      <c r="D317" s="3288"/>
      <c r="E317" s="2993">
        <f t="shared" si="54"/>
        <v>1</v>
      </c>
      <c r="F317" s="3288"/>
      <c r="G317" s="2993">
        <f t="shared" si="55"/>
        <v>1</v>
      </c>
      <c r="H317" s="3288"/>
      <c r="I317" s="2993">
        <f t="shared" si="56"/>
        <v>1</v>
      </c>
      <c r="J317" s="3288"/>
      <c r="K317" s="2993">
        <f t="shared" si="57"/>
        <v>1</v>
      </c>
      <c r="L317" s="3288"/>
      <c r="M317" s="2993">
        <f t="shared" si="58"/>
        <v>1</v>
      </c>
      <c r="N317" s="3288"/>
      <c r="O317" s="2993">
        <f t="shared" si="59"/>
        <v>1</v>
      </c>
      <c r="P317" s="3288"/>
      <c r="Q317" s="2993">
        <f t="shared" si="60"/>
        <v>1</v>
      </c>
      <c r="R317" s="2736">
        <f t="shared" si="61"/>
        <v>0</v>
      </c>
      <c r="S317" s="2867">
        <f t="shared" si="62"/>
        <v>0</v>
      </c>
    </row>
    <row r="318" spans="1:19">
      <c r="A318" s="2995"/>
      <c r="B318" s="3286"/>
      <c r="C318" s="2993">
        <f t="shared" si="53"/>
        <v>1</v>
      </c>
      <c r="D318" s="3288"/>
      <c r="E318" s="2993">
        <f t="shared" si="54"/>
        <v>1</v>
      </c>
      <c r="F318" s="3288"/>
      <c r="G318" s="2993">
        <f t="shared" si="55"/>
        <v>1</v>
      </c>
      <c r="H318" s="3288"/>
      <c r="I318" s="2993">
        <f t="shared" si="56"/>
        <v>1</v>
      </c>
      <c r="J318" s="3288"/>
      <c r="K318" s="2993">
        <f t="shared" si="57"/>
        <v>1</v>
      </c>
      <c r="L318" s="3288"/>
      <c r="M318" s="2993">
        <f t="shared" si="58"/>
        <v>1</v>
      </c>
      <c r="N318" s="3288"/>
      <c r="O318" s="2993">
        <f t="shared" si="59"/>
        <v>1</v>
      </c>
      <c r="P318" s="3288"/>
      <c r="Q318" s="2993">
        <f t="shared" si="60"/>
        <v>1</v>
      </c>
      <c r="R318" s="2736">
        <f t="shared" si="61"/>
        <v>0</v>
      </c>
      <c r="S318" s="2867">
        <f t="shared" si="62"/>
        <v>0</v>
      </c>
    </row>
    <row r="319" spans="1:19">
      <c r="A319" s="2995"/>
      <c r="B319" s="3286"/>
      <c r="C319" s="2993">
        <f t="shared" si="53"/>
        <v>1</v>
      </c>
      <c r="D319" s="3288"/>
      <c r="E319" s="2993">
        <f t="shared" si="54"/>
        <v>1</v>
      </c>
      <c r="F319" s="3288"/>
      <c r="G319" s="2993">
        <f t="shared" si="55"/>
        <v>1</v>
      </c>
      <c r="H319" s="3288"/>
      <c r="I319" s="2993">
        <f t="shared" si="56"/>
        <v>1</v>
      </c>
      <c r="J319" s="3288"/>
      <c r="K319" s="2993">
        <f t="shared" si="57"/>
        <v>1</v>
      </c>
      <c r="L319" s="3288"/>
      <c r="M319" s="2993">
        <f t="shared" si="58"/>
        <v>1</v>
      </c>
      <c r="N319" s="3288"/>
      <c r="O319" s="2993">
        <f t="shared" si="59"/>
        <v>1</v>
      </c>
      <c r="P319" s="3288"/>
      <c r="Q319" s="2993">
        <f t="shared" si="60"/>
        <v>1</v>
      </c>
      <c r="R319" s="2736">
        <f t="shared" si="61"/>
        <v>0</v>
      </c>
      <c r="S319" s="2867">
        <f t="shared" si="62"/>
        <v>0</v>
      </c>
    </row>
    <row r="320" spans="1:19">
      <c r="A320" s="2995"/>
      <c r="B320" s="3286"/>
      <c r="C320" s="2993">
        <f t="shared" si="53"/>
        <v>1</v>
      </c>
      <c r="D320" s="3288"/>
      <c r="E320" s="2993">
        <f t="shared" si="54"/>
        <v>1</v>
      </c>
      <c r="F320" s="3288"/>
      <c r="G320" s="2993">
        <f t="shared" si="55"/>
        <v>1</v>
      </c>
      <c r="H320" s="3288"/>
      <c r="I320" s="2993">
        <f t="shared" si="56"/>
        <v>1</v>
      </c>
      <c r="J320" s="3288"/>
      <c r="K320" s="2993">
        <f t="shared" si="57"/>
        <v>1</v>
      </c>
      <c r="L320" s="3288"/>
      <c r="M320" s="2993">
        <f t="shared" si="58"/>
        <v>1</v>
      </c>
      <c r="N320" s="3288"/>
      <c r="O320" s="2993">
        <f t="shared" si="59"/>
        <v>1</v>
      </c>
      <c r="P320" s="3288"/>
      <c r="Q320" s="2993">
        <f t="shared" si="60"/>
        <v>1</v>
      </c>
      <c r="R320" s="2736">
        <f t="shared" si="61"/>
        <v>0</v>
      </c>
      <c r="S320" s="2867">
        <f t="shared" si="62"/>
        <v>0</v>
      </c>
    </row>
    <row r="321" spans="1:19">
      <c r="A321" s="2995"/>
      <c r="B321" s="3286"/>
      <c r="C321" s="2993">
        <f t="shared" si="53"/>
        <v>1</v>
      </c>
      <c r="D321" s="3288"/>
      <c r="E321" s="2993">
        <f t="shared" si="54"/>
        <v>1</v>
      </c>
      <c r="F321" s="3288"/>
      <c r="G321" s="2993">
        <f t="shared" si="55"/>
        <v>1</v>
      </c>
      <c r="H321" s="3288"/>
      <c r="I321" s="2993">
        <f t="shared" si="56"/>
        <v>1</v>
      </c>
      <c r="J321" s="3288"/>
      <c r="K321" s="2993">
        <f t="shared" si="57"/>
        <v>1</v>
      </c>
      <c r="L321" s="3288"/>
      <c r="M321" s="2993">
        <f t="shared" si="58"/>
        <v>1</v>
      </c>
      <c r="N321" s="3288"/>
      <c r="O321" s="2993">
        <f t="shared" si="59"/>
        <v>1</v>
      </c>
      <c r="P321" s="3288"/>
      <c r="Q321" s="2993">
        <f t="shared" si="60"/>
        <v>1</v>
      </c>
      <c r="R321" s="2736">
        <f t="shared" si="61"/>
        <v>0</v>
      </c>
      <c r="S321" s="2867">
        <f t="shared" ref="S321:S384" si="63">ROUND(R321*B321/10000,0)</f>
        <v>0</v>
      </c>
    </row>
    <row r="322" spans="1:19">
      <c r="A322" s="2995"/>
      <c r="B322" s="3286"/>
      <c r="C322" s="2993">
        <f t="shared" si="53"/>
        <v>1</v>
      </c>
      <c r="D322" s="3288"/>
      <c r="E322" s="2993">
        <f t="shared" si="54"/>
        <v>1</v>
      </c>
      <c r="F322" s="3288"/>
      <c r="G322" s="2993">
        <f t="shared" si="55"/>
        <v>1</v>
      </c>
      <c r="H322" s="3288"/>
      <c r="I322" s="2993">
        <f t="shared" si="56"/>
        <v>1</v>
      </c>
      <c r="J322" s="3288"/>
      <c r="K322" s="2993">
        <f t="shared" si="57"/>
        <v>1</v>
      </c>
      <c r="L322" s="3288"/>
      <c r="M322" s="2993">
        <f t="shared" si="58"/>
        <v>1</v>
      </c>
      <c r="N322" s="3288"/>
      <c r="O322" s="2993">
        <f t="shared" si="59"/>
        <v>1</v>
      </c>
      <c r="P322" s="3288"/>
      <c r="Q322" s="2993">
        <f t="shared" si="60"/>
        <v>1</v>
      </c>
      <c r="R322" s="2736">
        <f t="shared" si="61"/>
        <v>0</v>
      </c>
      <c r="S322" s="2867">
        <f t="shared" si="63"/>
        <v>0</v>
      </c>
    </row>
    <row r="323" spans="1:19">
      <c r="A323" s="2995"/>
      <c r="B323" s="3286"/>
      <c r="C323" s="2993">
        <f t="shared" si="53"/>
        <v>1</v>
      </c>
      <c r="D323" s="3288"/>
      <c r="E323" s="2993">
        <f t="shared" si="54"/>
        <v>1</v>
      </c>
      <c r="F323" s="3288"/>
      <c r="G323" s="2993">
        <f t="shared" si="55"/>
        <v>1</v>
      </c>
      <c r="H323" s="3288"/>
      <c r="I323" s="2993">
        <f t="shared" si="56"/>
        <v>1</v>
      </c>
      <c r="J323" s="3288"/>
      <c r="K323" s="2993">
        <f t="shared" si="57"/>
        <v>1</v>
      </c>
      <c r="L323" s="3288"/>
      <c r="M323" s="2993">
        <f t="shared" si="58"/>
        <v>1</v>
      </c>
      <c r="N323" s="3288"/>
      <c r="O323" s="2993">
        <f t="shared" si="59"/>
        <v>1</v>
      </c>
      <c r="P323" s="3288"/>
      <c r="Q323" s="2993">
        <f t="shared" si="60"/>
        <v>1</v>
      </c>
      <c r="R323" s="2736">
        <f t="shared" si="61"/>
        <v>0</v>
      </c>
      <c r="S323" s="2867">
        <f t="shared" si="63"/>
        <v>0</v>
      </c>
    </row>
    <row r="324" spans="1:19">
      <c r="A324" s="2995"/>
      <c r="B324" s="3286"/>
      <c r="C324" s="2993">
        <f t="shared" si="53"/>
        <v>1</v>
      </c>
      <c r="D324" s="3288"/>
      <c r="E324" s="2993">
        <f t="shared" si="54"/>
        <v>1</v>
      </c>
      <c r="F324" s="3288"/>
      <c r="G324" s="2993">
        <f t="shared" si="55"/>
        <v>1</v>
      </c>
      <c r="H324" s="3288"/>
      <c r="I324" s="2993">
        <f t="shared" si="56"/>
        <v>1</v>
      </c>
      <c r="J324" s="3288"/>
      <c r="K324" s="2993">
        <f t="shared" si="57"/>
        <v>1</v>
      </c>
      <c r="L324" s="3288"/>
      <c r="M324" s="2993">
        <f t="shared" si="58"/>
        <v>1</v>
      </c>
      <c r="N324" s="3288"/>
      <c r="O324" s="2993">
        <f t="shared" si="59"/>
        <v>1</v>
      </c>
      <c r="P324" s="3288"/>
      <c r="Q324" s="2993">
        <f t="shared" si="60"/>
        <v>1</v>
      </c>
      <c r="R324" s="2736">
        <f t="shared" si="61"/>
        <v>0</v>
      </c>
      <c r="S324" s="2867">
        <f t="shared" si="63"/>
        <v>0</v>
      </c>
    </row>
    <row r="325" spans="1:19">
      <c r="A325" s="2995"/>
      <c r="B325" s="3286"/>
      <c r="C325" s="2993">
        <f t="shared" si="53"/>
        <v>1</v>
      </c>
      <c r="D325" s="3288"/>
      <c r="E325" s="2993">
        <f t="shared" si="54"/>
        <v>1</v>
      </c>
      <c r="F325" s="3288"/>
      <c r="G325" s="2993">
        <f t="shared" si="55"/>
        <v>1</v>
      </c>
      <c r="H325" s="3288"/>
      <c r="I325" s="2993">
        <f t="shared" si="56"/>
        <v>1</v>
      </c>
      <c r="J325" s="3288"/>
      <c r="K325" s="2993">
        <f t="shared" si="57"/>
        <v>1</v>
      </c>
      <c r="L325" s="3288"/>
      <c r="M325" s="2993">
        <f t="shared" si="58"/>
        <v>1</v>
      </c>
      <c r="N325" s="3288"/>
      <c r="O325" s="2993">
        <f t="shared" si="59"/>
        <v>1</v>
      </c>
      <c r="P325" s="3288"/>
      <c r="Q325" s="2993">
        <f t="shared" si="60"/>
        <v>1</v>
      </c>
      <c r="R325" s="2736">
        <f t="shared" si="61"/>
        <v>0</v>
      </c>
      <c r="S325" s="2867">
        <f t="shared" si="63"/>
        <v>0</v>
      </c>
    </row>
    <row r="326" spans="1:19">
      <c r="A326" s="2995"/>
      <c r="B326" s="3286"/>
      <c r="C326" s="2993">
        <f t="shared" si="53"/>
        <v>1</v>
      </c>
      <c r="D326" s="3288"/>
      <c r="E326" s="2993">
        <f t="shared" si="54"/>
        <v>1</v>
      </c>
      <c r="F326" s="3288"/>
      <c r="G326" s="2993">
        <f t="shared" si="55"/>
        <v>1</v>
      </c>
      <c r="H326" s="3288"/>
      <c r="I326" s="2993">
        <f t="shared" si="56"/>
        <v>1</v>
      </c>
      <c r="J326" s="3288"/>
      <c r="K326" s="2993">
        <f t="shared" si="57"/>
        <v>1</v>
      </c>
      <c r="L326" s="3288"/>
      <c r="M326" s="2993">
        <f t="shared" si="58"/>
        <v>1</v>
      </c>
      <c r="N326" s="3288"/>
      <c r="O326" s="2993">
        <f t="shared" si="59"/>
        <v>1</v>
      </c>
      <c r="P326" s="3288"/>
      <c r="Q326" s="2993">
        <f t="shared" si="60"/>
        <v>1</v>
      </c>
      <c r="R326" s="2736">
        <f t="shared" si="61"/>
        <v>0</v>
      </c>
      <c r="S326" s="2867">
        <f t="shared" si="63"/>
        <v>0</v>
      </c>
    </row>
    <row r="327" spans="1:19">
      <c r="A327" s="2995"/>
      <c r="B327" s="3286"/>
      <c r="C327" s="2993">
        <f t="shared" si="53"/>
        <v>1</v>
      </c>
      <c r="D327" s="3288"/>
      <c r="E327" s="2993">
        <f t="shared" si="54"/>
        <v>1</v>
      </c>
      <c r="F327" s="3288"/>
      <c r="G327" s="2993">
        <f t="shared" si="55"/>
        <v>1</v>
      </c>
      <c r="H327" s="3288"/>
      <c r="I327" s="2993">
        <f t="shared" si="56"/>
        <v>1</v>
      </c>
      <c r="J327" s="3288"/>
      <c r="K327" s="2993">
        <f t="shared" si="57"/>
        <v>1</v>
      </c>
      <c r="L327" s="3288"/>
      <c r="M327" s="2993">
        <f t="shared" si="58"/>
        <v>1</v>
      </c>
      <c r="N327" s="3288"/>
      <c r="O327" s="2993">
        <f t="shared" si="59"/>
        <v>1</v>
      </c>
      <c r="P327" s="3288"/>
      <c r="Q327" s="2993">
        <f t="shared" si="60"/>
        <v>1</v>
      </c>
      <c r="R327" s="2736">
        <f t="shared" si="61"/>
        <v>0</v>
      </c>
      <c r="S327" s="2867">
        <f t="shared" si="63"/>
        <v>0</v>
      </c>
    </row>
    <row r="328" spans="1:19">
      <c r="A328" s="2995"/>
      <c r="B328" s="3286"/>
      <c r="C328" s="2993">
        <f t="shared" si="53"/>
        <v>1</v>
      </c>
      <c r="D328" s="3288"/>
      <c r="E328" s="2993">
        <f t="shared" si="54"/>
        <v>1</v>
      </c>
      <c r="F328" s="3288"/>
      <c r="G328" s="2993">
        <f t="shared" si="55"/>
        <v>1</v>
      </c>
      <c r="H328" s="3288"/>
      <c r="I328" s="2993">
        <f t="shared" si="56"/>
        <v>1</v>
      </c>
      <c r="J328" s="3288"/>
      <c r="K328" s="2993">
        <f t="shared" si="57"/>
        <v>1</v>
      </c>
      <c r="L328" s="3288"/>
      <c r="M328" s="2993">
        <f t="shared" si="58"/>
        <v>1</v>
      </c>
      <c r="N328" s="3288"/>
      <c r="O328" s="2993">
        <f t="shared" si="59"/>
        <v>1</v>
      </c>
      <c r="P328" s="3288"/>
      <c r="Q328" s="2993">
        <f t="shared" si="60"/>
        <v>1</v>
      </c>
      <c r="R328" s="2736">
        <f t="shared" si="61"/>
        <v>0</v>
      </c>
      <c r="S328" s="2867">
        <f t="shared" si="63"/>
        <v>0</v>
      </c>
    </row>
    <row r="329" spans="1:19">
      <c r="A329" s="2995"/>
      <c r="B329" s="3286"/>
      <c r="C329" s="2993">
        <f t="shared" si="53"/>
        <v>1</v>
      </c>
      <c r="D329" s="3288"/>
      <c r="E329" s="2993">
        <f t="shared" si="54"/>
        <v>1</v>
      </c>
      <c r="F329" s="3288"/>
      <c r="G329" s="2993">
        <f t="shared" si="55"/>
        <v>1</v>
      </c>
      <c r="H329" s="3288"/>
      <c r="I329" s="2993">
        <f t="shared" si="56"/>
        <v>1</v>
      </c>
      <c r="J329" s="3288"/>
      <c r="K329" s="2993">
        <f t="shared" si="57"/>
        <v>1</v>
      </c>
      <c r="L329" s="3288"/>
      <c r="M329" s="2993">
        <f t="shared" si="58"/>
        <v>1</v>
      </c>
      <c r="N329" s="3288"/>
      <c r="O329" s="2993">
        <f t="shared" si="59"/>
        <v>1</v>
      </c>
      <c r="P329" s="3288"/>
      <c r="Q329" s="2993">
        <f t="shared" si="60"/>
        <v>1</v>
      </c>
      <c r="R329" s="2736">
        <f t="shared" si="61"/>
        <v>0</v>
      </c>
      <c r="S329" s="2867">
        <f t="shared" si="63"/>
        <v>0</v>
      </c>
    </row>
    <row r="330" spans="1:19">
      <c r="A330" s="2995"/>
      <c r="B330" s="3286"/>
      <c r="C330" s="2993">
        <f t="shared" si="53"/>
        <v>1</v>
      </c>
      <c r="D330" s="3288"/>
      <c r="E330" s="2993">
        <f t="shared" si="54"/>
        <v>1</v>
      </c>
      <c r="F330" s="3288"/>
      <c r="G330" s="2993">
        <f t="shared" si="55"/>
        <v>1</v>
      </c>
      <c r="H330" s="3288"/>
      <c r="I330" s="2993">
        <f t="shared" si="56"/>
        <v>1</v>
      </c>
      <c r="J330" s="3288"/>
      <c r="K330" s="2993">
        <f t="shared" si="57"/>
        <v>1</v>
      </c>
      <c r="L330" s="3288"/>
      <c r="M330" s="2993">
        <f t="shared" si="58"/>
        <v>1</v>
      </c>
      <c r="N330" s="3288"/>
      <c r="O330" s="2993">
        <f t="shared" si="59"/>
        <v>1</v>
      </c>
      <c r="P330" s="3288"/>
      <c r="Q330" s="2993">
        <f t="shared" si="60"/>
        <v>1</v>
      </c>
      <c r="R330" s="2736">
        <f t="shared" si="61"/>
        <v>0</v>
      </c>
      <c r="S330" s="2867">
        <f t="shared" si="63"/>
        <v>0</v>
      </c>
    </row>
    <row r="331" spans="1:19">
      <c r="A331" s="2995"/>
      <c r="B331" s="3286"/>
      <c r="C331" s="2993">
        <f t="shared" si="53"/>
        <v>1</v>
      </c>
      <c r="D331" s="3288"/>
      <c r="E331" s="2993">
        <f t="shared" si="54"/>
        <v>1</v>
      </c>
      <c r="F331" s="3288"/>
      <c r="G331" s="2993">
        <f t="shared" si="55"/>
        <v>1</v>
      </c>
      <c r="H331" s="3288"/>
      <c r="I331" s="2993">
        <f t="shared" si="56"/>
        <v>1</v>
      </c>
      <c r="J331" s="3288"/>
      <c r="K331" s="2993">
        <f t="shared" si="57"/>
        <v>1</v>
      </c>
      <c r="L331" s="3288"/>
      <c r="M331" s="2993">
        <f t="shared" si="58"/>
        <v>1</v>
      </c>
      <c r="N331" s="3288"/>
      <c r="O331" s="2993">
        <f t="shared" si="59"/>
        <v>1</v>
      </c>
      <c r="P331" s="3288"/>
      <c r="Q331" s="2993">
        <f t="shared" si="60"/>
        <v>1</v>
      </c>
      <c r="R331" s="2736">
        <f t="shared" si="61"/>
        <v>0</v>
      </c>
      <c r="S331" s="2867">
        <f t="shared" si="63"/>
        <v>0</v>
      </c>
    </row>
    <row r="332" spans="1:19">
      <c r="A332" s="2995"/>
      <c r="B332" s="3286"/>
      <c r="C332" s="2993">
        <f t="shared" si="53"/>
        <v>1</v>
      </c>
      <c r="D332" s="3288"/>
      <c r="E332" s="2993">
        <f t="shared" si="54"/>
        <v>1</v>
      </c>
      <c r="F332" s="3288"/>
      <c r="G332" s="2993">
        <f t="shared" si="55"/>
        <v>1</v>
      </c>
      <c r="H332" s="3288"/>
      <c r="I332" s="2993">
        <f t="shared" si="56"/>
        <v>1</v>
      </c>
      <c r="J332" s="3288"/>
      <c r="K332" s="2993">
        <f t="shared" si="57"/>
        <v>1</v>
      </c>
      <c r="L332" s="3288"/>
      <c r="M332" s="2993">
        <f t="shared" si="58"/>
        <v>1</v>
      </c>
      <c r="N332" s="3288"/>
      <c r="O332" s="2993">
        <f t="shared" si="59"/>
        <v>1</v>
      </c>
      <c r="P332" s="3288"/>
      <c r="Q332" s="2993">
        <f t="shared" si="60"/>
        <v>1</v>
      </c>
      <c r="R332" s="2736">
        <f t="shared" si="61"/>
        <v>0</v>
      </c>
      <c r="S332" s="2867">
        <f t="shared" si="63"/>
        <v>0</v>
      </c>
    </row>
    <row r="333" spans="1:19">
      <c r="A333" s="2995"/>
      <c r="B333" s="3286"/>
      <c r="C333" s="2993">
        <f t="shared" si="53"/>
        <v>1</v>
      </c>
      <c r="D333" s="3288"/>
      <c r="E333" s="2993">
        <f t="shared" si="54"/>
        <v>1</v>
      </c>
      <c r="F333" s="3288"/>
      <c r="G333" s="2993">
        <f t="shared" si="55"/>
        <v>1</v>
      </c>
      <c r="H333" s="3288"/>
      <c r="I333" s="2993">
        <f t="shared" si="56"/>
        <v>1</v>
      </c>
      <c r="J333" s="3288"/>
      <c r="K333" s="2993">
        <f t="shared" si="57"/>
        <v>1</v>
      </c>
      <c r="L333" s="3288"/>
      <c r="M333" s="2993">
        <f t="shared" si="58"/>
        <v>1</v>
      </c>
      <c r="N333" s="3288"/>
      <c r="O333" s="2993">
        <f t="shared" si="59"/>
        <v>1</v>
      </c>
      <c r="P333" s="3288"/>
      <c r="Q333" s="2993">
        <f t="shared" si="60"/>
        <v>1</v>
      </c>
      <c r="R333" s="2736">
        <f t="shared" si="61"/>
        <v>0</v>
      </c>
      <c r="S333" s="2867">
        <f t="shared" si="63"/>
        <v>0</v>
      </c>
    </row>
    <row r="334" spans="1:19">
      <c r="A334" s="2995"/>
      <c r="B334" s="3286"/>
      <c r="C334" s="2993">
        <f t="shared" si="53"/>
        <v>1</v>
      </c>
      <c r="D334" s="3288"/>
      <c r="E334" s="2993">
        <f t="shared" si="54"/>
        <v>1</v>
      </c>
      <c r="F334" s="3288"/>
      <c r="G334" s="2993">
        <f t="shared" si="55"/>
        <v>1</v>
      </c>
      <c r="H334" s="3288"/>
      <c r="I334" s="2993">
        <f t="shared" si="56"/>
        <v>1</v>
      </c>
      <c r="J334" s="3288"/>
      <c r="K334" s="2993">
        <f t="shared" si="57"/>
        <v>1</v>
      </c>
      <c r="L334" s="3288"/>
      <c r="M334" s="2993">
        <f t="shared" si="58"/>
        <v>1</v>
      </c>
      <c r="N334" s="3288"/>
      <c r="O334" s="2993">
        <f t="shared" si="59"/>
        <v>1</v>
      </c>
      <c r="P334" s="3288"/>
      <c r="Q334" s="2993">
        <f t="shared" si="60"/>
        <v>1</v>
      </c>
      <c r="R334" s="2736">
        <f t="shared" si="61"/>
        <v>0</v>
      </c>
      <c r="S334" s="2867">
        <f t="shared" si="63"/>
        <v>0</v>
      </c>
    </row>
    <row r="335" spans="1:19">
      <c r="A335" s="2995"/>
      <c r="B335" s="3286"/>
      <c r="C335" s="2993">
        <f t="shared" si="53"/>
        <v>1</v>
      </c>
      <c r="D335" s="3288"/>
      <c r="E335" s="2993">
        <f t="shared" si="54"/>
        <v>1</v>
      </c>
      <c r="F335" s="3288"/>
      <c r="G335" s="2993">
        <f t="shared" si="55"/>
        <v>1</v>
      </c>
      <c r="H335" s="3288"/>
      <c r="I335" s="2993">
        <f t="shared" si="56"/>
        <v>1</v>
      </c>
      <c r="J335" s="3288"/>
      <c r="K335" s="2993">
        <f t="shared" si="57"/>
        <v>1</v>
      </c>
      <c r="L335" s="3288"/>
      <c r="M335" s="2993">
        <f t="shared" si="58"/>
        <v>1</v>
      </c>
      <c r="N335" s="3288"/>
      <c r="O335" s="2993">
        <f t="shared" si="59"/>
        <v>1</v>
      </c>
      <c r="P335" s="3288"/>
      <c r="Q335" s="2993">
        <f t="shared" si="60"/>
        <v>1</v>
      </c>
      <c r="R335" s="2736">
        <f t="shared" si="61"/>
        <v>0</v>
      </c>
      <c r="S335" s="2867">
        <f t="shared" si="63"/>
        <v>0</v>
      </c>
    </row>
    <row r="336" spans="1:19">
      <c r="A336" s="2995"/>
      <c r="B336" s="3286"/>
      <c r="C336" s="2993">
        <f t="shared" si="53"/>
        <v>1</v>
      </c>
      <c r="D336" s="3288"/>
      <c r="E336" s="2993">
        <f t="shared" si="54"/>
        <v>1</v>
      </c>
      <c r="F336" s="3288"/>
      <c r="G336" s="2993">
        <f t="shared" si="55"/>
        <v>1</v>
      </c>
      <c r="H336" s="3288"/>
      <c r="I336" s="2993">
        <f t="shared" si="56"/>
        <v>1</v>
      </c>
      <c r="J336" s="3288"/>
      <c r="K336" s="2993">
        <f t="shared" si="57"/>
        <v>1</v>
      </c>
      <c r="L336" s="3288"/>
      <c r="M336" s="2993">
        <f t="shared" si="58"/>
        <v>1</v>
      </c>
      <c r="N336" s="3288"/>
      <c r="O336" s="2993">
        <f t="shared" si="59"/>
        <v>1</v>
      </c>
      <c r="P336" s="3288"/>
      <c r="Q336" s="2993">
        <f t="shared" si="60"/>
        <v>1</v>
      </c>
      <c r="R336" s="2736">
        <f t="shared" si="61"/>
        <v>0</v>
      </c>
      <c r="S336" s="2867">
        <f t="shared" si="63"/>
        <v>0</v>
      </c>
    </row>
    <row r="337" spans="1:19">
      <c r="A337" s="2995"/>
      <c r="B337" s="3286"/>
      <c r="C337" s="2993">
        <f t="shared" si="53"/>
        <v>1</v>
      </c>
      <c r="D337" s="3288"/>
      <c r="E337" s="2993">
        <f t="shared" si="54"/>
        <v>1</v>
      </c>
      <c r="F337" s="3288"/>
      <c r="G337" s="2993">
        <f t="shared" si="55"/>
        <v>1</v>
      </c>
      <c r="H337" s="3288"/>
      <c r="I337" s="2993">
        <f t="shared" si="56"/>
        <v>1</v>
      </c>
      <c r="J337" s="3288"/>
      <c r="K337" s="2993">
        <f t="shared" si="57"/>
        <v>1</v>
      </c>
      <c r="L337" s="3288"/>
      <c r="M337" s="2993">
        <f t="shared" si="58"/>
        <v>1</v>
      </c>
      <c r="N337" s="3288"/>
      <c r="O337" s="2993">
        <f t="shared" si="59"/>
        <v>1</v>
      </c>
      <c r="P337" s="3288"/>
      <c r="Q337" s="2993">
        <f t="shared" si="60"/>
        <v>1</v>
      </c>
      <c r="R337" s="2736">
        <f t="shared" si="61"/>
        <v>0</v>
      </c>
      <c r="S337" s="2867">
        <f t="shared" si="63"/>
        <v>0</v>
      </c>
    </row>
    <row r="338" spans="1:19">
      <c r="A338" s="2995"/>
      <c r="B338" s="3286"/>
      <c r="C338" s="2993">
        <f t="shared" si="53"/>
        <v>1</v>
      </c>
      <c r="D338" s="3288"/>
      <c r="E338" s="2993">
        <f t="shared" si="54"/>
        <v>1</v>
      </c>
      <c r="F338" s="3288"/>
      <c r="G338" s="2993">
        <f t="shared" si="55"/>
        <v>1</v>
      </c>
      <c r="H338" s="3288"/>
      <c r="I338" s="2993">
        <f t="shared" si="56"/>
        <v>1</v>
      </c>
      <c r="J338" s="3288"/>
      <c r="K338" s="2993">
        <f t="shared" si="57"/>
        <v>1</v>
      </c>
      <c r="L338" s="3288"/>
      <c r="M338" s="2993">
        <f t="shared" si="58"/>
        <v>1</v>
      </c>
      <c r="N338" s="3288"/>
      <c r="O338" s="2993">
        <f t="shared" si="59"/>
        <v>1</v>
      </c>
      <c r="P338" s="3288"/>
      <c r="Q338" s="2993">
        <f t="shared" si="60"/>
        <v>1</v>
      </c>
      <c r="R338" s="2736">
        <f t="shared" si="61"/>
        <v>0</v>
      </c>
      <c r="S338" s="2867">
        <f t="shared" si="63"/>
        <v>0</v>
      </c>
    </row>
    <row r="339" spans="1:19">
      <c r="A339" s="2995"/>
      <c r="B339" s="3286"/>
      <c r="C339" s="2993">
        <f t="shared" si="53"/>
        <v>1</v>
      </c>
      <c r="D339" s="3288"/>
      <c r="E339" s="2993">
        <f t="shared" si="54"/>
        <v>1</v>
      </c>
      <c r="F339" s="3288"/>
      <c r="G339" s="2993">
        <f t="shared" si="55"/>
        <v>1</v>
      </c>
      <c r="H339" s="3288"/>
      <c r="I339" s="2993">
        <f t="shared" si="56"/>
        <v>1</v>
      </c>
      <c r="J339" s="3288"/>
      <c r="K339" s="2993">
        <f t="shared" si="57"/>
        <v>1</v>
      </c>
      <c r="L339" s="3288"/>
      <c r="M339" s="2993">
        <f t="shared" si="58"/>
        <v>1</v>
      </c>
      <c r="N339" s="3288"/>
      <c r="O339" s="2993">
        <f t="shared" si="59"/>
        <v>1</v>
      </c>
      <c r="P339" s="3288"/>
      <c r="Q339" s="2993">
        <f t="shared" si="60"/>
        <v>1</v>
      </c>
      <c r="R339" s="2736">
        <f t="shared" si="61"/>
        <v>0</v>
      </c>
      <c r="S339" s="2867">
        <f t="shared" si="63"/>
        <v>0</v>
      </c>
    </row>
    <row r="340" spans="1:19">
      <c r="A340" s="2995"/>
      <c r="B340" s="3286"/>
      <c r="C340" s="2993">
        <f t="shared" si="53"/>
        <v>1</v>
      </c>
      <c r="D340" s="3288"/>
      <c r="E340" s="2993">
        <f t="shared" si="54"/>
        <v>1</v>
      </c>
      <c r="F340" s="3288"/>
      <c r="G340" s="2993">
        <f t="shared" si="55"/>
        <v>1</v>
      </c>
      <c r="H340" s="3288"/>
      <c r="I340" s="2993">
        <f t="shared" si="56"/>
        <v>1</v>
      </c>
      <c r="J340" s="3288"/>
      <c r="K340" s="2993">
        <f t="shared" si="57"/>
        <v>1</v>
      </c>
      <c r="L340" s="3288"/>
      <c r="M340" s="2993">
        <f t="shared" si="58"/>
        <v>1</v>
      </c>
      <c r="N340" s="3288"/>
      <c r="O340" s="2993">
        <f t="shared" si="59"/>
        <v>1</v>
      </c>
      <c r="P340" s="3288"/>
      <c r="Q340" s="2993">
        <f t="shared" si="60"/>
        <v>1</v>
      </c>
      <c r="R340" s="2736">
        <f t="shared" si="61"/>
        <v>0</v>
      </c>
      <c r="S340" s="2867">
        <f t="shared" si="63"/>
        <v>0</v>
      </c>
    </row>
    <row r="341" spans="1:19">
      <c r="A341" s="2995"/>
      <c r="B341" s="3286"/>
      <c r="C341" s="2993">
        <f t="shared" si="53"/>
        <v>1</v>
      </c>
      <c r="D341" s="3288"/>
      <c r="E341" s="2993">
        <f t="shared" si="54"/>
        <v>1</v>
      </c>
      <c r="F341" s="3288"/>
      <c r="G341" s="2993">
        <f t="shared" si="55"/>
        <v>1</v>
      </c>
      <c r="H341" s="3288"/>
      <c r="I341" s="2993">
        <f t="shared" si="56"/>
        <v>1</v>
      </c>
      <c r="J341" s="3288"/>
      <c r="K341" s="2993">
        <f t="shared" si="57"/>
        <v>1</v>
      </c>
      <c r="L341" s="3288"/>
      <c r="M341" s="2993">
        <f t="shared" si="58"/>
        <v>1</v>
      </c>
      <c r="N341" s="3288"/>
      <c r="O341" s="2993">
        <f t="shared" si="59"/>
        <v>1</v>
      </c>
      <c r="P341" s="3288"/>
      <c r="Q341" s="2993">
        <f t="shared" si="60"/>
        <v>1</v>
      </c>
      <c r="R341" s="2736">
        <f t="shared" si="61"/>
        <v>0</v>
      </c>
      <c r="S341" s="2867">
        <f t="shared" si="63"/>
        <v>0</v>
      </c>
    </row>
    <row r="342" spans="1:19">
      <c r="A342" s="2995"/>
      <c r="B342" s="3286"/>
      <c r="C342" s="2993">
        <f t="shared" si="53"/>
        <v>1</v>
      </c>
      <c r="D342" s="3288"/>
      <c r="E342" s="2993">
        <f t="shared" si="54"/>
        <v>1</v>
      </c>
      <c r="F342" s="3288"/>
      <c r="G342" s="2993">
        <f t="shared" si="55"/>
        <v>1</v>
      </c>
      <c r="H342" s="3288"/>
      <c r="I342" s="2993">
        <f t="shared" si="56"/>
        <v>1</v>
      </c>
      <c r="J342" s="3288"/>
      <c r="K342" s="2993">
        <f t="shared" si="57"/>
        <v>1</v>
      </c>
      <c r="L342" s="3288"/>
      <c r="M342" s="2993">
        <f t="shared" si="58"/>
        <v>1</v>
      </c>
      <c r="N342" s="3288"/>
      <c r="O342" s="2993">
        <f t="shared" si="59"/>
        <v>1</v>
      </c>
      <c r="P342" s="3288"/>
      <c r="Q342" s="2993">
        <f t="shared" si="60"/>
        <v>1</v>
      </c>
      <c r="R342" s="2736">
        <f t="shared" si="61"/>
        <v>0</v>
      </c>
      <c r="S342" s="2867">
        <f t="shared" si="63"/>
        <v>0</v>
      </c>
    </row>
    <row r="343" spans="1:19">
      <c r="A343" s="2995"/>
      <c r="B343" s="3286"/>
      <c r="C343" s="2993">
        <f t="shared" si="53"/>
        <v>1</v>
      </c>
      <c r="D343" s="3288"/>
      <c r="E343" s="2993">
        <f t="shared" si="54"/>
        <v>1</v>
      </c>
      <c r="F343" s="3288"/>
      <c r="G343" s="2993">
        <f t="shared" si="55"/>
        <v>1</v>
      </c>
      <c r="H343" s="3288"/>
      <c r="I343" s="2993">
        <f t="shared" si="56"/>
        <v>1</v>
      </c>
      <c r="J343" s="3288"/>
      <c r="K343" s="2993">
        <f t="shared" si="57"/>
        <v>1</v>
      </c>
      <c r="L343" s="3288"/>
      <c r="M343" s="2993">
        <f t="shared" si="58"/>
        <v>1</v>
      </c>
      <c r="N343" s="3288"/>
      <c r="O343" s="2993">
        <f t="shared" si="59"/>
        <v>1</v>
      </c>
      <c r="P343" s="3288"/>
      <c r="Q343" s="2993">
        <f t="shared" si="60"/>
        <v>1</v>
      </c>
      <c r="R343" s="2736">
        <f t="shared" si="61"/>
        <v>0</v>
      </c>
      <c r="S343" s="2867">
        <f t="shared" si="63"/>
        <v>0</v>
      </c>
    </row>
    <row r="344" spans="1:19">
      <c r="A344" s="2995"/>
      <c r="B344" s="3286"/>
      <c r="C344" s="2993">
        <f t="shared" si="53"/>
        <v>1</v>
      </c>
      <c r="D344" s="3288"/>
      <c r="E344" s="2993">
        <f t="shared" si="54"/>
        <v>1</v>
      </c>
      <c r="F344" s="3288"/>
      <c r="G344" s="2993">
        <f t="shared" si="55"/>
        <v>1</v>
      </c>
      <c r="H344" s="3288"/>
      <c r="I344" s="2993">
        <f t="shared" si="56"/>
        <v>1</v>
      </c>
      <c r="J344" s="3288"/>
      <c r="K344" s="2993">
        <f t="shared" si="57"/>
        <v>1</v>
      </c>
      <c r="L344" s="3288"/>
      <c r="M344" s="2993">
        <f t="shared" si="58"/>
        <v>1</v>
      </c>
      <c r="N344" s="3288"/>
      <c r="O344" s="2993">
        <f t="shared" si="59"/>
        <v>1</v>
      </c>
      <c r="P344" s="3288"/>
      <c r="Q344" s="2993">
        <f t="shared" si="60"/>
        <v>1</v>
      </c>
      <c r="R344" s="2736">
        <f t="shared" si="61"/>
        <v>0</v>
      </c>
      <c r="S344" s="2867">
        <f t="shared" si="63"/>
        <v>0</v>
      </c>
    </row>
    <row r="345" spans="1:19">
      <c r="A345" s="2995"/>
      <c r="B345" s="3286"/>
      <c r="C345" s="2993">
        <f t="shared" si="53"/>
        <v>1</v>
      </c>
      <c r="D345" s="3288"/>
      <c r="E345" s="2993">
        <f t="shared" si="54"/>
        <v>1</v>
      </c>
      <c r="F345" s="3288"/>
      <c r="G345" s="2993">
        <f t="shared" si="55"/>
        <v>1</v>
      </c>
      <c r="H345" s="3288"/>
      <c r="I345" s="2993">
        <f t="shared" si="56"/>
        <v>1</v>
      </c>
      <c r="J345" s="3288"/>
      <c r="K345" s="2993">
        <f t="shared" si="57"/>
        <v>1</v>
      </c>
      <c r="L345" s="3288"/>
      <c r="M345" s="2993">
        <f t="shared" si="58"/>
        <v>1</v>
      </c>
      <c r="N345" s="3288"/>
      <c r="O345" s="2993">
        <f t="shared" si="59"/>
        <v>1</v>
      </c>
      <c r="P345" s="3288"/>
      <c r="Q345" s="2993">
        <f t="shared" si="60"/>
        <v>1</v>
      </c>
      <c r="R345" s="2736">
        <f t="shared" si="61"/>
        <v>0</v>
      </c>
      <c r="S345" s="2867">
        <f t="shared" si="63"/>
        <v>0</v>
      </c>
    </row>
    <row r="346" spans="1:19">
      <c r="A346" s="2995"/>
      <c r="B346" s="3286"/>
      <c r="C346" s="2993">
        <f t="shared" ref="C346:C409" si="64">IF(B346="",1,(LOOKUP(B346,$3:$3,$4:$4)-LOOKUP($B$24,$3:$3,$4:$4)+100)/100)</f>
        <v>1</v>
      </c>
      <c r="D346" s="3288"/>
      <c r="E346" s="2993">
        <f t="shared" ref="E346:E409" si="65">(SUMIF($5:$5,D346,$6:$6)-SUMIF($5:$5,$D$24,$6:$6)+100)/100</f>
        <v>1</v>
      </c>
      <c r="F346" s="3288"/>
      <c r="G346" s="2993">
        <f t="shared" ref="G346:G409" si="66">(SUMIF($7:$7,F346,$8:$8)-SUMIF($7:$7,$F$24,$8:$8)+100)/100</f>
        <v>1</v>
      </c>
      <c r="H346" s="3288"/>
      <c r="I346" s="2993">
        <f t="shared" ref="I346:I409" si="67">(SUMIF($9:$9,H346,$10:$10)-SUMIF($9:$9,$H$24,$10:$10)+100)/100</f>
        <v>1</v>
      </c>
      <c r="J346" s="3288"/>
      <c r="K346" s="2993">
        <f t="shared" ref="K346:K409" si="68">(SUMIF($11:$11,J346,$12:$12)-SUMIF($11:$11,$J$24,$12:$12)+100)/100</f>
        <v>1</v>
      </c>
      <c r="L346" s="3288"/>
      <c r="M346" s="2993">
        <f t="shared" ref="M346:M409" si="69">(SUMIF($13:$13,L346,$14:$14)-SUMIF($13:$13,$L$24,$14:$14)+100)/100</f>
        <v>1</v>
      </c>
      <c r="N346" s="3288"/>
      <c r="O346" s="2993">
        <f t="shared" ref="O346:O409" si="70">(SUMIF($15:$15,N346,$16:$16)-SUMIF($15:$15,$N$24,$16:$16)+100)/100</f>
        <v>1</v>
      </c>
      <c r="P346" s="3288"/>
      <c r="Q346" s="2993">
        <f t="shared" ref="Q346:Q409" si="71">(SUMIF($17:$17,P346,$18:$18)-SUMIF($17:$17,$P$24,$18:$18)+100)/100</f>
        <v>1</v>
      </c>
      <c r="R346" s="2736">
        <f t="shared" ref="R346:R409" si="72">IF(B346="",0,ROUND($R$24*C346*E346*G346*I346*K346*M346*O346*Q346,0))</f>
        <v>0</v>
      </c>
      <c r="S346" s="2867">
        <f t="shared" si="63"/>
        <v>0</v>
      </c>
    </row>
    <row r="347" spans="1:19">
      <c r="A347" s="2995"/>
      <c r="B347" s="3286"/>
      <c r="C347" s="2993">
        <f t="shared" si="64"/>
        <v>1</v>
      </c>
      <c r="D347" s="3288"/>
      <c r="E347" s="2993">
        <f t="shared" si="65"/>
        <v>1</v>
      </c>
      <c r="F347" s="3288"/>
      <c r="G347" s="2993">
        <f t="shared" si="66"/>
        <v>1</v>
      </c>
      <c r="H347" s="3288"/>
      <c r="I347" s="2993">
        <f t="shared" si="67"/>
        <v>1</v>
      </c>
      <c r="J347" s="3288"/>
      <c r="K347" s="2993">
        <f t="shared" si="68"/>
        <v>1</v>
      </c>
      <c r="L347" s="3288"/>
      <c r="M347" s="2993">
        <f t="shared" si="69"/>
        <v>1</v>
      </c>
      <c r="N347" s="3288"/>
      <c r="O347" s="2993">
        <f t="shared" si="70"/>
        <v>1</v>
      </c>
      <c r="P347" s="3288"/>
      <c r="Q347" s="2993">
        <f t="shared" si="71"/>
        <v>1</v>
      </c>
      <c r="R347" s="2736">
        <f t="shared" si="72"/>
        <v>0</v>
      </c>
      <c r="S347" s="2867">
        <f t="shared" si="63"/>
        <v>0</v>
      </c>
    </row>
    <row r="348" spans="1:19">
      <c r="A348" s="2995"/>
      <c r="B348" s="3286"/>
      <c r="C348" s="2993">
        <f t="shared" si="64"/>
        <v>1</v>
      </c>
      <c r="D348" s="3288"/>
      <c r="E348" s="2993">
        <f t="shared" si="65"/>
        <v>1</v>
      </c>
      <c r="F348" s="3288"/>
      <c r="G348" s="2993">
        <f t="shared" si="66"/>
        <v>1</v>
      </c>
      <c r="H348" s="3288"/>
      <c r="I348" s="2993">
        <f t="shared" si="67"/>
        <v>1</v>
      </c>
      <c r="J348" s="3288"/>
      <c r="K348" s="2993">
        <f t="shared" si="68"/>
        <v>1</v>
      </c>
      <c r="L348" s="3288"/>
      <c r="M348" s="2993">
        <f t="shared" si="69"/>
        <v>1</v>
      </c>
      <c r="N348" s="3288"/>
      <c r="O348" s="2993">
        <f t="shared" si="70"/>
        <v>1</v>
      </c>
      <c r="P348" s="3288"/>
      <c r="Q348" s="2993">
        <f t="shared" si="71"/>
        <v>1</v>
      </c>
      <c r="R348" s="2736">
        <f t="shared" si="72"/>
        <v>0</v>
      </c>
      <c r="S348" s="2867">
        <f t="shared" si="63"/>
        <v>0</v>
      </c>
    </row>
    <row r="349" spans="1:19">
      <c r="A349" s="2995"/>
      <c r="B349" s="3286"/>
      <c r="C349" s="2993">
        <f t="shared" si="64"/>
        <v>1</v>
      </c>
      <c r="D349" s="3288"/>
      <c r="E349" s="2993">
        <f t="shared" si="65"/>
        <v>1</v>
      </c>
      <c r="F349" s="3288"/>
      <c r="G349" s="2993">
        <f t="shared" si="66"/>
        <v>1</v>
      </c>
      <c r="H349" s="3288"/>
      <c r="I349" s="2993">
        <f t="shared" si="67"/>
        <v>1</v>
      </c>
      <c r="J349" s="3288"/>
      <c r="K349" s="2993">
        <f t="shared" si="68"/>
        <v>1</v>
      </c>
      <c r="L349" s="3288"/>
      <c r="M349" s="2993">
        <f t="shared" si="69"/>
        <v>1</v>
      </c>
      <c r="N349" s="3288"/>
      <c r="O349" s="2993">
        <f t="shared" si="70"/>
        <v>1</v>
      </c>
      <c r="P349" s="3288"/>
      <c r="Q349" s="2993">
        <f t="shared" si="71"/>
        <v>1</v>
      </c>
      <c r="R349" s="2736">
        <f t="shared" si="72"/>
        <v>0</v>
      </c>
      <c r="S349" s="2867">
        <f t="shared" si="63"/>
        <v>0</v>
      </c>
    </row>
    <row r="350" spans="1:19">
      <c r="A350" s="2995"/>
      <c r="B350" s="3286"/>
      <c r="C350" s="2993">
        <f t="shared" si="64"/>
        <v>1</v>
      </c>
      <c r="D350" s="3288"/>
      <c r="E350" s="2993">
        <f t="shared" si="65"/>
        <v>1</v>
      </c>
      <c r="F350" s="3288"/>
      <c r="G350" s="2993">
        <f t="shared" si="66"/>
        <v>1</v>
      </c>
      <c r="H350" s="3288"/>
      <c r="I350" s="2993">
        <f t="shared" si="67"/>
        <v>1</v>
      </c>
      <c r="J350" s="3288"/>
      <c r="K350" s="2993">
        <f t="shared" si="68"/>
        <v>1</v>
      </c>
      <c r="L350" s="3288"/>
      <c r="M350" s="2993">
        <f t="shared" si="69"/>
        <v>1</v>
      </c>
      <c r="N350" s="3288"/>
      <c r="O350" s="2993">
        <f t="shared" si="70"/>
        <v>1</v>
      </c>
      <c r="P350" s="3288"/>
      <c r="Q350" s="2993">
        <f t="shared" si="71"/>
        <v>1</v>
      </c>
      <c r="R350" s="2736">
        <f t="shared" si="72"/>
        <v>0</v>
      </c>
      <c r="S350" s="2867">
        <f t="shared" si="63"/>
        <v>0</v>
      </c>
    </row>
    <row r="351" spans="1:19">
      <c r="A351" s="2995"/>
      <c r="B351" s="3286"/>
      <c r="C351" s="2993">
        <f t="shared" si="64"/>
        <v>1</v>
      </c>
      <c r="D351" s="3288"/>
      <c r="E351" s="2993">
        <f t="shared" si="65"/>
        <v>1</v>
      </c>
      <c r="F351" s="3288"/>
      <c r="G351" s="2993">
        <f t="shared" si="66"/>
        <v>1</v>
      </c>
      <c r="H351" s="3288"/>
      <c r="I351" s="2993">
        <f t="shared" si="67"/>
        <v>1</v>
      </c>
      <c r="J351" s="3288"/>
      <c r="K351" s="2993">
        <f t="shared" si="68"/>
        <v>1</v>
      </c>
      <c r="L351" s="3288"/>
      <c r="M351" s="2993">
        <f t="shared" si="69"/>
        <v>1</v>
      </c>
      <c r="N351" s="3288"/>
      <c r="O351" s="2993">
        <f t="shared" si="70"/>
        <v>1</v>
      </c>
      <c r="P351" s="3288"/>
      <c r="Q351" s="2993">
        <f t="shared" si="71"/>
        <v>1</v>
      </c>
      <c r="R351" s="2736">
        <f t="shared" si="72"/>
        <v>0</v>
      </c>
      <c r="S351" s="2867">
        <f t="shared" si="63"/>
        <v>0</v>
      </c>
    </row>
    <row r="352" spans="1:19">
      <c r="A352" s="2995"/>
      <c r="B352" s="3286"/>
      <c r="C352" s="2993">
        <f t="shared" si="64"/>
        <v>1</v>
      </c>
      <c r="D352" s="3288"/>
      <c r="E352" s="2993">
        <f t="shared" si="65"/>
        <v>1</v>
      </c>
      <c r="F352" s="3288"/>
      <c r="G352" s="2993">
        <f t="shared" si="66"/>
        <v>1</v>
      </c>
      <c r="H352" s="3288"/>
      <c r="I352" s="2993">
        <f t="shared" si="67"/>
        <v>1</v>
      </c>
      <c r="J352" s="3288"/>
      <c r="K352" s="2993">
        <f t="shared" si="68"/>
        <v>1</v>
      </c>
      <c r="L352" s="3288"/>
      <c r="M352" s="2993">
        <f t="shared" si="69"/>
        <v>1</v>
      </c>
      <c r="N352" s="3288"/>
      <c r="O352" s="2993">
        <f t="shared" si="70"/>
        <v>1</v>
      </c>
      <c r="P352" s="3288"/>
      <c r="Q352" s="2993">
        <f t="shared" si="71"/>
        <v>1</v>
      </c>
      <c r="R352" s="2736">
        <f t="shared" si="72"/>
        <v>0</v>
      </c>
      <c r="S352" s="2867">
        <f t="shared" si="63"/>
        <v>0</v>
      </c>
    </row>
    <row r="353" spans="1:19">
      <c r="A353" s="2995"/>
      <c r="B353" s="3286"/>
      <c r="C353" s="2993">
        <f t="shared" si="64"/>
        <v>1</v>
      </c>
      <c r="D353" s="3288"/>
      <c r="E353" s="2993">
        <f t="shared" si="65"/>
        <v>1</v>
      </c>
      <c r="F353" s="3288"/>
      <c r="G353" s="2993">
        <f t="shared" si="66"/>
        <v>1</v>
      </c>
      <c r="H353" s="3288"/>
      <c r="I353" s="2993">
        <f t="shared" si="67"/>
        <v>1</v>
      </c>
      <c r="J353" s="3288"/>
      <c r="K353" s="2993">
        <f t="shared" si="68"/>
        <v>1</v>
      </c>
      <c r="L353" s="3288"/>
      <c r="M353" s="2993">
        <f t="shared" si="69"/>
        <v>1</v>
      </c>
      <c r="N353" s="3288"/>
      <c r="O353" s="2993">
        <f t="shared" si="70"/>
        <v>1</v>
      </c>
      <c r="P353" s="3288"/>
      <c r="Q353" s="2993">
        <f t="shared" si="71"/>
        <v>1</v>
      </c>
      <c r="R353" s="2736">
        <f t="shared" si="72"/>
        <v>0</v>
      </c>
      <c r="S353" s="2867">
        <f t="shared" si="63"/>
        <v>0</v>
      </c>
    </row>
    <row r="354" spans="1:19">
      <c r="A354" s="2995"/>
      <c r="B354" s="3286"/>
      <c r="C354" s="2993">
        <f t="shared" si="64"/>
        <v>1</v>
      </c>
      <c r="D354" s="3288"/>
      <c r="E354" s="2993">
        <f t="shared" si="65"/>
        <v>1</v>
      </c>
      <c r="F354" s="3288"/>
      <c r="G354" s="2993">
        <f t="shared" si="66"/>
        <v>1</v>
      </c>
      <c r="H354" s="3288"/>
      <c r="I354" s="2993">
        <f t="shared" si="67"/>
        <v>1</v>
      </c>
      <c r="J354" s="3288"/>
      <c r="K354" s="2993">
        <f t="shared" si="68"/>
        <v>1</v>
      </c>
      <c r="L354" s="3288"/>
      <c r="M354" s="2993">
        <f t="shared" si="69"/>
        <v>1</v>
      </c>
      <c r="N354" s="3288"/>
      <c r="O354" s="2993">
        <f t="shared" si="70"/>
        <v>1</v>
      </c>
      <c r="P354" s="3288"/>
      <c r="Q354" s="2993">
        <f t="shared" si="71"/>
        <v>1</v>
      </c>
      <c r="R354" s="2736">
        <f t="shared" si="72"/>
        <v>0</v>
      </c>
      <c r="S354" s="2867">
        <f t="shared" si="63"/>
        <v>0</v>
      </c>
    </row>
    <row r="355" spans="1:19">
      <c r="A355" s="2995"/>
      <c r="B355" s="3286"/>
      <c r="C355" s="2993">
        <f t="shared" si="64"/>
        <v>1</v>
      </c>
      <c r="D355" s="3288"/>
      <c r="E355" s="2993">
        <f t="shared" si="65"/>
        <v>1</v>
      </c>
      <c r="F355" s="3288"/>
      <c r="G355" s="2993">
        <f t="shared" si="66"/>
        <v>1</v>
      </c>
      <c r="H355" s="3288"/>
      <c r="I355" s="2993">
        <f t="shared" si="67"/>
        <v>1</v>
      </c>
      <c r="J355" s="3288"/>
      <c r="K355" s="2993">
        <f t="shared" si="68"/>
        <v>1</v>
      </c>
      <c r="L355" s="3288"/>
      <c r="M355" s="2993">
        <f t="shared" si="69"/>
        <v>1</v>
      </c>
      <c r="N355" s="3288"/>
      <c r="O355" s="2993">
        <f t="shared" si="70"/>
        <v>1</v>
      </c>
      <c r="P355" s="3288"/>
      <c r="Q355" s="2993">
        <f t="shared" si="71"/>
        <v>1</v>
      </c>
      <c r="R355" s="2736">
        <f t="shared" si="72"/>
        <v>0</v>
      </c>
      <c r="S355" s="2867">
        <f t="shared" si="63"/>
        <v>0</v>
      </c>
    </row>
    <row r="356" spans="1:19">
      <c r="A356" s="2995"/>
      <c r="B356" s="3286"/>
      <c r="C356" s="2993">
        <f t="shared" si="64"/>
        <v>1</v>
      </c>
      <c r="D356" s="3288"/>
      <c r="E356" s="2993">
        <f t="shared" si="65"/>
        <v>1</v>
      </c>
      <c r="F356" s="3288"/>
      <c r="G356" s="2993">
        <f t="shared" si="66"/>
        <v>1</v>
      </c>
      <c r="H356" s="3288"/>
      <c r="I356" s="2993">
        <f t="shared" si="67"/>
        <v>1</v>
      </c>
      <c r="J356" s="3288"/>
      <c r="K356" s="2993">
        <f t="shared" si="68"/>
        <v>1</v>
      </c>
      <c r="L356" s="3288"/>
      <c r="M356" s="2993">
        <f t="shared" si="69"/>
        <v>1</v>
      </c>
      <c r="N356" s="3288"/>
      <c r="O356" s="2993">
        <f t="shared" si="70"/>
        <v>1</v>
      </c>
      <c r="P356" s="3288"/>
      <c r="Q356" s="2993">
        <f t="shared" si="71"/>
        <v>1</v>
      </c>
      <c r="R356" s="2736">
        <f t="shared" si="72"/>
        <v>0</v>
      </c>
      <c r="S356" s="2867">
        <f t="shared" si="63"/>
        <v>0</v>
      </c>
    </row>
    <row r="357" spans="1:19">
      <c r="A357" s="2995"/>
      <c r="B357" s="3286"/>
      <c r="C357" s="2993">
        <f t="shared" si="64"/>
        <v>1</v>
      </c>
      <c r="D357" s="3288"/>
      <c r="E357" s="2993">
        <f t="shared" si="65"/>
        <v>1</v>
      </c>
      <c r="F357" s="3288"/>
      <c r="G357" s="2993">
        <f t="shared" si="66"/>
        <v>1</v>
      </c>
      <c r="H357" s="3288"/>
      <c r="I357" s="2993">
        <f t="shared" si="67"/>
        <v>1</v>
      </c>
      <c r="J357" s="3288"/>
      <c r="K357" s="2993">
        <f t="shared" si="68"/>
        <v>1</v>
      </c>
      <c r="L357" s="3288"/>
      <c r="M357" s="2993">
        <f t="shared" si="69"/>
        <v>1</v>
      </c>
      <c r="N357" s="3288"/>
      <c r="O357" s="2993">
        <f t="shared" si="70"/>
        <v>1</v>
      </c>
      <c r="P357" s="3288"/>
      <c r="Q357" s="2993">
        <f t="shared" si="71"/>
        <v>1</v>
      </c>
      <c r="R357" s="2736">
        <f t="shared" si="72"/>
        <v>0</v>
      </c>
      <c r="S357" s="2867">
        <f t="shared" si="63"/>
        <v>0</v>
      </c>
    </row>
    <row r="358" spans="1:19">
      <c r="A358" s="2995"/>
      <c r="B358" s="3286"/>
      <c r="C358" s="2993">
        <f t="shared" si="64"/>
        <v>1</v>
      </c>
      <c r="D358" s="3288"/>
      <c r="E358" s="2993">
        <f t="shared" si="65"/>
        <v>1</v>
      </c>
      <c r="F358" s="3288"/>
      <c r="G358" s="2993">
        <f t="shared" si="66"/>
        <v>1</v>
      </c>
      <c r="H358" s="3288"/>
      <c r="I358" s="2993">
        <f t="shared" si="67"/>
        <v>1</v>
      </c>
      <c r="J358" s="3288"/>
      <c r="K358" s="2993">
        <f t="shared" si="68"/>
        <v>1</v>
      </c>
      <c r="L358" s="3288"/>
      <c r="M358" s="2993">
        <f t="shared" si="69"/>
        <v>1</v>
      </c>
      <c r="N358" s="3288"/>
      <c r="O358" s="2993">
        <f t="shared" si="70"/>
        <v>1</v>
      </c>
      <c r="P358" s="3288"/>
      <c r="Q358" s="2993">
        <f t="shared" si="71"/>
        <v>1</v>
      </c>
      <c r="R358" s="2736">
        <f t="shared" si="72"/>
        <v>0</v>
      </c>
      <c r="S358" s="2867">
        <f t="shared" si="63"/>
        <v>0</v>
      </c>
    </row>
    <row r="359" spans="1:19">
      <c r="A359" s="2995"/>
      <c r="B359" s="3286"/>
      <c r="C359" s="2993">
        <f t="shared" si="64"/>
        <v>1</v>
      </c>
      <c r="D359" s="3288"/>
      <c r="E359" s="2993">
        <f t="shared" si="65"/>
        <v>1</v>
      </c>
      <c r="F359" s="3288"/>
      <c r="G359" s="2993">
        <f t="shared" si="66"/>
        <v>1</v>
      </c>
      <c r="H359" s="3288"/>
      <c r="I359" s="2993">
        <f t="shared" si="67"/>
        <v>1</v>
      </c>
      <c r="J359" s="3288"/>
      <c r="K359" s="2993">
        <f t="shared" si="68"/>
        <v>1</v>
      </c>
      <c r="L359" s="3288"/>
      <c r="M359" s="2993">
        <f t="shared" si="69"/>
        <v>1</v>
      </c>
      <c r="N359" s="3288"/>
      <c r="O359" s="2993">
        <f t="shared" si="70"/>
        <v>1</v>
      </c>
      <c r="P359" s="3288"/>
      <c r="Q359" s="2993">
        <f t="shared" si="71"/>
        <v>1</v>
      </c>
      <c r="R359" s="2736">
        <f t="shared" si="72"/>
        <v>0</v>
      </c>
      <c r="S359" s="2867">
        <f t="shared" si="63"/>
        <v>0</v>
      </c>
    </row>
    <row r="360" spans="1:19">
      <c r="A360" s="2995"/>
      <c r="B360" s="3286"/>
      <c r="C360" s="2993">
        <f t="shared" si="64"/>
        <v>1</v>
      </c>
      <c r="D360" s="3288"/>
      <c r="E360" s="2993">
        <f t="shared" si="65"/>
        <v>1</v>
      </c>
      <c r="F360" s="3288"/>
      <c r="G360" s="2993">
        <f t="shared" si="66"/>
        <v>1</v>
      </c>
      <c r="H360" s="3288"/>
      <c r="I360" s="2993">
        <f t="shared" si="67"/>
        <v>1</v>
      </c>
      <c r="J360" s="3288"/>
      <c r="K360" s="2993">
        <f t="shared" si="68"/>
        <v>1</v>
      </c>
      <c r="L360" s="3288"/>
      <c r="M360" s="2993">
        <f t="shared" si="69"/>
        <v>1</v>
      </c>
      <c r="N360" s="3288"/>
      <c r="O360" s="2993">
        <f t="shared" si="70"/>
        <v>1</v>
      </c>
      <c r="P360" s="3288"/>
      <c r="Q360" s="2993">
        <f t="shared" si="71"/>
        <v>1</v>
      </c>
      <c r="R360" s="2736">
        <f t="shared" si="72"/>
        <v>0</v>
      </c>
      <c r="S360" s="2867">
        <f t="shared" si="63"/>
        <v>0</v>
      </c>
    </row>
    <row r="361" spans="1:19">
      <c r="A361" s="2995"/>
      <c r="B361" s="3286"/>
      <c r="C361" s="2993">
        <f t="shared" si="64"/>
        <v>1</v>
      </c>
      <c r="D361" s="3288"/>
      <c r="E361" s="2993">
        <f t="shared" si="65"/>
        <v>1</v>
      </c>
      <c r="F361" s="3288"/>
      <c r="G361" s="2993">
        <f t="shared" si="66"/>
        <v>1</v>
      </c>
      <c r="H361" s="3288"/>
      <c r="I361" s="2993">
        <f t="shared" si="67"/>
        <v>1</v>
      </c>
      <c r="J361" s="3288"/>
      <c r="K361" s="2993">
        <f t="shared" si="68"/>
        <v>1</v>
      </c>
      <c r="L361" s="3288"/>
      <c r="M361" s="2993">
        <f t="shared" si="69"/>
        <v>1</v>
      </c>
      <c r="N361" s="3288"/>
      <c r="O361" s="2993">
        <f t="shared" si="70"/>
        <v>1</v>
      </c>
      <c r="P361" s="3288"/>
      <c r="Q361" s="2993">
        <f t="shared" si="71"/>
        <v>1</v>
      </c>
      <c r="R361" s="2736">
        <f t="shared" si="72"/>
        <v>0</v>
      </c>
      <c r="S361" s="2867">
        <f t="shared" si="63"/>
        <v>0</v>
      </c>
    </row>
    <row r="362" spans="1:19">
      <c r="A362" s="2995"/>
      <c r="B362" s="3286"/>
      <c r="C362" s="2993">
        <f t="shared" si="64"/>
        <v>1</v>
      </c>
      <c r="D362" s="3288"/>
      <c r="E362" s="2993">
        <f t="shared" si="65"/>
        <v>1</v>
      </c>
      <c r="F362" s="3288"/>
      <c r="G362" s="2993">
        <f t="shared" si="66"/>
        <v>1</v>
      </c>
      <c r="H362" s="3288"/>
      <c r="I362" s="2993">
        <f t="shared" si="67"/>
        <v>1</v>
      </c>
      <c r="J362" s="3288"/>
      <c r="K362" s="2993">
        <f t="shared" si="68"/>
        <v>1</v>
      </c>
      <c r="L362" s="3288"/>
      <c r="M362" s="2993">
        <f t="shared" si="69"/>
        <v>1</v>
      </c>
      <c r="N362" s="3288"/>
      <c r="O362" s="2993">
        <f t="shared" si="70"/>
        <v>1</v>
      </c>
      <c r="P362" s="3288"/>
      <c r="Q362" s="2993">
        <f t="shared" si="71"/>
        <v>1</v>
      </c>
      <c r="R362" s="2736">
        <f t="shared" si="72"/>
        <v>0</v>
      </c>
      <c r="S362" s="2867">
        <f t="shared" si="63"/>
        <v>0</v>
      </c>
    </row>
    <row r="363" spans="1:19">
      <c r="A363" s="2995"/>
      <c r="B363" s="3286"/>
      <c r="C363" s="2993">
        <f t="shared" si="64"/>
        <v>1</v>
      </c>
      <c r="D363" s="3288"/>
      <c r="E363" s="2993">
        <f t="shared" si="65"/>
        <v>1</v>
      </c>
      <c r="F363" s="3288"/>
      <c r="G363" s="2993">
        <f t="shared" si="66"/>
        <v>1</v>
      </c>
      <c r="H363" s="3288"/>
      <c r="I363" s="2993">
        <f t="shared" si="67"/>
        <v>1</v>
      </c>
      <c r="J363" s="3288"/>
      <c r="K363" s="2993">
        <f t="shared" si="68"/>
        <v>1</v>
      </c>
      <c r="L363" s="3288"/>
      <c r="M363" s="2993">
        <f t="shared" si="69"/>
        <v>1</v>
      </c>
      <c r="N363" s="3288"/>
      <c r="O363" s="2993">
        <f t="shared" si="70"/>
        <v>1</v>
      </c>
      <c r="P363" s="3288"/>
      <c r="Q363" s="2993">
        <f t="shared" si="71"/>
        <v>1</v>
      </c>
      <c r="R363" s="2736">
        <f t="shared" si="72"/>
        <v>0</v>
      </c>
      <c r="S363" s="2867">
        <f t="shared" si="63"/>
        <v>0</v>
      </c>
    </row>
    <row r="364" spans="1:19">
      <c r="A364" s="2995"/>
      <c r="B364" s="3286"/>
      <c r="C364" s="2993">
        <f t="shared" si="64"/>
        <v>1</v>
      </c>
      <c r="D364" s="3288"/>
      <c r="E364" s="2993">
        <f t="shared" si="65"/>
        <v>1</v>
      </c>
      <c r="F364" s="3288"/>
      <c r="G364" s="2993">
        <f t="shared" si="66"/>
        <v>1</v>
      </c>
      <c r="H364" s="3288"/>
      <c r="I364" s="2993">
        <f t="shared" si="67"/>
        <v>1</v>
      </c>
      <c r="J364" s="3288"/>
      <c r="K364" s="2993">
        <f t="shared" si="68"/>
        <v>1</v>
      </c>
      <c r="L364" s="3288"/>
      <c r="M364" s="2993">
        <f t="shared" si="69"/>
        <v>1</v>
      </c>
      <c r="N364" s="3288"/>
      <c r="O364" s="2993">
        <f t="shared" si="70"/>
        <v>1</v>
      </c>
      <c r="P364" s="3288"/>
      <c r="Q364" s="2993">
        <f t="shared" si="71"/>
        <v>1</v>
      </c>
      <c r="R364" s="2736">
        <f t="shared" si="72"/>
        <v>0</v>
      </c>
      <c r="S364" s="2867">
        <f t="shared" si="63"/>
        <v>0</v>
      </c>
    </row>
    <row r="365" spans="1:19">
      <c r="A365" s="2995"/>
      <c r="B365" s="3286"/>
      <c r="C365" s="2993">
        <f t="shared" si="64"/>
        <v>1</v>
      </c>
      <c r="D365" s="3288"/>
      <c r="E365" s="2993">
        <f t="shared" si="65"/>
        <v>1</v>
      </c>
      <c r="F365" s="3288"/>
      <c r="G365" s="2993">
        <f t="shared" si="66"/>
        <v>1</v>
      </c>
      <c r="H365" s="3288"/>
      <c r="I365" s="2993">
        <f t="shared" si="67"/>
        <v>1</v>
      </c>
      <c r="J365" s="3288"/>
      <c r="K365" s="2993">
        <f t="shared" si="68"/>
        <v>1</v>
      </c>
      <c r="L365" s="3288"/>
      <c r="M365" s="2993">
        <f t="shared" si="69"/>
        <v>1</v>
      </c>
      <c r="N365" s="3288"/>
      <c r="O365" s="2993">
        <f t="shared" si="70"/>
        <v>1</v>
      </c>
      <c r="P365" s="3288"/>
      <c r="Q365" s="2993">
        <f t="shared" si="71"/>
        <v>1</v>
      </c>
      <c r="R365" s="2736">
        <f t="shared" si="72"/>
        <v>0</v>
      </c>
      <c r="S365" s="2867">
        <f t="shared" si="63"/>
        <v>0</v>
      </c>
    </row>
    <row r="366" spans="1:19">
      <c r="A366" s="2995"/>
      <c r="B366" s="3286"/>
      <c r="C366" s="2993">
        <f t="shared" si="64"/>
        <v>1</v>
      </c>
      <c r="D366" s="3288"/>
      <c r="E366" s="2993">
        <f t="shared" si="65"/>
        <v>1</v>
      </c>
      <c r="F366" s="3288"/>
      <c r="G366" s="2993">
        <f t="shared" si="66"/>
        <v>1</v>
      </c>
      <c r="H366" s="3288"/>
      <c r="I366" s="2993">
        <f t="shared" si="67"/>
        <v>1</v>
      </c>
      <c r="J366" s="3288"/>
      <c r="K366" s="2993">
        <f t="shared" si="68"/>
        <v>1</v>
      </c>
      <c r="L366" s="3288"/>
      <c r="M366" s="2993">
        <f t="shared" si="69"/>
        <v>1</v>
      </c>
      <c r="N366" s="3288"/>
      <c r="O366" s="2993">
        <f t="shared" si="70"/>
        <v>1</v>
      </c>
      <c r="P366" s="3288"/>
      <c r="Q366" s="2993">
        <f t="shared" si="71"/>
        <v>1</v>
      </c>
      <c r="R366" s="2736">
        <f t="shared" si="72"/>
        <v>0</v>
      </c>
      <c r="S366" s="2867">
        <f t="shared" si="63"/>
        <v>0</v>
      </c>
    </row>
    <row r="367" spans="1:19">
      <c r="A367" s="2995"/>
      <c r="B367" s="3286"/>
      <c r="C367" s="2993">
        <f t="shared" si="64"/>
        <v>1</v>
      </c>
      <c r="D367" s="3288"/>
      <c r="E367" s="2993">
        <f t="shared" si="65"/>
        <v>1</v>
      </c>
      <c r="F367" s="3288"/>
      <c r="G367" s="2993">
        <f t="shared" si="66"/>
        <v>1</v>
      </c>
      <c r="H367" s="3288"/>
      <c r="I367" s="2993">
        <f t="shared" si="67"/>
        <v>1</v>
      </c>
      <c r="J367" s="3288"/>
      <c r="K367" s="2993">
        <f t="shared" si="68"/>
        <v>1</v>
      </c>
      <c r="L367" s="3288"/>
      <c r="M367" s="2993">
        <f t="shared" si="69"/>
        <v>1</v>
      </c>
      <c r="N367" s="3288"/>
      <c r="O367" s="2993">
        <f t="shared" si="70"/>
        <v>1</v>
      </c>
      <c r="P367" s="3288"/>
      <c r="Q367" s="2993">
        <f t="shared" si="71"/>
        <v>1</v>
      </c>
      <c r="R367" s="2736">
        <f t="shared" si="72"/>
        <v>0</v>
      </c>
      <c r="S367" s="2867">
        <f t="shared" si="63"/>
        <v>0</v>
      </c>
    </row>
    <row r="368" spans="1:19">
      <c r="A368" s="2995"/>
      <c r="B368" s="3286"/>
      <c r="C368" s="2993">
        <f t="shared" si="64"/>
        <v>1</v>
      </c>
      <c r="D368" s="3288"/>
      <c r="E368" s="2993">
        <f t="shared" si="65"/>
        <v>1</v>
      </c>
      <c r="F368" s="3288"/>
      <c r="G368" s="2993">
        <f t="shared" si="66"/>
        <v>1</v>
      </c>
      <c r="H368" s="3288"/>
      <c r="I368" s="2993">
        <f t="shared" si="67"/>
        <v>1</v>
      </c>
      <c r="J368" s="3288"/>
      <c r="K368" s="2993">
        <f t="shared" si="68"/>
        <v>1</v>
      </c>
      <c r="L368" s="3288"/>
      <c r="M368" s="2993">
        <f t="shared" si="69"/>
        <v>1</v>
      </c>
      <c r="N368" s="3288"/>
      <c r="O368" s="2993">
        <f t="shared" si="70"/>
        <v>1</v>
      </c>
      <c r="P368" s="3288"/>
      <c r="Q368" s="2993">
        <f t="shared" si="71"/>
        <v>1</v>
      </c>
      <c r="R368" s="2736">
        <f t="shared" si="72"/>
        <v>0</v>
      </c>
      <c r="S368" s="2867">
        <f t="shared" si="63"/>
        <v>0</v>
      </c>
    </row>
    <row r="369" spans="1:19">
      <c r="A369" s="2995"/>
      <c r="B369" s="3286"/>
      <c r="C369" s="2993">
        <f t="shared" si="64"/>
        <v>1</v>
      </c>
      <c r="D369" s="3288"/>
      <c r="E369" s="2993">
        <f t="shared" si="65"/>
        <v>1</v>
      </c>
      <c r="F369" s="3288"/>
      <c r="G369" s="2993">
        <f t="shared" si="66"/>
        <v>1</v>
      </c>
      <c r="H369" s="3288"/>
      <c r="I369" s="2993">
        <f t="shared" si="67"/>
        <v>1</v>
      </c>
      <c r="J369" s="3288"/>
      <c r="K369" s="2993">
        <f t="shared" si="68"/>
        <v>1</v>
      </c>
      <c r="L369" s="3288"/>
      <c r="M369" s="2993">
        <f t="shared" si="69"/>
        <v>1</v>
      </c>
      <c r="N369" s="3288"/>
      <c r="O369" s="2993">
        <f t="shared" si="70"/>
        <v>1</v>
      </c>
      <c r="P369" s="3288"/>
      <c r="Q369" s="2993">
        <f t="shared" si="71"/>
        <v>1</v>
      </c>
      <c r="R369" s="2736">
        <f t="shared" si="72"/>
        <v>0</v>
      </c>
      <c r="S369" s="2867">
        <f t="shared" si="63"/>
        <v>0</v>
      </c>
    </row>
    <row r="370" spans="1:19">
      <c r="A370" s="2995"/>
      <c r="B370" s="3286"/>
      <c r="C370" s="2993">
        <f t="shared" si="64"/>
        <v>1</v>
      </c>
      <c r="D370" s="3288"/>
      <c r="E370" s="2993">
        <f t="shared" si="65"/>
        <v>1</v>
      </c>
      <c r="F370" s="3288"/>
      <c r="G370" s="2993">
        <f t="shared" si="66"/>
        <v>1</v>
      </c>
      <c r="H370" s="3288"/>
      <c r="I370" s="2993">
        <f t="shared" si="67"/>
        <v>1</v>
      </c>
      <c r="J370" s="3288"/>
      <c r="K370" s="2993">
        <f t="shared" si="68"/>
        <v>1</v>
      </c>
      <c r="L370" s="3288"/>
      <c r="M370" s="2993">
        <f t="shared" si="69"/>
        <v>1</v>
      </c>
      <c r="N370" s="3288"/>
      <c r="O370" s="2993">
        <f t="shared" si="70"/>
        <v>1</v>
      </c>
      <c r="P370" s="3288"/>
      <c r="Q370" s="2993">
        <f t="shared" si="71"/>
        <v>1</v>
      </c>
      <c r="R370" s="2736">
        <f t="shared" si="72"/>
        <v>0</v>
      </c>
      <c r="S370" s="2867">
        <f t="shared" si="63"/>
        <v>0</v>
      </c>
    </row>
    <row r="371" spans="1:19">
      <c r="A371" s="2995"/>
      <c r="B371" s="3286"/>
      <c r="C371" s="2993">
        <f t="shared" si="64"/>
        <v>1</v>
      </c>
      <c r="D371" s="3288"/>
      <c r="E371" s="2993">
        <f t="shared" si="65"/>
        <v>1</v>
      </c>
      <c r="F371" s="3288"/>
      <c r="G371" s="2993">
        <f t="shared" si="66"/>
        <v>1</v>
      </c>
      <c r="H371" s="3288"/>
      <c r="I371" s="2993">
        <f t="shared" si="67"/>
        <v>1</v>
      </c>
      <c r="J371" s="3288"/>
      <c r="K371" s="2993">
        <f t="shared" si="68"/>
        <v>1</v>
      </c>
      <c r="L371" s="3288"/>
      <c r="M371" s="2993">
        <f t="shared" si="69"/>
        <v>1</v>
      </c>
      <c r="N371" s="3288"/>
      <c r="O371" s="2993">
        <f t="shared" si="70"/>
        <v>1</v>
      </c>
      <c r="P371" s="3288"/>
      <c r="Q371" s="2993">
        <f t="shared" si="71"/>
        <v>1</v>
      </c>
      <c r="R371" s="2736">
        <f t="shared" si="72"/>
        <v>0</v>
      </c>
      <c r="S371" s="2867">
        <f t="shared" si="63"/>
        <v>0</v>
      </c>
    </row>
    <row r="372" spans="1:19">
      <c r="A372" s="2995"/>
      <c r="B372" s="3286"/>
      <c r="C372" s="2993">
        <f t="shared" si="64"/>
        <v>1</v>
      </c>
      <c r="D372" s="3288"/>
      <c r="E372" s="2993">
        <f t="shared" si="65"/>
        <v>1</v>
      </c>
      <c r="F372" s="3288"/>
      <c r="G372" s="2993">
        <f t="shared" si="66"/>
        <v>1</v>
      </c>
      <c r="H372" s="3288"/>
      <c r="I372" s="2993">
        <f t="shared" si="67"/>
        <v>1</v>
      </c>
      <c r="J372" s="3288"/>
      <c r="K372" s="2993">
        <f t="shared" si="68"/>
        <v>1</v>
      </c>
      <c r="L372" s="3288"/>
      <c r="M372" s="2993">
        <f t="shared" si="69"/>
        <v>1</v>
      </c>
      <c r="N372" s="3288"/>
      <c r="O372" s="2993">
        <f t="shared" si="70"/>
        <v>1</v>
      </c>
      <c r="P372" s="3288"/>
      <c r="Q372" s="2993">
        <f t="shared" si="71"/>
        <v>1</v>
      </c>
      <c r="R372" s="2736">
        <f t="shared" si="72"/>
        <v>0</v>
      </c>
      <c r="S372" s="2867">
        <f t="shared" si="63"/>
        <v>0</v>
      </c>
    </row>
    <row r="373" spans="1:19">
      <c r="A373" s="2995"/>
      <c r="B373" s="3286"/>
      <c r="C373" s="2993">
        <f t="shared" si="64"/>
        <v>1</v>
      </c>
      <c r="D373" s="3288"/>
      <c r="E373" s="2993">
        <f t="shared" si="65"/>
        <v>1</v>
      </c>
      <c r="F373" s="3288"/>
      <c r="G373" s="2993">
        <f t="shared" si="66"/>
        <v>1</v>
      </c>
      <c r="H373" s="3288"/>
      <c r="I373" s="2993">
        <f t="shared" si="67"/>
        <v>1</v>
      </c>
      <c r="J373" s="3288"/>
      <c r="K373" s="2993">
        <f t="shared" si="68"/>
        <v>1</v>
      </c>
      <c r="L373" s="3288"/>
      <c r="M373" s="2993">
        <f t="shared" si="69"/>
        <v>1</v>
      </c>
      <c r="N373" s="3288"/>
      <c r="O373" s="2993">
        <f t="shared" si="70"/>
        <v>1</v>
      </c>
      <c r="P373" s="3288"/>
      <c r="Q373" s="2993">
        <f t="shared" si="71"/>
        <v>1</v>
      </c>
      <c r="R373" s="2736">
        <f t="shared" si="72"/>
        <v>0</v>
      </c>
      <c r="S373" s="2867">
        <f t="shared" si="63"/>
        <v>0</v>
      </c>
    </row>
    <row r="374" spans="1:19">
      <c r="A374" s="2995"/>
      <c r="B374" s="3286"/>
      <c r="C374" s="2993">
        <f t="shared" si="64"/>
        <v>1</v>
      </c>
      <c r="D374" s="3288"/>
      <c r="E374" s="2993">
        <f t="shared" si="65"/>
        <v>1</v>
      </c>
      <c r="F374" s="3288"/>
      <c r="G374" s="2993">
        <f t="shared" si="66"/>
        <v>1</v>
      </c>
      <c r="H374" s="3288"/>
      <c r="I374" s="2993">
        <f t="shared" si="67"/>
        <v>1</v>
      </c>
      <c r="J374" s="3288"/>
      <c r="K374" s="2993">
        <f t="shared" si="68"/>
        <v>1</v>
      </c>
      <c r="L374" s="3288"/>
      <c r="M374" s="2993">
        <f t="shared" si="69"/>
        <v>1</v>
      </c>
      <c r="N374" s="3288"/>
      <c r="O374" s="2993">
        <f t="shared" si="70"/>
        <v>1</v>
      </c>
      <c r="P374" s="3288"/>
      <c r="Q374" s="2993">
        <f t="shared" si="71"/>
        <v>1</v>
      </c>
      <c r="R374" s="2736">
        <f t="shared" si="72"/>
        <v>0</v>
      </c>
      <c r="S374" s="2867">
        <f t="shared" si="63"/>
        <v>0</v>
      </c>
    </row>
    <row r="375" spans="1:19">
      <c r="A375" s="2995"/>
      <c r="B375" s="3286"/>
      <c r="C375" s="2993">
        <f t="shared" si="64"/>
        <v>1</v>
      </c>
      <c r="D375" s="3288"/>
      <c r="E375" s="2993">
        <f t="shared" si="65"/>
        <v>1</v>
      </c>
      <c r="F375" s="3288"/>
      <c r="G375" s="2993">
        <f t="shared" si="66"/>
        <v>1</v>
      </c>
      <c r="H375" s="3288"/>
      <c r="I375" s="2993">
        <f t="shared" si="67"/>
        <v>1</v>
      </c>
      <c r="J375" s="3288"/>
      <c r="K375" s="2993">
        <f t="shared" si="68"/>
        <v>1</v>
      </c>
      <c r="L375" s="3288"/>
      <c r="M375" s="2993">
        <f t="shared" si="69"/>
        <v>1</v>
      </c>
      <c r="N375" s="3288"/>
      <c r="O375" s="2993">
        <f t="shared" si="70"/>
        <v>1</v>
      </c>
      <c r="P375" s="3288"/>
      <c r="Q375" s="2993">
        <f t="shared" si="71"/>
        <v>1</v>
      </c>
      <c r="R375" s="2736">
        <f t="shared" si="72"/>
        <v>0</v>
      </c>
      <c r="S375" s="2867">
        <f t="shared" si="63"/>
        <v>0</v>
      </c>
    </row>
    <row r="376" spans="1:19">
      <c r="A376" s="2995"/>
      <c r="B376" s="3286"/>
      <c r="C376" s="2993">
        <f t="shared" si="64"/>
        <v>1</v>
      </c>
      <c r="D376" s="3288"/>
      <c r="E376" s="2993">
        <f t="shared" si="65"/>
        <v>1</v>
      </c>
      <c r="F376" s="3288"/>
      <c r="G376" s="2993">
        <f t="shared" si="66"/>
        <v>1</v>
      </c>
      <c r="H376" s="3288"/>
      <c r="I376" s="2993">
        <f t="shared" si="67"/>
        <v>1</v>
      </c>
      <c r="J376" s="3288"/>
      <c r="K376" s="2993">
        <f t="shared" si="68"/>
        <v>1</v>
      </c>
      <c r="L376" s="3288"/>
      <c r="M376" s="2993">
        <f t="shared" si="69"/>
        <v>1</v>
      </c>
      <c r="N376" s="3288"/>
      <c r="O376" s="2993">
        <f t="shared" si="70"/>
        <v>1</v>
      </c>
      <c r="P376" s="3288"/>
      <c r="Q376" s="2993">
        <f t="shared" si="71"/>
        <v>1</v>
      </c>
      <c r="R376" s="2736">
        <f t="shared" si="72"/>
        <v>0</v>
      </c>
      <c r="S376" s="2867">
        <f t="shared" si="63"/>
        <v>0</v>
      </c>
    </row>
    <row r="377" spans="1:19">
      <c r="A377" s="2995"/>
      <c r="B377" s="3286"/>
      <c r="C377" s="2993">
        <f t="shared" si="64"/>
        <v>1</v>
      </c>
      <c r="D377" s="3288"/>
      <c r="E377" s="2993">
        <f t="shared" si="65"/>
        <v>1</v>
      </c>
      <c r="F377" s="3288"/>
      <c r="G377" s="2993">
        <f t="shared" si="66"/>
        <v>1</v>
      </c>
      <c r="H377" s="3288"/>
      <c r="I377" s="2993">
        <f t="shared" si="67"/>
        <v>1</v>
      </c>
      <c r="J377" s="3288"/>
      <c r="K377" s="2993">
        <f t="shared" si="68"/>
        <v>1</v>
      </c>
      <c r="L377" s="3288"/>
      <c r="M377" s="2993">
        <f t="shared" si="69"/>
        <v>1</v>
      </c>
      <c r="N377" s="3288"/>
      <c r="O377" s="2993">
        <f t="shared" si="70"/>
        <v>1</v>
      </c>
      <c r="P377" s="3288"/>
      <c r="Q377" s="2993">
        <f t="shared" si="71"/>
        <v>1</v>
      </c>
      <c r="R377" s="2736">
        <f t="shared" si="72"/>
        <v>0</v>
      </c>
      <c r="S377" s="2867">
        <f t="shared" si="63"/>
        <v>0</v>
      </c>
    </row>
    <row r="378" spans="1:19">
      <c r="A378" s="2995"/>
      <c r="B378" s="3286"/>
      <c r="C378" s="2993">
        <f t="shared" si="64"/>
        <v>1</v>
      </c>
      <c r="D378" s="3288"/>
      <c r="E378" s="2993">
        <f t="shared" si="65"/>
        <v>1</v>
      </c>
      <c r="F378" s="3288"/>
      <c r="G378" s="2993">
        <f t="shared" si="66"/>
        <v>1</v>
      </c>
      <c r="H378" s="3288"/>
      <c r="I378" s="2993">
        <f t="shared" si="67"/>
        <v>1</v>
      </c>
      <c r="J378" s="3288"/>
      <c r="K378" s="2993">
        <f t="shared" si="68"/>
        <v>1</v>
      </c>
      <c r="L378" s="3288"/>
      <c r="M378" s="2993">
        <f t="shared" si="69"/>
        <v>1</v>
      </c>
      <c r="N378" s="3288"/>
      <c r="O378" s="2993">
        <f t="shared" si="70"/>
        <v>1</v>
      </c>
      <c r="P378" s="3288"/>
      <c r="Q378" s="2993">
        <f t="shared" si="71"/>
        <v>1</v>
      </c>
      <c r="R378" s="2736">
        <f t="shared" si="72"/>
        <v>0</v>
      </c>
      <c r="S378" s="2867">
        <f t="shared" si="63"/>
        <v>0</v>
      </c>
    </row>
    <row r="379" spans="1:19">
      <c r="A379" s="2995"/>
      <c r="B379" s="3286"/>
      <c r="C379" s="2993">
        <f t="shared" si="64"/>
        <v>1</v>
      </c>
      <c r="D379" s="3288"/>
      <c r="E379" s="2993">
        <f t="shared" si="65"/>
        <v>1</v>
      </c>
      <c r="F379" s="3288"/>
      <c r="G379" s="2993">
        <f t="shared" si="66"/>
        <v>1</v>
      </c>
      <c r="H379" s="3288"/>
      <c r="I379" s="2993">
        <f t="shared" si="67"/>
        <v>1</v>
      </c>
      <c r="J379" s="3288"/>
      <c r="K379" s="2993">
        <f t="shared" si="68"/>
        <v>1</v>
      </c>
      <c r="L379" s="3288"/>
      <c r="M379" s="2993">
        <f t="shared" si="69"/>
        <v>1</v>
      </c>
      <c r="N379" s="3288"/>
      <c r="O379" s="2993">
        <f t="shared" si="70"/>
        <v>1</v>
      </c>
      <c r="P379" s="3288"/>
      <c r="Q379" s="2993">
        <f t="shared" si="71"/>
        <v>1</v>
      </c>
      <c r="R379" s="2736">
        <f t="shared" si="72"/>
        <v>0</v>
      </c>
      <c r="S379" s="2867">
        <f t="shared" si="63"/>
        <v>0</v>
      </c>
    </row>
    <row r="380" spans="1:19">
      <c r="A380" s="2995"/>
      <c r="B380" s="3286"/>
      <c r="C380" s="2993">
        <f t="shared" si="64"/>
        <v>1</v>
      </c>
      <c r="D380" s="3288"/>
      <c r="E380" s="2993">
        <f t="shared" si="65"/>
        <v>1</v>
      </c>
      <c r="F380" s="3288"/>
      <c r="G380" s="2993">
        <f t="shared" si="66"/>
        <v>1</v>
      </c>
      <c r="H380" s="3288"/>
      <c r="I380" s="2993">
        <f t="shared" si="67"/>
        <v>1</v>
      </c>
      <c r="J380" s="3288"/>
      <c r="K380" s="2993">
        <f t="shared" si="68"/>
        <v>1</v>
      </c>
      <c r="L380" s="3288"/>
      <c r="M380" s="2993">
        <f t="shared" si="69"/>
        <v>1</v>
      </c>
      <c r="N380" s="3288"/>
      <c r="O380" s="2993">
        <f t="shared" si="70"/>
        <v>1</v>
      </c>
      <c r="P380" s="3288"/>
      <c r="Q380" s="2993">
        <f t="shared" si="71"/>
        <v>1</v>
      </c>
      <c r="R380" s="2736">
        <f t="shared" si="72"/>
        <v>0</v>
      </c>
      <c r="S380" s="2867">
        <f t="shared" si="63"/>
        <v>0</v>
      </c>
    </row>
    <row r="381" spans="1:19">
      <c r="A381" s="2995"/>
      <c r="B381" s="3286"/>
      <c r="C381" s="2993">
        <f t="shared" si="64"/>
        <v>1</v>
      </c>
      <c r="D381" s="3288"/>
      <c r="E381" s="2993">
        <f t="shared" si="65"/>
        <v>1</v>
      </c>
      <c r="F381" s="3288"/>
      <c r="G381" s="2993">
        <f t="shared" si="66"/>
        <v>1</v>
      </c>
      <c r="H381" s="3288"/>
      <c r="I381" s="2993">
        <f t="shared" si="67"/>
        <v>1</v>
      </c>
      <c r="J381" s="3288"/>
      <c r="K381" s="2993">
        <f t="shared" si="68"/>
        <v>1</v>
      </c>
      <c r="L381" s="3288"/>
      <c r="M381" s="2993">
        <f t="shared" si="69"/>
        <v>1</v>
      </c>
      <c r="N381" s="3288"/>
      <c r="O381" s="2993">
        <f t="shared" si="70"/>
        <v>1</v>
      </c>
      <c r="P381" s="3288"/>
      <c r="Q381" s="2993">
        <f t="shared" si="71"/>
        <v>1</v>
      </c>
      <c r="R381" s="2736">
        <f t="shared" si="72"/>
        <v>0</v>
      </c>
      <c r="S381" s="2867">
        <f t="shared" si="63"/>
        <v>0</v>
      </c>
    </row>
    <row r="382" spans="1:19">
      <c r="A382" s="2995"/>
      <c r="B382" s="3286"/>
      <c r="C382" s="2993">
        <f t="shared" si="64"/>
        <v>1</v>
      </c>
      <c r="D382" s="3288"/>
      <c r="E382" s="2993">
        <f t="shared" si="65"/>
        <v>1</v>
      </c>
      <c r="F382" s="3288"/>
      <c r="G382" s="2993">
        <f t="shared" si="66"/>
        <v>1</v>
      </c>
      <c r="H382" s="3288"/>
      <c r="I382" s="2993">
        <f t="shared" si="67"/>
        <v>1</v>
      </c>
      <c r="J382" s="3288"/>
      <c r="K382" s="2993">
        <f t="shared" si="68"/>
        <v>1</v>
      </c>
      <c r="L382" s="3288"/>
      <c r="M382" s="2993">
        <f t="shared" si="69"/>
        <v>1</v>
      </c>
      <c r="N382" s="3288"/>
      <c r="O382" s="2993">
        <f t="shared" si="70"/>
        <v>1</v>
      </c>
      <c r="P382" s="3288"/>
      <c r="Q382" s="2993">
        <f t="shared" si="71"/>
        <v>1</v>
      </c>
      <c r="R382" s="2736">
        <f t="shared" si="72"/>
        <v>0</v>
      </c>
      <c r="S382" s="2867">
        <f t="shared" si="63"/>
        <v>0</v>
      </c>
    </row>
    <row r="383" spans="1:19">
      <c r="A383" s="2995"/>
      <c r="B383" s="3286"/>
      <c r="C383" s="2993">
        <f t="shared" si="64"/>
        <v>1</v>
      </c>
      <c r="D383" s="3288"/>
      <c r="E383" s="2993">
        <f t="shared" si="65"/>
        <v>1</v>
      </c>
      <c r="F383" s="3288"/>
      <c r="G383" s="2993">
        <f t="shared" si="66"/>
        <v>1</v>
      </c>
      <c r="H383" s="3288"/>
      <c r="I383" s="2993">
        <f t="shared" si="67"/>
        <v>1</v>
      </c>
      <c r="J383" s="3288"/>
      <c r="K383" s="2993">
        <f t="shared" si="68"/>
        <v>1</v>
      </c>
      <c r="L383" s="3288"/>
      <c r="M383" s="2993">
        <f t="shared" si="69"/>
        <v>1</v>
      </c>
      <c r="N383" s="3288"/>
      <c r="O383" s="2993">
        <f t="shared" si="70"/>
        <v>1</v>
      </c>
      <c r="P383" s="3288"/>
      <c r="Q383" s="2993">
        <f t="shared" si="71"/>
        <v>1</v>
      </c>
      <c r="R383" s="2736">
        <f t="shared" si="72"/>
        <v>0</v>
      </c>
      <c r="S383" s="2867">
        <f t="shared" si="63"/>
        <v>0</v>
      </c>
    </row>
    <row r="384" spans="1:19">
      <c r="A384" s="2995"/>
      <c r="B384" s="3286"/>
      <c r="C384" s="2993">
        <f t="shared" si="64"/>
        <v>1</v>
      </c>
      <c r="D384" s="3288"/>
      <c r="E384" s="2993">
        <f t="shared" si="65"/>
        <v>1</v>
      </c>
      <c r="F384" s="3288"/>
      <c r="G384" s="2993">
        <f t="shared" si="66"/>
        <v>1</v>
      </c>
      <c r="H384" s="3288"/>
      <c r="I384" s="2993">
        <f t="shared" si="67"/>
        <v>1</v>
      </c>
      <c r="J384" s="3288"/>
      <c r="K384" s="2993">
        <f t="shared" si="68"/>
        <v>1</v>
      </c>
      <c r="L384" s="3288"/>
      <c r="M384" s="2993">
        <f t="shared" si="69"/>
        <v>1</v>
      </c>
      <c r="N384" s="3288"/>
      <c r="O384" s="2993">
        <f t="shared" si="70"/>
        <v>1</v>
      </c>
      <c r="P384" s="3288"/>
      <c r="Q384" s="2993">
        <f t="shared" si="71"/>
        <v>1</v>
      </c>
      <c r="R384" s="2736">
        <f t="shared" si="72"/>
        <v>0</v>
      </c>
      <c r="S384" s="2867">
        <f t="shared" si="63"/>
        <v>0</v>
      </c>
    </row>
    <row r="385" spans="1:19">
      <c r="A385" s="2995"/>
      <c r="B385" s="3286"/>
      <c r="C385" s="2993">
        <f t="shared" si="64"/>
        <v>1</v>
      </c>
      <c r="D385" s="3288"/>
      <c r="E385" s="2993">
        <f t="shared" si="65"/>
        <v>1</v>
      </c>
      <c r="F385" s="3288"/>
      <c r="G385" s="2993">
        <f t="shared" si="66"/>
        <v>1</v>
      </c>
      <c r="H385" s="3288"/>
      <c r="I385" s="2993">
        <f t="shared" si="67"/>
        <v>1</v>
      </c>
      <c r="J385" s="3288"/>
      <c r="K385" s="2993">
        <f t="shared" si="68"/>
        <v>1</v>
      </c>
      <c r="L385" s="3288"/>
      <c r="M385" s="2993">
        <f t="shared" si="69"/>
        <v>1</v>
      </c>
      <c r="N385" s="3288"/>
      <c r="O385" s="2993">
        <f t="shared" si="70"/>
        <v>1</v>
      </c>
      <c r="P385" s="3288"/>
      <c r="Q385" s="2993">
        <f t="shared" si="71"/>
        <v>1</v>
      </c>
      <c r="R385" s="2736">
        <f t="shared" si="72"/>
        <v>0</v>
      </c>
      <c r="S385" s="2867">
        <f t="shared" ref="S385:S422" si="73">ROUND(R385*B385/10000,0)</f>
        <v>0</v>
      </c>
    </row>
    <row r="386" spans="1:19">
      <c r="A386" s="2995"/>
      <c r="B386" s="3286"/>
      <c r="C386" s="2993">
        <f t="shared" si="64"/>
        <v>1</v>
      </c>
      <c r="D386" s="3288"/>
      <c r="E386" s="2993">
        <f t="shared" si="65"/>
        <v>1</v>
      </c>
      <c r="F386" s="3288"/>
      <c r="G386" s="2993">
        <f t="shared" si="66"/>
        <v>1</v>
      </c>
      <c r="H386" s="3288"/>
      <c r="I386" s="2993">
        <f t="shared" si="67"/>
        <v>1</v>
      </c>
      <c r="J386" s="3288"/>
      <c r="K386" s="2993">
        <f t="shared" si="68"/>
        <v>1</v>
      </c>
      <c r="L386" s="3288"/>
      <c r="M386" s="2993">
        <f t="shared" si="69"/>
        <v>1</v>
      </c>
      <c r="N386" s="3288"/>
      <c r="O386" s="2993">
        <f t="shared" si="70"/>
        <v>1</v>
      </c>
      <c r="P386" s="3288"/>
      <c r="Q386" s="2993">
        <f t="shared" si="71"/>
        <v>1</v>
      </c>
      <c r="R386" s="2736">
        <f t="shared" si="72"/>
        <v>0</v>
      </c>
      <c r="S386" s="2867">
        <f t="shared" si="73"/>
        <v>0</v>
      </c>
    </row>
    <row r="387" spans="1:19">
      <c r="A387" s="2995"/>
      <c r="B387" s="3286"/>
      <c r="C387" s="2993">
        <f t="shared" si="64"/>
        <v>1</v>
      </c>
      <c r="D387" s="3288"/>
      <c r="E387" s="2993">
        <f t="shared" si="65"/>
        <v>1</v>
      </c>
      <c r="F387" s="3288"/>
      <c r="G387" s="2993">
        <f t="shared" si="66"/>
        <v>1</v>
      </c>
      <c r="H387" s="3288"/>
      <c r="I387" s="2993">
        <f t="shared" si="67"/>
        <v>1</v>
      </c>
      <c r="J387" s="3288"/>
      <c r="K387" s="2993">
        <f t="shared" si="68"/>
        <v>1</v>
      </c>
      <c r="L387" s="3288"/>
      <c r="M387" s="2993">
        <f t="shared" si="69"/>
        <v>1</v>
      </c>
      <c r="N387" s="3288"/>
      <c r="O387" s="2993">
        <f t="shared" si="70"/>
        <v>1</v>
      </c>
      <c r="P387" s="3288"/>
      <c r="Q387" s="2993">
        <f t="shared" si="71"/>
        <v>1</v>
      </c>
      <c r="R387" s="2736">
        <f t="shared" si="72"/>
        <v>0</v>
      </c>
      <c r="S387" s="2867">
        <f t="shared" si="73"/>
        <v>0</v>
      </c>
    </row>
    <row r="388" spans="1:19">
      <c r="A388" s="2995"/>
      <c r="B388" s="3286"/>
      <c r="C388" s="2993">
        <f t="shared" si="64"/>
        <v>1</v>
      </c>
      <c r="D388" s="3288"/>
      <c r="E388" s="2993">
        <f t="shared" si="65"/>
        <v>1</v>
      </c>
      <c r="F388" s="3288"/>
      <c r="G388" s="2993">
        <f t="shared" si="66"/>
        <v>1</v>
      </c>
      <c r="H388" s="3288"/>
      <c r="I388" s="2993">
        <f t="shared" si="67"/>
        <v>1</v>
      </c>
      <c r="J388" s="3288"/>
      <c r="K388" s="2993">
        <f t="shared" si="68"/>
        <v>1</v>
      </c>
      <c r="L388" s="3288"/>
      <c r="M388" s="2993">
        <f t="shared" si="69"/>
        <v>1</v>
      </c>
      <c r="N388" s="3288"/>
      <c r="O388" s="2993">
        <f t="shared" si="70"/>
        <v>1</v>
      </c>
      <c r="P388" s="3288"/>
      <c r="Q388" s="2993">
        <f t="shared" si="71"/>
        <v>1</v>
      </c>
      <c r="R388" s="2736">
        <f t="shared" si="72"/>
        <v>0</v>
      </c>
      <c r="S388" s="2867">
        <f t="shared" si="73"/>
        <v>0</v>
      </c>
    </row>
    <row r="389" spans="1:19">
      <c r="A389" s="2995"/>
      <c r="B389" s="3286"/>
      <c r="C389" s="2993">
        <f t="shared" si="64"/>
        <v>1</v>
      </c>
      <c r="D389" s="3288"/>
      <c r="E389" s="2993">
        <f t="shared" si="65"/>
        <v>1</v>
      </c>
      <c r="F389" s="3288"/>
      <c r="G389" s="2993">
        <f t="shared" si="66"/>
        <v>1</v>
      </c>
      <c r="H389" s="3288"/>
      <c r="I389" s="2993">
        <f t="shared" si="67"/>
        <v>1</v>
      </c>
      <c r="J389" s="3288"/>
      <c r="K389" s="2993">
        <f t="shared" si="68"/>
        <v>1</v>
      </c>
      <c r="L389" s="3288"/>
      <c r="M389" s="2993">
        <f t="shared" si="69"/>
        <v>1</v>
      </c>
      <c r="N389" s="3288"/>
      <c r="O389" s="2993">
        <f t="shared" si="70"/>
        <v>1</v>
      </c>
      <c r="P389" s="3288"/>
      <c r="Q389" s="2993">
        <f t="shared" si="71"/>
        <v>1</v>
      </c>
      <c r="R389" s="2736">
        <f t="shared" si="72"/>
        <v>0</v>
      </c>
      <c r="S389" s="2867">
        <f t="shared" si="73"/>
        <v>0</v>
      </c>
    </row>
    <row r="390" spans="1:19">
      <c r="A390" s="2995"/>
      <c r="B390" s="3286"/>
      <c r="C390" s="2993">
        <f t="shared" si="64"/>
        <v>1</v>
      </c>
      <c r="D390" s="3288"/>
      <c r="E390" s="2993">
        <f t="shared" si="65"/>
        <v>1</v>
      </c>
      <c r="F390" s="3288"/>
      <c r="G390" s="2993">
        <f t="shared" si="66"/>
        <v>1</v>
      </c>
      <c r="H390" s="3288"/>
      <c r="I390" s="2993">
        <f t="shared" si="67"/>
        <v>1</v>
      </c>
      <c r="J390" s="3288"/>
      <c r="K390" s="2993">
        <f t="shared" si="68"/>
        <v>1</v>
      </c>
      <c r="L390" s="3288"/>
      <c r="M390" s="2993">
        <f t="shared" si="69"/>
        <v>1</v>
      </c>
      <c r="N390" s="3288"/>
      <c r="O390" s="2993">
        <f t="shared" si="70"/>
        <v>1</v>
      </c>
      <c r="P390" s="3288"/>
      <c r="Q390" s="2993">
        <f t="shared" si="71"/>
        <v>1</v>
      </c>
      <c r="R390" s="2736">
        <f t="shared" si="72"/>
        <v>0</v>
      </c>
      <c r="S390" s="2867">
        <f t="shared" si="73"/>
        <v>0</v>
      </c>
    </row>
    <row r="391" spans="1:19">
      <c r="A391" s="2995"/>
      <c r="B391" s="3286"/>
      <c r="C391" s="2993">
        <f t="shared" si="64"/>
        <v>1</v>
      </c>
      <c r="D391" s="3288"/>
      <c r="E391" s="2993">
        <f t="shared" si="65"/>
        <v>1</v>
      </c>
      <c r="F391" s="3288"/>
      <c r="G391" s="2993">
        <f t="shared" si="66"/>
        <v>1</v>
      </c>
      <c r="H391" s="3288"/>
      <c r="I391" s="2993">
        <f t="shared" si="67"/>
        <v>1</v>
      </c>
      <c r="J391" s="3288"/>
      <c r="K391" s="2993">
        <f t="shared" si="68"/>
        <v>1</v>
      </c>
      <c r="L391" s="3288"/>
      <c r="M391" s="2993">
        <f t="shared" si="69"/>
        <v>1</v>
      </c>
      <c r="N391" s="3288"/>
      <c r="O391" s="2993">
        <f t="shared" si="70"/>
        <v>1</v>
      </c>
      <c r="P391" s="3288"/>
      <c r="Q391" s="2993">
        <f t="shared" si="71"/>
        <v>1</v>
      </c>
      <c r="R391" s="2736">
        <f t="shared" si="72"/>
        <v>0</v>
      </c>
      <c r="S391" s="2867">
        <f t="shared" si="73"/>
        <v>0</v>
      </c>
    </row>
    <row r="392" spans="1:19">
      <c r="A392" s="2995"/>
      <c r="B392" s="3286"/>
      <c r="C392" s="2993">
        <f t="shared" si="64"/>
        <v>1</v>
      </c>
      <c r="D392" s="3288"/>
      <c r="E392" s="2993">
        <f t="shared" si="65"/>
        <v>1</v>
      </c>
      <c r="F392" s="3288"/>
      <c r="G392" s="2993">
        <f t="shared" si="66"/>
        <v>1</v>
      </c>
      <c r="H392" s="3288"/>
      <c r="I392" s="2993">
        <f t="shared" si="67"/>
        <v>1</v>
      </c>
      <c r="J392" s="3288"/>
      <c r="K392" s="2993">
        <f t="shared" si="68"/>
        <v>1</v>
      </c>
      <c r="L392" s="3288"/>
      <c r="M392" s="2993">
        <f t="shared" si="69"/>
        <v>1</v>
      </c>
      <c r="N392" s="3288"/>
      <c r="O392" s="2993">
        <f t="shared" si="70"/>
        <v>1</v>
      </c>
      <c r="P392" s="3288"/>
      <c r="Q392" s="2993">
        <f t="shared" si="71"/>
        <v>1</v>
      </c>
      <c r="R392" s="2736">
        <f t="shared" si="72"/>
        <v>0</v>
      </c>
      <c r="S392" s="2867">
        <f t="shared" si="73"/>
        <v>0</v>
      </c>
    </row>
    <row r="393" spans="1:19">
      <c r="A393" s="2995"/>
      <c r="B393" s="3286"/>
      <c r="C393" s="2993">
        <f t="shared" si="64"/>
        <v>1</v>
      </c>
      <c r="D393" s="3288"/>
      <c r="E393" s="2993">
        <f t="shared" si="65"/>
        <v>1</v>
      </c>
      <c r="F393" s="3288"/>
      <c r="G393" s="2993">
        <f t="shared" si="66"/>
        <v>1</v>
      </c>
      <c r="H393" s="3288"/>
      <c r="I393" s="2993">
        <f t="shared" si="67"/>
        <v>1</v>
      </c>
      <c r="J393" s="3288"/>
      <c r="K393" s="2993">
        <f t="shared" si="68"/>
        <v>1</v>
      </c>
      <c r="L393" s="3288"/>
      <c r="M393" s="2993">
        <f t="shared" si="69"/>
        <v>1</v>
      </c>
      <c r="N393" s="3288"/>
      <c r="O393" s="2993">
        <f t="shared" si="70"/>
        <v>1</v>
      </c>
      <c r="P393" s="3288"/>
      <c r="Q393" s="2993">
        <f t="shared" si="71"/>
        <v>1</v>
      </c>
      <c r="R393" s="2736">
        <f t="shared" si="72"/>
        <v>0</v>
      </c>
      <c r="S393" s="2867">
        <f t="shared" si="73"/>
        <v>0</v>
      </c>
    </row>
    <row r="394" spans="1:19">
      <c r="A394" s="2995"/>
      <c r="B394" s="3286"/>
      <c r="C394" s="2993">
        <f t="shared" si="64"/>
        <v>1</v>
      </c>
      <c r="D394" s="3288"/>
      <c r="E394" s="2993">
        <f t="shared" si="65"/>
        <v>1</v>
      </c>
      <c r="F394" s="3288"/>
      <c r="G394" s="2993">
        <f t="shared" si="66"/>
        <v>1</v>
      </c>
      <c r="H394" s="3288"/>
      <c r="I394" s="2993">
        <f t="shared" si="67"/>
        <v>1</v>
      </c>
      <c r="J394" s="3288"/>
      <c r="K394" s="2993">
        <f t="shared" si="68"/>
        <v>1</v>
      </c>
      <c r="L394" s="3288"/>
      <c r="M394" s="2993">
        <f t="shared" si="69"/>
        <v>1</v>
      </c>
      <c r="N394" s="3288"/>
      <c r="O394" s="2993">
        <f t="shared" si="70"/>
        <v>1</v>
      </c>
      <c r="P394" s="3288"/>
      <c r="Q394" s="2993">
        <f t="shared" si="71"/>
        <v>1</v>
      </c>
      <c r="R394" s="2736">
        <f t="shared" si="72"/>
        <v>0</v>
      </c>
      <c r="S394" s="2867">
        <f t="shared" si="73"/>
        <v>0</v>
      </c>
    </row>
    <row r="395" spans="1:19">
      <c r="A395" s="2995"/>
      <c r="B395" s="3286"/>
      <c r="C395" s="2993">
        <f t="shared" si="64"/>
        <v>1</v>
      </c>
      <c r="D395" s="3288"/>
      <c r="E395" s="2993">
        <f t="shared" si="65"/>
        <v>1</v>
      </c>
      <c r="F395" s="3288"/>
      <c r="G395" s="2993">
        <f t="shared" si="66"/>
        <v>1</v>
      </c>
      <c r="H395" s="3288"/>
      <c r="I395" s="2993">
        <f t="shared" si="67"/>
        <v>1</v>
      </c>
      <c r="J395" s="3288"/>
      <c r="K395" s="2993">
        <f t="shared" si="68"/>
        <v>1</v>
      </c>
      <c r="L395" s="3288"/>
      <c r="M395" s="2993">
        <f t="shared" si="69"/>
        <v>1</v>
      </c>
      <c r="N395" s="3288"/>
      <c r="O395" s="2993">
        <f t="shared" si="70"/>
        <v>1</v>
      </c>
      <c r="P395" s="3288"/>
      <c r="Q395" s="2993">
        <f t="shared" si="71"/>
        <v>1</v>
      </c>
      <c r="R395" s="2736">
        <f t="shared" si="72"/>
        <v>0</v>
      </c>
      <c r="S395" s="2867">
        <f t="shared" si="73"/>
        <v>0</v>
      </c>
    </row>
    <row r="396" spans="1:19">
      <c r="A396" s="2995"/>
      <c r="B396" s="3286"/>
      <c r="C396" s="2993">
        <f t="shared" si="64"/>
        <v>1</v>
      </c>
      <c r="D396" s="3288"/>
      <c r="E396" s="2993">
        <f t="shared" si="65"/>
        <v>1</v>
      </c>
      <c r="F396" s="3288"/>
      <c r="G396" s="2993">
        <f t="shared" si="66"/>
        <v>1</v>
      </c>
      <c r="H396" s="3288"/>
      <c r="I396" s="2993">
        <f t="shared" si="67"/>
        <v>1</v>
      </c>
      <c r="J396" s="3288"/>
      <c r="K396" s="2993">
        <f t="shared" si="68"/>
        <v>1</v>
      </c>
      <c r="L396" s="3288"/>
      <c r="M396" s="2993">
        <f t="shared" si="69"/>
        <v>1</v>
      </c>
      <c r="N396" s="3288"/>
      <c r="O396" s="2993">
        <f t="shared" si="70"/>
        <v>1</v>
      </c>
      <c r="P396" s="3288"/>
      <c r="Q396" s="2993">
        <f t="shared" si="71"/>
        <v>1</v>
      </c>
      <c r="R396" s="2736">
        <f t="shared" si="72"/>
        <v>0</v>
      </c>
      <c r="S396" s="2867">
        <f t="shared" si="73"/>
        <v>0</v>
      </c>
    </row>
    <row r="397" spans="1:19">
      <c r="A397" s="2995"/>
      <c r="B397" s="3286"/>
      <c r="C397" s="2993">
        <f t="shared" si="64"/>
        <v>1</v>
      </c>
      <c r="D397" s="3288"/>
      <c r="E397" s="2993">
        <f t="shared" si="65"/>
        <v>1</v>
      </c>
      <c r="F397" s="3288"/>
      <c r="G397" s="2993">
        <f t="shared" si="66"/>
        <v>1</v>
      </c>
      <c r="H397" s="3288"/>
      <c r="I397" s="2993">
        <f t="shared" si="67"/>
        <v>1</v>
      </c>
      <c r="J397" s="3288"/>
      <c r="K397" s="2993">
        <f t="shared" si="68"/>
        <v>1</v>
      </c>
      <c r="L397" s="3288"/>
      <c r="M397" s="2993">
        <f t="shared" si="69"/>
        <v>1</v>
      </c>
      <c r="N397" s="3288"/>
      <c r="O397" s="2993">
        <f t="shared" si="70"/>
        <v>1</v>
      </c>
      <c r="P397" s="3288"/>
      <c r="Q397" s="2993">
        <f t="shared" si="71"/>
        <v>1</v>
      </c>
      <c r="R397" s="2736">
        <f t="shared" si="72"/>
        <v>0</v>
      </c>
      <c r="S397" s="2867">
        <f t="shared" si="73"/>
        <v>0</v>
      </c>
    </row>
    <row r="398" spans="1:19">
      <c r="A398" s="2995"/>
      <c r="B398" s="3286"/>
      <c r="C398" s="2993">
        <f t="shared" si="64"/>
        <v>1</v>
      </c>
      <c r="D398" s="3288"/>
      <c r="E398" s="2993">
        <f t="shared" si="65"/>
        <v>1</v>
      </c>
      <c r="F398" s="3288"/>
      <c r="G398" s="2993">
        <f t="shared" si="66"/>
        <v>1</v>
      </c>
      <c r="H398" s="3288"/>
      <c r="I398" s="2993">
        <f t="shared" si="67"/>
        <v>1</v>
      </c>
      <c r="J398" s="3288"/>
      <c r="K398" s="2993">
        <f t="shared" si="68"/>
        <v>1</v>
      </c>
      <c r="L398" s="3288"/>
      <c r="M398" s="2993">
        <f t="shared" si="69"/>
        <v>1</v>
      </c>
      <c r="N398" s="3288"/>
      <c r="O398" s="2993">
        <f t="shared" si="70"/>
        <v>1</v>
      </c>
      <c r="P398" s="3288"/>
      <c r="Q398" s="2993">
        <f t="shared" si="71"/>
        <v>1</v>
      </c>
      <c r="R398" s="2736">
        <f t="shared" si="72"/>
        <v>0</v>
      </c>
      <c r="S398" s="2867">
        <f t="shared" si="73"/>
        <v>0</v>
      </c>
    </row>
    <row r="399" spans="1:19">
      <c r="A399" s="2995"/>
      <c r="B399" s="3286"/>
      <c r="C399" s="2993">
        <f t="shared" si="64"/>
        <v>1</v>
      </c>
      <c r="D399" s="3288"/>
      <c r="E399" s="2993">
        <f t="shared" si="65"/>
        <v>1</v>
      </c>
      <c r="F399" s="3288"/>
      <c r="G399" s="2993">
        <f t="shared" si="66"/>
        <v>1</v>
      </c>
      <c r="H399" s="3288"/>
      <c r="I399" s="2993">
        <f t="shared" si="67"/>
        <v>1</v>
      </c>
      <c r="J399" s="3288"/>
      <c r="K399" s="2993">
        <f t="shared" si="68"/>
        <v>1</v>
      </c>
      <c r="L399" s="3288"/>
      <c r="M399" s="2993">
        <f t="shared" si="69"/>
        <v>1</v>
      </c>
      <c r="N399" s="3288"/>
      <c r="O399" s="2993">
        <f t="shared" si="70"/>
        <v>1</v>
      </c>
      <c r="P399" s="3288"/>
      <c r="Q399" s="2993">
        <f t="shared" si="71"/>
        <v>1</v>
      </c>
      <c r="R399" s="2736">
        <f t="shared" si="72"/>
        <v>0</v>
      </c>
      <c r="S399" s="2867">
        <f t="shared" si="73"/>
        <v>0</v>
      </c>
    </row>
    <row r="400" spans="1:19">
      <c r="A400" s="2995"/>
      <c r="B400" s="3286"/>
      <c r="C400" s="2993">
        <f t="shared" si="64"/>
        <v>1</v>
      </c>
      <c r="D400" s="3288"/>
      <c r="E400" s="2993">
        <f t="shared" si="65"/>
        <v>1</v>
      </c>
      <c r="F400" s="3288"/>
      <c r="G400" s="2993">
        <f t="shared" si="66"/>
        <v>1</v>
      </c>
      <c r="H400" s="3288"/>
      <c r="I400" s="2993">
        <f t="shared" si="67"/>
        <v>1</v>
      </c>
      <c r="J400" s="3288"/>
      <c r="K400" s="2993">
        <f t="shared" si="68"/>
        <v>1</v>
      </c>
      <c r="L400" s="3288"/>
      <c r="M400" s="2993">
        <f t="shared" si="69"/>
        <v>1</v>
      </c>
      <c r="N400" s="3288"/>
      <c r="O400" s="2993">
        <f t="shared" si="70"/>
        <v>1</v>
      </c>
      <c r="P400" s="3288"/>
      <c r="Q400" s="2993">
        <f t="shared" si="71"/>
        <v>1</v>
      </c>
      <c r="R400" s="2736">
        <f t="shared" si="72"/>
        <v>0</v>
      </c>
      <c r="S400" s="2867">
        <f t="shared" si="73"/>
        <v>0</v>
      </c>
    </row>
    <row r="401" spans="1:19">
      <c r="A401" s="2995"/>
      <c r="B401" s="3286"/>
      <c r="C401" s="2993">
        <f t="shared" si="64"/>
        <v>1</v>
      </c>
      <c r="D401" s="3288"/>
      <c r="E401" s="2993">
        <f t="shared" si="65"/>
        <v>1</v>
      </c>
      <c r="F401" s="3288"/>
      <c r="G401" s="2993">
        <f t="shared" si="66"/>
        <v>1</v>
      </c>
      <c r="H401" s="3288"/>
      <c r="I401" s="2993">
        <f t="shared" si="67"/>
        <v>1</v>
      </c>
      <c r="J401" s="3288"/>
      <c r="K401" s="2993">
        <f t="shared" si="68"/>
        <v>1</v>
      </c>
      <c r="L401" s="3288"/>
      <c r="M401" s="2993">
        <f t="shared" si="69"/>
        <v>1</v>
      </c>
      <c r="N401" s="3288"/>
      <c r="O401" s="2993">
        <f t="shared" si="70"/>
        <v>1</v>
      </c>
      <c r="P401" s="3288"/>
      <c r="Q401" s="2993">
        <f t="shared" si="71"/>
        <v>1</v>
      </c>
      <c r="R401" s="2736">
        <f t="shared" si="72"/>
        <v>0</v>
      </c>
      <c r="S401" s="2867">
        <f t="shared" si="73"/>
        <v>0</v>
      </c>
    </row>
    <row r="402" spans="1:19">
      <c r="A402" s="2995"/>
      <c r="B402" s="3286"/>
      <c r="C402" s="2993">
        <f t="shared" si="64"/>
        <v>1</v>
      </c>
      <c r="D402" s="3288"/>
      <c r="E402" s="2993">
        <f t="shared" si="65"/>
        <v>1</v>
      </c>
      <c r="F402" s="3288"/>
      <c r="G402" s="2993">
        <f t="shared" si="66"/>
        <v>1</v>
      </c>
      <c r="H402" s="3288"/>
      <c r="I402" s="2993">
        <f t="shared" si="67"/>
        <v>1</v>
      </c>
      <c r="J402" s="3288"/>
      <c r="K402" s="2993">
        <f t="shared" si="68"/>
        <v>1</v>
      </c>
      <c r="L402" s="3288"/>
      <c r="M402" s="2993">
        <f t="shared" si="69"/>
        <v>1</v>
      </c>
      <c r="N402" s="3288"/>
      <c r="O402" s="2993">
        <f t="shared" si="70"/>
        <v>1</v>
      </c>
      <c r="P402" s="3288"/>
      <c r="Q402" s="2993">
        <f t="shared" si="71"/>
        <v>1</v>
      </c>
      <c r="R402" s="2736">
        <f t="shared" si="72"/>
        <v>0</v>
      </c>
      <c r="S402" s="2867">
        <f t="shared" si="73"/>
        <v>0</v>
      </c>
    </row>
    <row r="403" spans="1:19">
      <c r="A403" s="2995"/>
      <c r="B403" s="3286"/>
      <c r="C403" s="2993">
        <f t="shared" si="64"/>
        <v>1</v>
      </c>
      <c r="D403" s="3288"/>
      <c r="E403" s="2993">
        <f t="shared" si="65"/>
        <v>1</v>
      </c>
      <c r="F403" s="3288"/>
      <c r="G403" s="2993">
        <f t="shared" si="66"/>
        <v>1</v>
      </c>
      <c r="H403" s="3288"/>
      <c r="I403" s="2993">
        <f t="shared" si="67"/>
        <v>1</v>
      </c>
      <c r="J403" s="3288"/>
      <c r="K403" s="2993">
        <f t="shared" si="68"/>
        <v>1</v>
      </c>
      <c r="L403" s="3288"/>
      <c r="M403" s="2993">
        <f t="shared" si="69"/>
        <v>1</v>
      </c>
      <c r="N403" s="3288"/>
      <c r="O403" s="2993">
        <f t="shared" si="70"/>
        <v>1</v>
      </c>
      <c r="P403" s="3288"/>
      <c r="Q403" s="2993">
        <f t="shared" si="71"/>
        <v>1</v>
      </c>
      <c r="R403" s="2736">
        <f t="shared" si="72"/>
        <v>0</v>
      </c>
      <c r="S403" s="2867">
        <f t="shared" si="73"/>
        <v>0</v>
      </c>
    </row>
    <row r="404" spans="1:19">
      <c r="A404" s="2995"/>
      <c r="B404" s="3286"/>
      <c r="C404" s="2993">
        <f t="shared" si="64"/>
        <v>1</v>
      </c>
      <c r="D404" s="3288"/>
      <c r="E404" s="2993">
        <f t="shared" si="65"/>
        <v>1</v>
      </c>
      <c r="F404" s="3288"/>
      <c r="G404" s="2993">
        <f t="shared" si="66"/>
        <v>1</v>
      </c>
      <c r="H404" s="3288"/>
      <c r="I404" s="2993">
        <f t="shared" si="67"/>
        <v>1</v>
      </c>
      <c r="J404" s="3288"/>
      <c r="K404" s="2993">
        <f t="shared" si="68"/>
        <v>1</v>
      </c>
      <c r="L404" s="3288"/>
      <c r="M404" s="2993">
        <f t="shared" si="69"/>
        <v>1</v>
      </c>
      <c r="N404" s="3288"/>
      <c r="O404" s="2993">
        <f t="shared" si="70"/>
        <v>1</v>
      </c>
      <c r="P404" s="3288"/>
      <c r="Q404" s="2993">
        <f t="shared" si="71"/>
        <v>1</v>
      </c>
      <c r="R404" s="2736">
        <f t="shared" si="72"/>
        <v>0</v>
      </c>
      <c r="S404" s="2867">
        <f t="shared" si="73"/>
        <v>0</v>
      </c>
    </row>
    <row r="405" spans="1:19">
      <c r="A405" s="2995"/>
      <c r="B405" s="3286"/>
      <c r="C405" s="2993">
        <f t="shared" si="64"/>
        <v>1</v>
      </c>
      <c r="D405" s="3288"/>
      <c r="E405" s="2993">
        <f t="shared" si="65"/>
        <v>1</v>
      </c>
      <c r="F405" s="3288"/>
      <c r="G405" s="2993">
        <f t="shared" si="66"/>
        <v>1</v>
      </c>
      <c r="H405" s="3288"/>
      <c r="I405" s="2993">
        <f t="shared" si="67"/>
        <v>1</v>
      </c>
      <c r="J405" s="3288"/>
      <c r="K405" s="2993">
        <f t="shared" si="68"/>
        <v>1</v>
      </c>
      <c r="L405" s="3288"/>
      <c r="M405" s="2993">
        <f t="shared" si="69"/>
        <v>1</v>
      </c>
      <c r="N405" s="3288"/>
      <c r="O405" s="2993">
        <f t="shared" si="70"/>
        <v>1</v>
      </c>
      <c r="P405" s="3288"/>
      <c r="Q405" s="2993">
        <f t="shared" si="71"/>
        <v>1</v>
      </c>
      <c r="R405" s="2736">
        <f t="shared" si="72"/>
        <v>0</v>
      </c>
      <c r="S405" s="2867">
        <f t="shared" si="73"/>
        <v>0</v>
      </c>
    </row>
    <row r="406" spans="1:19">
      <c r="A406" s="2995"/>
      <c r="B406" s="3286"/>
      <c r="C406" s="2993">
        <f t="shared" si="64"/>
        <v>1</v>
      </c>
      <c r="D406" s="3288"/>
      <c r="E406" s="2993">
        <f t="shared" si="65"/>
        <v>1</v>
      </c>
      <c r="F406" s="3288"/>
      <c r="G406" s="2993">
        <f t="shared" si="66"/>
        <v>1</v>
      </c>
      <c r="H406" s="3288"/>
      <c r="I406" s="2993">
        <f t="shared" si="67"/>
        <v>1</v>
      </c>
      <c r="J406" s="3288"/>
      <c r="K406" s="2993">
        <f t="shared" si="68"/>
        <v>1</v>
      </c>
      <c r="L406" s="3288"/>
      <c r="M406" s="2993">
        <f t="shared" si="69"/>
        <v>1</v>
      </c>
      <c r="N406" s="3288"/>
      <c r="O406" s="2993">
        <f t="shared" si="70"/>
        <v>1</v>
      </c>
      <c r="P406" s="3288"/>
      <c r="Q406" s="2993">
        <f t="shared" si="71"/>
        <v>1</v>
      </c>
      <c r="R406" s="2736">
        <f t="shared" si="72"/>
        <v>0</v>
      </c>
      <c r="S406" s="2867">
        <f t="shared" si="73"/>
        <v>0</v>
      </c>
    </row>
    <row r="407" spans="1:19">
      <c r="A407" s="2995"/>
      <c r="B407" s="3286"/>
      <c r="C407" s="2993">
        <f t="shared" si="64"/>
        <v>1</v>
      </c>
      <c r="D407" s="3288"/>
      <c r="E407" s="2993">
        <f t="shared" si="65"/>
        <v>1</v>
      </c>
      <c r="F407" s="3288"/>
      <c r="G407" s="2993">
        <f t="shared" si="66"/>
        <v>1</v>
      </c>
      <c r="H407" s="3288"/>
      <c r="I407" s="2993">
        <f t="shared" si="67"/>
        <v>1</v>
      </c>
      <c r="J407" s="3288"/>
      <c r="K407" s="2993">
        <f t="shared" si="68"/>
        <v>1</v>
      </c>
      <c r="L407" s="3288"/>
      <c r="M407" s="2993">
        <f t="shared" si="69"/>
        <v>1</v>
      </c>
      <c r="N407" s="3288"/>
      <c r="O407" s="2993">
        <f t="shared" si="70"/>
        <v>1</v>
      </c>
      <c r="P407" s="3288"/>
      <c r="Q407" s="2993">
        <f t="shared" si="71"/>
        <v>1</v>
      </c>
      <c r="R407" s="2736">
        <f t="shared" si="72"/>
        <v>0</v>
      </c>
      <c r="S407" s="2867">
        <f t="shared" si="73"/>
        <v>0</v>
      </c>
    </row>
    <row r="408" spans="1:19">
      <c r="A408" s="2995"/>
      <c r="B408" s="3286"/>
      <c r="C408" s="2993">
        <f t="shared" si="64"/>
        <v>1</v>
      </c>
      <c r="D408" s="3288"/>
      <c r="E408" s="2993">
        <f t="shared" si="65"/>
        <v>1</v>
      </c>
      <c r="F408" s="3288"/>
      <c r="G408" s="2993">
        <f t="shared" si="66"/>
        <v>1</v>
      </c>
      <c r="H408" s="3288"/>
      <c r="I408" s="2993">
        <f t="shared" si="67"/>
        <v>1</v>
      </c>
      <c r="J408" s="3288"/>
      <c r="K408" s="2993">
        <f t="shared" si="68"/>
        <v>1</v>
      </c>
      <c r="L408" s="3288"/>
      <c r="M408" s="2993">
        <f t="shared" si="69"/>
        <v>1</v>
      </c>
      <c r="N408" s="3288"/>
      <c r="O408" s="2993">
        <f t="shared" si="70"/>
        <v>1</v>
      </c>
      <c r="P408" s="3288"/>
      <c r="Q408" s="2993">
        <f t="shared" si="71"/>
        <v>1</v>
      </c>
      <c r="R408" s="2736">
        <f t="shared" si="72"/>
        <v>0</v>
      </c>
      <c r="S408" s="2867">
        <f t="shared" si="73"/>
        <v>0</v>
      </c>
    </row>
    <row r="409" spans="1:19">
      <c r="A409" s="2995"/>
      <c r="B409" s="3286"/>
      <c r="C409" s="2993">
        <f t="shared" si="64"/>
        <v>1</v>
      </c>
      <c r="D409" s="3288"/>
      <c r="E409" s="2993">
        <f t="shared" si="65"/>
        <v>1</v>
      </c>
      <c r="F409" s="3288"/>
      <c r="G409" s="2993">
        <f t="shared" si="66"/>
        <v>1</v>
      </c>
      <c r="H409" s="3288"/>
      <c r="I409" s="2993">
        <f t="shared" si="67"/>
        <v>1</v>
      </c>
      <c r="J409" s="3288"/>
      <c r="K409" s="2993">
        <f t="shared" si="68"/>
        <v>1</v>
      </c>
      <c r="L409" s="3288"/>
      <c r="M409" s="2993">
        <f t="shared" si="69"/>
        <v>1</v>
      </c>
      <c r="N409" s="3288"/>
      <c r="O409" s="2993">
        <f t="shared" si="70"/>
        <v>1</v>
      </c>
      <c r="P409" s="3288"/>
      <c r="Q409" s="2993">
        <f t="shared" si="71"/>
        <v>1</v>
      </c>
      <c r="R409" s="2736">
        <f t="shared" si="72"/>
        <v>0</v>
      </c>
      <c r="S409" s="2867">
        <f t="shared" si="73"/>
        <v>0</v>
      </c>
    </row>
    <row r="410" spans="1:19">
      <c r="A410" s="2995"/>
      <c r="B410" s="3286"/>
      <c r="C410" s="2993">
        <f t="shared" ref="C410:C473" si="74">IF(B410="",1,(LOOKUP(B410,$3:$3,$4:$4)-LOOKUP($B$24,$3:$3,$4:$4)+100)/100)</f>
        <v>1</v>
      </c>
      <c r="D410" s="3288"/>
      <c r="E410" s="2993">
        <f t="shared" ref="E410:E473" si="75">(SUMIF($5:$5,D410,$6:$6)-SUMIF($5:$5,$D$24,$6:$6)+100)/100</f>
        <v>1</v>
      </c>
      <c r="F410" s="3288"/>
      <c r="G410" s="2993">
        <f t="shared" ref="G410:G473" si="76">(SUMIF($7:$7,F410,$8:$8)-SUMIF($7:$7,$F$24,$8:$8)+100)/100</f>
        <v>1</v>
      </c>
      <c r="H410" s="3288"/>
      <c r="I410" s="2993">
        <f t="shared" ref="I410:I473" si="77">(SUMIF($9:$9,H410,$10:$10)-SUMIF($9:$9,$H$24,$10:$10)+100)/100</f>
        <v>1</v>
      </c>
      <c r="J410" s="3288"/>
      <c r="K410" s="2993">
        <f t="shared" ref="K410:K473" si="78">(SUMIF($11:$11,J410,$12:$12)-SUMIF($11:$11,$J$24,$12:$12)+100)/100</f>
        <v>1</v>
      </c>
      <c r="L410" s="3288"/>
      <c r="M410" s="2993">
        <f t="shared" ref="M410:M473" si="79">(SUMIF($13:$13,L410,$14:$14)-SUMIF($13:$13,$L$24,$14:$14)+100)/100</f>
        <v>1</v>
      </c>
      <c r="N410" s="3288"/>
      <c r="O410" s="2993">
        <f t="shared" ref="O410:O473" si="80">(SUMIF($15:$15,N410,$16:$16)-SUMIF($15:$15,$N$24,$16:$16)+100)/100</f>
        <v>1</v>
      </c>
      <c r="P410" s="3288"/>
      <c r="Q410" s="2993">
        <f t="shared" ref="Q410:Q473" si="81">(SUMIF($17:$17,P410,$18:$18)-SUMIF($17:$17,$P$24,$18:$18)+100)/100</f>
        <v>1</v>
      </c>
      <c r="R410" s="2736">
        <f t="shared" ref="R410:R473" si="82">IF(B410="",0,ROUND($R$24*C410*E410*G410*I410*K410*M410*O410*Q410,0))</f>
        <v>0</v>
      </c>
      <c r="S410" s="2867">
        <f t="shared" si="73"/>
        <v>0</v>
      </c>
    </row>
    <row r="411" spans="1:19">
      <c r="A411" s="2995"/>
      <c r="B411" s="3286"/>
      <c r="C411" s="2993">
        <f t="shared" si="74"/>
        <v>1</v>
      </c>
      <c r="D411" s="3288"/>
      <c r="E411" s="2993">
        <f t="shared" si="75"/>
        <v>1</v>
      </c>
      <c r="F411" s="3288"/>
      <c r="G411" s="2993">
        <f t="shared" si="76"/>
        <v>1</v>
      </c>
      <c r="H411" s="3288"/>
      <c r="I411" s="2993">
        <f t="shared" si="77"/>
        <v>1</v>
      </c>
      <c r="J411" s="3288"/>
      <c r="K411" s="2993">
        <f t="shared" si="78"/>
        <v>1</v>
      </c>
      <c r="L411" s="3288"/>
      <c r="M411" s="2993">
        <f t="shared" si="79"/>
        <v>1</v>
      </c>
      <c r="N411" s="3288"/>
      <c r="O411" s="2993">
        <f t="shared" si="80"/>
        <v>1</v>
      </c>
      <c r="P411" s="3288"/>
      <c r="Q411" s="2993">
        <f t="shared" si="81"/>
        <v>1</v>
      </c>
      <c r="R411" s="2736">
        <f t="shared" si="82"/>
        <v>0</v>
      </c>
      <c r="S411" s="2867">
        <f t="shared" si="73"/>
        <v>0</v>
      </c>
    </row>
    <row r="412" spans="1:19">
      <c r="A412" s="2995"/>
      <c r="B412" s="3286"/>
      <c r="C412" s="2993">
        <f t="shared" si="74"/>
        <v>1</v>
      </c>
      <c r="D412" s="3288"/>
      <c r="E412" s="2993">
        <f t="shared" si="75"/>
        <v>1</v>
      </c>
      <c r="F412" s="3288"/>
      <c r="G412" s="2993">
        <f t="shared" si="76"/>
        <v>1</v>
      </c>
      <c r="H412" s="3288"/>
      <c r="I412" s="2993">
        <f t="shared" si="77"/>
        <v>1</v>
      </c>
      <c r="J412" s="3288"/>
      <c r="K412" s="2993">
        <f t="shared" si="78"/>
        <v>1</v>
      </c>
      <c r="L412" s="3288"/>
      <c r="M412" s="2993">
        <f t="shared" si="79"/>
        <v>1</v>
      </c>
      <c r="N412" s="3288"/>
      <c r="O412" s="2993">
        <f t="shared" si="80"/>
        <v>1</v>
      </c>
      <c r="P412" s="3288"/>
      <c r="Q412" s="2993">
        <f t="shared" si="81"/>
        <v>1</v>
      </c>
      <c r="R412" s="2736">
        <f t="shared" si="82"/>
        <v>0</v>
      </c>
      <c r="S412" s="2867">
        <f t="shared" si="73"/>
        <v>0</v>
      </c>
    </row>
    <row r="413" spans="1:19">
      <c r="A413" s="2995"/>
      <c r="B413" s="3286"/>
      <c r="C413" s="2993">
        <f t="shared" si="74"/>
        <v>1</v>
      </c>
      <c r="D413" s="3288"/>
      <c r="E413" s="2993">
        <f t="shared" si="75"/>
        <v>1</v>
      </c>
      <c r="F413" s="3288"/>
      <c r="G413" s="2993">
        <f t="shared" si="76"/>
        <v>1</v>
      </c>
      <c r="H413" s="3288"/>
      <c r="I413" s="2993">
        <f t="shared" si="77"/>
        <v>1</v>
      </c>
      <c r="J413" s="3288"/>
      <c r="K413" s="2993">
        <f t="shared" si="78"/>
        <v>1</v>
      </c>
      <c r="L413" s="3288"/>
      <c r="M413" s="2993">
        <f t="shared" si="79"/>
        <v>1</v>
      </c>
      <c r="N413" s="3288"/>
      <c r="O413" s="2993">
        <f t="shared" si="80"/>
        <v>1</v>
      </c>
      <c r="P413" s="3288"/>
      <c r="Q413" s="2993">
        <f t="shared" si="81"/>
        <v>1</v>
      </c>
      <c r="R413" s="2736">
        <f t="shared" si="82"/>
        <v>0</v>
      </c>
      <c r="S413" s="2867">
        <f t="shared" si="73"/>
        <v>0</v>
      </c>
    </row>
    <row r="414" spans="1:19">
      <c r="A414" s="2995"/>
      <c r="B414" s="3286"/>
      <c r="C414" s="2993">
        <f t="shared" si="74"/>
        <v>1</v>
      </c>
      <c r="D414" s="3288"/>
      <c r="E414" s="2993">
        <f t="shared" si="75"/>
        <v>1</v>
      </c>
      <c r="F414" s="3288"/>
      <c r="G414" s="2993">
        <f t="shared" si="76"/>
        <v>1</v>
      </c>
      <c r="H414" s="3288"/>
      <c r="I414" s="2993">
        <f t="shared" si="77"/>
        <v>1</v>
      </c>
      <c r="J414" s="3288"/>
      <c r="K414" s="2993">
        <f t="shared" si="78"/>
        <v>1</v>
      </c>
      <c r="L414" s="3288"/>
      <c r="M414" s="2993">
        <f t="shared" si="79"/>
        <v>1</v>
      </c>
      <c r="N414" s="3288"/>
      <c r="O414" s="2993">
        <f t="shared" si="80"/>
        <v>1</v>
      </c>
      <c r="P414" s="3288"/>
      <c r="Q414" s="2993">
        <f t="shared" si="81"/>
        <v>1</v>
      </c>
      <c r="R414" s="2736">
        <f t="shared" si="82"/>
        <v>0</v>
      </c>
      <c r="S414" s="2867">
        <f t="shared" si="73"/>
        <v>0</v>
      </c>
    </row>
    <row r="415" spans="1:19">
      <c r="A415" s="2995"/>
      <c r="B415" s="3286"/>
      <c r="C415" s="2993">
        <f t="shared" si="74"/>
        <v>1</v>
      </c>
      <c r="D415" s="3288"/>
      <c r="E415" s="2993">
        <f t="shared" si="75"/>
        <v>1</v>
      </c>
      <c r="F415" s="3288"/>
      <c r="G415" s="2993">
        <f t="shared" si="76"/>
        <v>1</v>
      </c>
      <c r="H415" s="3288"/>
      <c r="I415" s="2993">
        <f t="shared" si="77"/>
        <v>1</v>
      </c>
      <c r="J415" s="3288"/>
      <c r="K415" s="2993">
        <f t="shared" si="78"/>
        <v>1</v>
      </c>
      <c r="L415" s="3288"/>
      <c r="M415" s="2993">
        <f t="shared" si="79"/>
        <v>1</v>
      </c>
      <c r="N415" s="3288"/>
      <c r="O415" s="2993">
        <f t="shared" si="80"/>
        <v>1</v>
      </c>
      <c r="P415" s="3288"/>
      <c r="Q415" s="2993">
        <f t="shared" si="81"/>
        <v>1</v>
      </c>
      <c r="R415" s="2736">
        <f t="shared" si="82"/>
        <v>0</v>
      </c>
      <c r="S415" s="2867">
        <f t="shared" si="73"/>
        <v>0</v>
      </c>
    </row>
    <row r="416" spans="1:19">
      <c r="A416" s="2995"/>
      <c r="B416" s="3286"/>
      <c r="C416" s="2993">
        <f t="shared" si="74"/>
        <v>1</v>
      </c>
      <c r="D416" s="3288"/>
      <c r="E416" s="2993">
        <f t="shared" si="75"/>
        <v>1</v>
      </c>
      <c r="F416" s="3288"/>
      <c r="G416" s="2993">
        <f t="shared" si="76"/>
        <v>1</v>
      </c>
      <c r="H416" s="3288"/>
      <c r="I416" s="2993">
        <f t="shared" si="77"/>
        <v>1</v>
      </c>
      <c r="J416" s="3288"/>
      <c r="K416" s="2993">
        <f t="shared" si="78"/>
        <v>1</v>
      </c>
      <c r="L416" s="3288"/>
      <c r="M416" s="2993">
        <f t="shared" si="79"/>
        <v>1</v>
      </c>
      <c r="N416" s="3288"/>
      <c r="O416" s="2993">
        <f t="shared" si="80"/>
        <v>1</v>
      </c>
      <c r="P416" s="3288"/>
      <c r="Q416" s="2993">
        <f t="shared" si="81"/>
        <v>1</v>
      </c>
      <c r="R416" s="2736">
        <f t="shared" si="82"/>
        <v>0</v>
      </c>
      <c r="S416" s="2867">
        <f t="shared" si="73"/>
        <v>0</v>
      </c>
    </row>
    <row r="417" spans="1:19">
      <c r="A417" s="2995"/>
      <c r="B417" s="3286"/>
      <c r="C417" s="2993">
        <f t="shared" si="74"/>
        <v>1</v>
      </c>
      <c r="D417" s="3288"/>
      <c r="E417" s="2993">
        <f t="shared" si="75"/>
        <v>1</v>
      </c>
      <c r="F417" s="3288"/>
      <c r="G417" s="2993">
        <f t="shared" si="76"/>
        <v>1</v>
      </c>
      <c r="H417" s="3288"/>
      <c r="I417" s="2993">
        <f t="shared" si="77"/>
        <v>1</v>
      </c>
      <c r="J417" s="3288"/>
      <c r="K417" s="2993">
        <f t="shared" si="78"/>
        <v>1</v>
      </c>
      <c r="L417" s="3288"/>
      <c r="M417" s="2993">
        <f t="shared" si="79"/>
        <v>1</v>
      </c>
      <c r="N417" s="3288"/>
      <c r="O417" s="2993">
        <f t="shared" si="80"/>
        <v>1</v>
      </c>
      <c r="P417" s="3288"/>
      <c r="Q417" s="2993">
        <f t="shared" si="81"/>
        <v>1</v>
      </c>
      <c r="R417" s="2736">
        <f t="shared" si="82"/>
        <v>0</v>
      </c>
      <c r="S417" s="2867">
        <f t="shared" si="73"/>
        <v>0</v>
      </c>
    </row>
    <row r="418" spans="1:19">
      <c r="A418" s="2995"/>
      <c r="B418" s="3286"/>
      <c r="C418" s="2993">
        <f t="shared" si="74"/>
        <v>1</v>
      </c>
      <c r="D418" s="3288"/>
      <c r="E418" s="2993">
        <f t="shared" si="75"/>
        <v>1</v>
      </c>
      <c r="F418" s="3288"/>
      <c r="G418" s="2993">
        <f t="shared" si="76"/>
        <v>1</v>
      </c>
      <c r="H418" s="3288"/>
      <c r="I418" s="2993">
        <f t="shared" si="77"/>
        <v>1</v>
      </c>
      <c r="J418" s="3288"/>
      <c r="K418" s="2993">
        <f t="shared" si="78"/>
        <v>1</v>
      </c>
      <c r="L418" s="3288"/>
      <c r="M418" s="2993">
        <f t="shared" si="79"/>
        <v>1</v>
      </c>
      <c r="N418" s="3288"/>
      <c r="O418" s="2993">
        <f t="shared" si="80"/>
        <v>1</v>
      </c>
      <c r="P418" s="3288"/>
      <c r="Q418" s="2993">
        <f t="shared" si="81"/>
        <v>1</v>
      </c>
      <c r="R418" s="2736">
        <f t="shared" si="82"/>
        <v>0</v>
      </c>
      <c r="S418" s="2867">
        <f t="shared" si="73"/>
        <v>0</v>
      </c>
    </row>
    <row r="419" spans="1:19">
      <c r="A419" s="2995"/>
      <c r="B419" s="3286"/>
      <c r="C419" s="2993">
        <f t="shared" si="74"/>
        <v>1</v>
      </c>
      <c r="D419" s="3288"/>
      <c r="E419" s="2993">
        <f t="shared" si="75"/>
        <v>1</v>
      </c>
      <c r="F419" s="3288"/>
      <c r="G419" s="2993">
        <f t="shared" si="76"/>
        <v>1</v>
      </c>
      <c r="H419" s="3288"/>
      <c r="I419" s="2993">
        <f t="shared" si="77"/>
        <v>1</v>
      </c>
      <c r="J419" s="3288"/>
      <c r="K419" s="2993">
        <f t="shared" si="78"/>
        <v>1</v>
      </c>
      <c r="L419" s="3288"/>
      <c r="M419" s="2993">
        <f t="shared" si="79"/>
        <v>1</v>
      </c>
      <c r="N419" s="3288"/>
      <c r="O419" s="2993">
        <f t="shared" si="80"/>
        <v>1</v>
      </c>
      <c r="P419" s="3288"/>
      <c r="Q419" s="2993">
        <f t="shared" si="81"/>
        <v>1</v>
      </c>
      <c r="R419" s="2736">
        <f t="shared" si="82"/>
        <v>0</v>
      </c>
      <c r="S419" s="2867">
        <f t="shared" si="73"/>
        <v>0</v>
      </c>
    </row>
    <row r="420" spans="1:19">
      <c r="A420" s="2995"/>
      <c r="B420" s="3286"/>
      <c r="C420" s="2993">
        <f t="shared" si="74"/>
        <v>1</v>
      </c>
      <c r="D420" s="3288"/>
      <c r="E420" s="2993">
        <f t="shared" si="75"/>
        <v>1</v>
      </c>
      <c r="F420" s="3288"/>
      <c r="G420" s="2993">
        <f t="shared" si="76"/>
        <v>1</v>
      </c>
      <c r="H420" s="3288"/>
      <c r="I420" s="2993">
        <f t="shared" si="77"/>
        <v>1</v>
      </c>
      <c r="J420" s="3288"/>
      <c r="K420" s="2993">
        <f t="shared" si="78"/>
        <v>1</v>
      </c>
      <c r="L420" s="3288"/>
      <c r="M420" s="2993">
        <f t="shared" si="79"/>
        <v>1</v>
      </c>
      <c r="N420" s="3288"/>
      <c r="O420" s="2993">
        <f t="shared" si="80"/>
        <v>1</v>
      </c>
      <c r="P420" s="3288"/>
      <c r="Q420" s="2993">
        <f t="shared" si="81"/>
        <v>1</v>
      </c>
      <c r="R420" s="2736">
        <f t="shared" si="82"/>
        <v>0</v>
      </c>
      <c r="S420" s="2867">
        <f t="shared" si="73"/>
        <v>0</v>
      </c>
    </row>
    <row r="421" spans="1:19">
      <c r="A421" s="2995"/>
      <c r="B421" s="3286"/>
      <c r="C421" s="2993">
        <f t="shared" si="74"/>
        <v>1</v>
      </c>
      <c r="D421" s="3288"/>
      <c r="E421" s="2993">
        <f t="shared" si="75"/>
        <v>1</v>
      </c>
      <c r="F421" s="3288"/>
      <c r="G421" s="2993">
        <f t="shared" si="76"/>
        <v>1</v>
      </c>
      <c r="H421" s="3288"/>
      <c r="I421" s="2993">
        <f t="shared" si="77"/>
        <v>1</v>
      </c>
      <c r="J421" s="3288"/>
      <c r="K421" s="2993">
        <f t="shared" si="78"/>
        <v>1</v>
      </c>
      <c r="L421" s="3288"/>
      <c r="M421" s="2993">
        <f t="shared" si="79"/>
        <v>1</v>
      </c>
      <c r="N421" s="3288"/>
      <c r="O421" s="2993">
        <f t="shared" si="80"/>
        <v>1</v>
      </c>
      <c r="P421" s="3288"/>
      <c r="Q421" s="2993">
        <f t="shared" si="81"/>
        <v>1</v>
      </c>
      <c r="R421" s="2736">
        <f t="shared" si="82"/>
        <v>0</v>
      </c>
      <c r="S421" s="2867">
        <f t="shared" si="73"/>
        <v>0</v>
      </c>
    </row>
    <row r="422" spans="1:19">
      <c r="A422" s="2995"/>
      <c r="B422" s="3286"/>
      <c r="C422" s="2993">
        <f t="shared" si="74"/>
        <v>1</v>
      </c>
      <c r="D422" s="3288"/>
      <c r="E422" s="2993">
        <f t="shared" si="75"/>
        <v>1</v>
      </c>
      <c r="F422" s="3288"/>
      <c r="G422" s="2993">
        <f t="shared" si="76"/>
        <v>1</v>
      </c>
      <c r="H422" s="3288"/>
      <c r="I422" s="2993">
        <f t="shared" si="77"/>
        <v>1</v>
      </c>
      <c r="J422" s="3288"/>
      <c r="K422" s="2993">
        <f t="shared" si="78"/>
        <v>1</v>
      </c>
      <c r="L422" s="3288"/>
      <c r="M422" s="2993">
        <f t="shared" si="79"/>
        <v>1</v>
      </c>
      <c r="N422" s="3288"/>
      <c r="O422" s="2993">
        <f t="shared" si="80"/>
        <v>1</v>
      </c>
      <c r="P422" s="3288"/>
      <c r="Q422" s="2993">
        <f t="shared" si="81"/>
        <v>1</v>
      </c>
      <c r="R422" s="2736">
        <f t="shared" si="82"/>
        <v>0</v>
      </c>
      <c r="S422" s="2867">
        <f t="shared" si="73"/>
        <v>0</v>
      </c>
    </row>
    <row r="423" spans="1:19">
      <c r="A423" s="2995"/>
      <c r="B423" s="3286"/>
      <c r="C423" s="2993">
        <f t="shared" si="74"/>
        <v>1</v>
      </c>
      <c r="D423" s="3288"/>
      <c r="E423" s="2993">
        <f t="shared" si="75"/>
        <v>1</v>
      </c>
      <c r="F423" s="3288"/>
      <c r="G423" s="2993">
        <f t="shared" si="76"/>
        <v>1</v>
      </c>
      <c r="H423" s="3288"/>
      <c r="I423" s="2993">
        <f t="shared" si="77"/>
        <v>1</v>
      </c>
      <c r="J423" s="3288"/>
      <c r="K423" s="2993">
        <f t="shared" si="78"/>
        <v>1</v>
      </c>
      <c r="L423" s="3288"/>
      <c r="M423" s="2993">
        <f t="shared" si="79"/>
        <v>1</v>
      </c>
      <c r="N423" s="3288"/>
      <c r="O423" s="2993">
        <f t="shared" si="80"/>
        <v>1</v>
      </c>
      <c r="P423" s="3288"/>
      <c r="Q423" s="2993">
        <f t="shared" si="81"/>
        <v>1</v>
      </c>
      <c r="R423" s="2736">
        <f t="shared" si="82"/>
        <v>0</v>
      </c>
      <c r="S423" s="2867">
        <f t="shared" ref="S423:S467" si="83">ROUND(R423*B423/10000,0)</f>
        <v>0</v>
      </c>
    </row>
    <row r="424" spans="1:19">
      <c r="A424" s="2995"/>
      <c r="B424" s="3286"/>
      <c r="C424" s="2993">
        <f t="shared" si="74"/>
        <v>1</v>
      </c>
      <c r="D424" s="3288"/>
      <c r="E424" s="2993">
        <f t="shared" si="75"/>
        <v>1</v>
      </c>
      <c r="F424" s="3288"/>
      <c r="G424" s="2993">
        <f t="shared" si="76"/>
        <v>1</v>
      </c>
      <c r="H424" s="3288"/>
      <c r="I424" s="2993">
        <f t="shared" si="77"/>
        <v>1</v>
      </c>
      <c r="J424" s="3288"/>
      <c r="K424" s="2993">
        <f t="shared" si="78"/>
        <v>1</v>
      </c>
      <c r="L424" s="3288"/>
      <c r="M424" s="2993">
        <f t="shared" si="79"/>
        <v>1</v>
      </c>
      <c r="N424" s="3288"/>
      <c r="O424" s="2993">
        <f t="shared" si="80"/>
        <v>1</v>
      </c>
      <c r="P424" s="3288"/>
      <c r="Q424" s="2993">
        <f t="shared" si="81"/>
        <v>1</v>
      </c>
      <c r="R424" s="2736">
        <f t="shared" si="82"/>
        <v>0</v>
      </c>
      <c r="S424" s="2867">
        <f t="shared" si="83"/>
        <v>0</v>
      </c>
    </row>
    <row r="425" spans="1:19">
      <c r="A425" s="2995"/>
      <c r="B425" s="3286"/>
      <c r="C425" s="2993">
        <f t="shared" si="74"/>
        <v>1</v>
      </c>
      <c r="D425" s="3288"/>
      <c r="E425" s="2993">
        <f t="shared" si="75"/>
        <v>1</v>
      </c>
      <c r="F425" s="3288"/>
      <c r="G425" s="2993">
        <f t="shared" si="76"/>
        <v>1</v>
      </c>
      <c r="H425" s="3288"/>
      <c r="I425" s="2993">
        <f t="shared" si="77"/>
        <v>1</v>
      </c>
      <c r="J425" s="3288"/>
      <c r="K425" s="2993">
        <f t="shared" si="78"/>
        <v>1</v>
      </c>
      <c r="L425" s="3288"/>
      <c r="M425" s="2993">
        <f t="shared" si="79"/>
        <v>1</v>
      </c>
      <c r="N425" s="3288"/>
      <c r="O425" s="2993">
        <f t="shared" si="80"/>
        <v>1</v>
      </c>
      <c r="P425" s="3288"/>
      <c r="Q425" s="2993">
        <f t="shared" si="81"/>
        <v>1</v>
      </c>
      <c r="R425" s="2736">
        <f t="shared" si="82"/>
        <v>0</v>
      </c>
      <c r="S425" s="2867">
        <f t="shared" si="83"/>
        <v>0</v>
      </c>
    </row>
    <row r="426" spans="1:19">
      <c r="A426" s="2995"/>
      <c r="B426" s="3286"/>
      <c r="C426" s="2993">
        <f t="shared" si="74"/>
        <v>1</v>
      </c>
      <c r="D426" s="3288"/>
      <c r="E426" s="2993">
        <f t="shared" si="75"/>
        <v>1</v>
      </c>
      <c r="F426" s="3288"/>
      <c r="G426" s="2993">
        <f t="shared" si="76"/>
        <v>1</v>
      </c>
      <c r="H426" s="3288"/>
      <c r="I426" s="2993">
        <f t="shared" si="77"/>
        <v>1</v>
      </c>
      <c r="J426" s="3288"/>
      <c r="K426" s="2993">
        <f t="shared" si="78"/>
        <v>1</v>
      </c>
      <c r="L426" s="3288"/>
      <c r="M426" s="2993">
        <f t="shared" si="79"/>
        <v>1</v>
      </c>
      <c r="N426" s="3288"/>
      <c r="O426" s="2993">
        <f t="shared" si="80"/>
        <v>1</v>
      </c>
      <c r="P426" s="3288"/>
      <c r="Q426" s="2993">
        <f t="shared" si="81"/>
        <v>1</v>
      </c>
      <c r="R426" s="2736">
        <f t="shared" si="82"/>
        <v>0</v>
      </c>
      <c r="S426" s="2867">
        <f t="shared" si="83"/>
        <v>0</v>
      </c>
    </row>
    <row r="427" spans="1:19">
      <c r="A427" s="2995"/>
      <c r="B427" s="3286"/>
      <c r="C427" s="2993">
        <f t="shared" si="74"/>
        <v>1</v>
      </c>
      <c r="D427" s="3288"/>
      <c r="E427" s="2993">
        <f t="shared" si="75"/>
        <v>1</v>
      </c>
      <c r="F427" s="3288"/>
      <c r="G427" s="2993">
        <f t="shared" si="76"/>
        <v>1</v>
      </c>
      <c r="H427" s="3288"/>
      <c r="I427" s="2993">
        <f t="shared" si="77"/>
        <v>1</v>
      </c>
      <c r="J427" s="3288"/>
      <c r="K427" s="2993">
        <f t="shared" si="78"/>
        <v>1</v>
      </c>
      <c r="L427" s="3288"/>
      <c r="M427" s="2993">
        <f t="shared" si="79"/>
        <v>1</v>
      </c>
      <c r="N427" s="3288"/>
      <c r="O427" s="2993">
        <f t="shared" si="80"/>
        <v>1</v>
      </c>
      <c r="P427" s="3288"/>
      <c r="Q427" s="2993">
        <f t="shared" si="81"/>
        <v>1</v>
      </c>
      <c r="R427" s="2736">
        <f t="shared" si="82"/>
        <v>0</v>
      </c>
      <c r="S427" s="2867">
        <f t="shared" si="83"/>
        <v>0</v>
      </c>
    </row>
    <row r="428" spans="1:19">
      <c r="A428" s="2995"/>
      <c r="B428" s="3286"/>
      <c r="C428" s="2993">
        <f t="shared" si="74"/>
        <v>1</v>
      </c>
      <c r="D428" s="3288"/>
      <c r="E428" s="2993">
        <f t="shared" si="75"/>
        <v>1</v>
      </c>
      <c r="F428" s="3288"/>
      <c r="G428" s="2993">
        <f t="shared" si="76"/>
        <v>1</v>
      </c>
      <c r="H428" s="3288"/>
      <c r="I428" s="2993">
        <f t="shared" si="77"/>
        <v>1</v>
      </c>
      <c r="J428" s="3288"/>
      <c r="K428" s="2993">
        <f t="shared" si="78"/>
        <v>1</v>
      </c>
      <c r="L428" s="3288"/>
      <c r="M428" s="2993">
        <f t="shared" si="79"/>
        <v>1</v>
      </c>
      <c r="N428" s="3288"/>
      <c r="O428" s="2993">
        <f t="shared" si="80"/>
        <v>1</v>
      </c>
      <c r="P428" s="3288"/>
      <c r="Q428" s="2993">
        <f t="shared" si="81"/>
        <v>1</v>
      </c>
      <c r="R428" s="2736">
        <f t="shared" si="82"/>
        <v>0</v>
      </c>
      <c r="S428" s="2867">
        <f t="shared" si="83"/>
        <v>0</v>
      </c>
    </row>
    <row r="429" spans="1:19">
      <c r="A429" s="2995"/>
      <c r="B429" s="3286"/>
      <c r="C429" s="2993">
        <f t="shared" si="74"/>
        <v>1</v>
      </c>
      <c r="D429" s="3288"/>
      <c r="E429" s="2993">
        <f t="shared" si="75"/>
        <v>1</v>
      </c>
      <c r="F429" s="3288"/>
      <c r="G429" s="2993">
        <f t="shared" si="76"/>
        <v>1</v>
      </c>
      <c r="H429" s="3288"/>
      <c r="I429" s="2993">
        <f t="shared" si="77"/>
        <v>1</v>
      </c>
      <c r="J429" s="3288"/>
      <c r="K429" s="2993">
        <f t="shared" si="78"/>
        <v>1</v>
      </c>
      <c r="L429" s="3288"/>
      <c r="M429" s="2993">
        <f t="shared" si="79"/>
        <v>1</v>
      </c>
      <c r="N429" s="3288"/>
      <c r="O429" s="2993">
        <f t="shared" si="80"/>
        <v>1</v>
      </c>
      <c r="P429" s="3288"/>
      <c r="Q429" s="2993">
        <f t="shared" si="81"/>
        <v>1</v>
      </c>
      <c r="R429" s="2736">
        <f t="shared" si="82"/>
        <v>0</v>
      </c>
      <c r="S429" s="2867">
        <f t="shared" si="83"/>
        <v>0</v>
      </c>
    </row>
    <row r="430" spans="1:19">
      <c r="A430" s="2995"/>
      <c r="B430" s="3286"/>
      <c r="C430" s="2993">
        <f t="shared" si="74"/>
        <v>1</v>
      </c>
      <c r="D430" s="3288"/>
      <c r="E430" s="2993">
        <f t="shared" si="75"/>
        <v>1</v>
      </c>
      <c r="F430" s="3288"/>
      <c r="G430" s="2993">
        <f t="shared" si="76"/>
        <v>1</v>
      </c>
      <c r="H430" s="3288"/>
      <c r="I430" s="2993">
        <f t="shared" si="77"/>
        <v>1</v>
      </c>
      <c r="J430" s="3288"/>
      <c r="K430" s="2993">
        <f t="shared" si="78"/>
        <v>1</v>
      </c>
      <c r="L430" s="3288"/>
      <c r="M430" s="2993">
        <f t="shared" si="79"/>
        <v>1</v>
      </c>
      <c r="N430" s="3288"/>
      <c r="O430" s="2993">
        <f t="shared" si="80"/>
        <v>1</v>
      </c>
      <c r="P430" s="3288"/>
      <c r="Q430" s="2993">
        <f t="shared" si="81"/>
        <v>1</v>
      </c>
      <c r="R430" s="2736">
        <f t="shared" si="82"/>
        <v>0</v>
      </c>
      <c r="S430" s="2867">
        <f t="shared" si="83"/>
        <v>0</v>
      </c>
    </row>
    <row r="431" spans="1:19">
      <c r="A431" s="2995"/>
      <c r="B431" s="3286"/>
      <c r="C431" s="2993">
        <f t="shared" si="74"/>
        <v>1</v>
      </c>
      <c r="D431" s="3288"/>
      <c r="E431" s="2993">
        <f t="shared" si="75"/>
        <v>1</v>
      </c>
      <c r="F431" s="3288"/>
      <c r="G431" s="2993">
        <f t="shared" si="76"/>
        <v>1</v>
      </c>
      <c r="H431" s="3288"/>
      <c r="I431" s="2993">
        <f t="shared" si="77"/>
        <v>1</v>
      </c>
      <c r="J431" s="3288"/>
      <c r="K431" s="2993">
        <f t="shared" si="78"/>
        <v>1</v>
      </c>
      <c r="L431" s="3288"/>
      <c r="M431" s="2993">
        <f t="shared" si="79"/>
        <v>1</v>
      </c>
      <c r="N431" s="3288"/>
      <c r="O431" s="2993">
        <f t="shared" si="80"/>
        <v>1</v>
      </c>
      <c r="P431" s="3288"/>
      <c r="Q431" s="2993">
        <f t="shared" si="81"/>
        <v>1</v>
      </c>
      <c r="R431" s="2736">
        <f t="shared" si="82"/>
        <v>0</v>
      </c>
      <c r="S431" s="2867">
        <f t="shared" si="83"/>
        <v>0</v>
      </c>
    </row>
    <row r="432" spans="1:19">
      <c r="A432" s="2995"/>
      <c r="B432" s="3286"/>
      <c r="C432" s="2993">
        <f t="shared" si="74"/>
        <v>1</v>
      </c>
      <c r="D432" s="3288"/>
      <c r="E432" s="2993">
        <f t="shared" si="75"/>
        <v>1</v>
      </c>
      <c r="F432" s="3288"/>
      <c r="G432" s="2993">
        <f t="shared" si="76"/>
        <v>1</v>
      </c>
      <c r="H432" s="3288"/>
      <c r="I432" s="2993">
        <f t="shared" si="77"/>
        <v>1</v>
      </c>
      <c r="J432" s="3288"/>
      <c r="K432" s="2993">
        <f t="shared" si="78"/>
        <v>1</v>
      </c>
      <c r="L432" s="3288"/>
      <c r="M432" s="2993">
        <f t="shared" si="79"/>
        <v>1</v>
      </c>
      <c r="N432" s="3288"/>
      <c r="O432" s="2993">
        <f t="shared" si="80"/>
        <v>1</v>
      </c>
      <c r="P432" s="3288"/>
      <c r="Q432" s="2993">
        <f t="shared" si="81"/>
        <v>1</v>
      </c>
      <c r="R432" s="2736">
        <f t="shared" si="82"/>
        <v>0</v>
      </c>
      <c r="S432" s="2867">
        <f t="shared" si="83"/>
        <v>0</v>
      </c>
    </row>
    <row r="433" spans="1:19">
      <c r="A433" s="2995"/>
      <c r="B433" s="3286"/>
      <c r="C433" s="2993">
        <f t="shared" si="74"/>
        <v>1</v>
      </c>
      <c r="D433" s="3288"/>
      <c r="E433" s="2993">
        <f t="shared" si="75"/>
        <v>1</v>
      </c>
      <c r="F433" s="3288"/>
      <c r="G433" s="2993">
        <f t="shared" si="76"/>
        <v>1</v>
      </c>
      <c r="H433" s="3288"/>
      <c r="I433" s="2993">
        <f t="shared" si="77"/>
        <v>1</v>
      </c>
      <c r="J433" s="3288"/>
      <c r="K433" s="2993">
        <f t="shared" si="78"/>
        <v>1</v>
      </c>
      <c r="L433" s="3288"/>
      <c r="M433" s="2993">
        <f t="shared" si="79"/>
        <v>1</v>
      </c>
      <c r="N433" s="3288"/>
      <c r="O433" s="2993">
        <f t="shared" si="80"/>
        <v>1</v>
      </c>
      <c r="P433" s="3288"/>
      <c r="Q433" s="2993">
        <f t="shared" si="81"/>
        <v>1</v>
      </c>
      <c r="R433" s="2736">
        <f t="shared" si="82"/>
        <v>0</v>
      </c>
      <c r="S433" s="2867">
        <f t="shared" si="83"/>
        <v>0</v>
      </c>
    </row>
    <row r="434" spans="1:19">
      <c r="A434" s="2995"/>
      <c r="B434" s="3286"/>
      <c r="C434" s="2993">
        <f t="shared" si="74"/>
        <v>1</v>
      </c>
      <c r="D434" s="3288"/>
      <c r="E434" s="2993">
        <f t="shared" si="75"/>
        <v>1</v>
      </c>
      <c r="F434" s="3288"/>
      <c r="G434" s="2993">
        <f t="shared" si="76"/>
        <v>1</v>
      </c>
      <c r="H434" s="3288"/>
      <c r="I434" s="2993">
        <f t="shared" si="77"/>
        <v>1</v>
      </c>
      <c r="J434" s="3288"/>
      <c r="K434" s="2993">
        <f t="shared" si="78"/>
        <v>1</v>
      </c>
      <c r="L434" s="3288"/>
      <c r="M434" s="2993">
        <f t="shared" si="79"/>
        <v>1</v>
      </c>
      <c r="N434" s="3288"/>
      <c r="O434" s="2993">
        <f t="shared" si="80"/>
        <v>1</v>
      </c>
      <c r="P434" s="3288"/>
      <c r="Q434" s="2993">
        <f t="shared" si="81"/>
        <v>1</v>
      </c>
      <c r="R434" s="2736">
        <f t="shared" si="82"/>
        <v>0</v>
      </c>
      <c r="S434" s="2867">
        <f t="shared" si="83"/>
        <v>0</v>
      </c>
    </row>
    <row r="435" spans="1:19">
      <c r="A435" s="2995"/>
      <c r="B435" s="3286"/>
      <c r="C435" s="2993">
        <f t="shared" si="74"/>
        <v>1</v>
      </c>
      <c r="D435" s="3288"/>
      <c r="E435" s="2993">
        <f t="shared" si="75"/>
        <v>1</v>
      </c>
      <c r="F435" s="3288"/>
      <c r="G435" s="2993">
        <f t="shared" si="76"/>
        <v>1</v>
      </c>
      <c r="H435" s="3288"/>
      <c r="I435" s="2993">
        <f t="shared" si="77"/>
        <v>1</v>
      </c>
      <c r="J435" s="3288"/>
      <c r="K435" s="2993">
        <f t="shared" si="78"/>
        <v>1</v>
      </c>
      <c r="L435" s="3288"/>
      <c r="M435" s="2993">
        <f t="shared" si="79"/>
        <v>1</v>
      </c>
      <c r="N435" s="3288"/>
      <c r="O435" s="2993">
        <f t="shared" si="80"/>
        <v>1</v>
      </c>
      <c r="P435" s="3288"/>
      <c r="Q435" s="2993">
        <f t="shared" si="81"/>
        <v>1</v>
      </c>
      <c r="R435" s="2736">
        <f t="shared" si="82"/>
        <v>0</v>
      </c>
      <c r="S435" s="2867">
        <f t="shared" si="83"/>
        <v>0</v>
      </c>
    </row>
    <row r="436" spans="1:19">
      <c r="A436" s="2995"/>
      <c r="B436" s="3286"/>
      <c r="C436" s="2993">
        <f t="shared" si="74"/>
        <v>1</v>
      </c>
      <c r="D436" s="3288"/>
      <c r="E436" s="2993">
        <f t="shared" si="75"/>
        <v>1</v>
      </c>
      <c r="F436" s="3288"/>
      <c r="G436" s="2993">
        <f t="shared" si="76"/>
        <v>1</v>
      </c>
      <c r="H436" s="3288"/>
      <c r="I436" s="2993">
        <f t="shared" si="77"/>
        <v>1</v>
      </c>
      <c r="J436" s="3288"/>
      <c r="K436" s="2993">
        <f t="shared" si="78"/>
        <v>1</v>
      </c>
      <c r="L436" s="3288"/>
      <c r="M436" s="2993">
        <f t="shared" si="79"/>
        <v>1</v>
      </c>
      <c r="N436" s="3288"/>
      <c r="O436" s="2993">
        <f t="shared" si="80"/>
        <v>1</v>
      </c>
      <c r="P436" s="3288"/>
      <c r="Q436" s="2993">
        <f t="shared" si="81"/>
        <v>1</v>
      </c>
      <c r="R436" s="2736">
        <f t="shared" si="82"/>
        <v>0</v>
      </c>
      <c r="S436" s="2867">
        <f t="shared" si="83"/>
        <v>0</v>
      </c>
    </row>
    <row r="437" spans="1:19">
      <c r="A437" s="2995"/>
      <c r="B437" s="3286"/>
      <c r="C437" s="2993">
        <f t="shared" si="74"/>
        <v>1</v>
      </c>
      <c r="D437" s="3288"/>
      <c r="E437" s="2993">
        <f t="shared" si="75"/>
        <v>1</v>
      </c>
      <c r="F437" s="3288"/>
      <c r="G437" s="2993">
        <f t="shared" si="76"/>
        <v>1</v>
      </c>
      <c r="H437" s="3288"/>
      <c r="I437" s="2993">
        <f t="shared" si="77"/>
        <v>1</v>
      </c>
      <c r="J437" s="3288"/>
      <c r="K437" s="2993">
        <f t="shared" si="78"/>
        <v>1</v>
      </c>
      <c r="L437" s="3288"/>
      <c r="M437" s="2993">
        <f t="shared" si="79"/>
        <v>1</v>
      </c>
      <c r="N437" s="3288"/>
      <c r="O437" s="2993">
        <f t="shared" si="80"/>
        <v>1</v>
      </c>
      <c r="P437" s="3288"/>
      <c r="Q437" s="2993">
        <f t="shared" si="81"/>
        <v>1</v>
      </c>
      <c r="R437" s="2736">
        <f t="shared" si="82"/>
        <v>0</v>
      </c>
      <c r="S437" s="2867">
        <f t="shared" si="83"/>
        <v>0</v>
      </c>
    </row>
    <row r="438" spans="1:19">
      <c r="A438" s="2995"/>
      <c r="B438" s="3286"/>
      <c r="C438" s="2993">
        <f t="shared" si="74"/>
        <v>1</v>
      </c>
      <c r="D438" s="3288"/>
      <c r="E438" s="2993">
        <f t="shared" si="75"/>
        <v>1</v>
      </c>
      <c r="F438" s="3288"/>
      <c r="G438" s="2993">
        <f t="shared" si="76"/>
        <v>1</v>
      </c>
      <c r="H438" s="3288"/>
      <c r="I438" s="2993">
        <f t="shared" si="77"/>
        <v>1</v>
      </c>
      <c r="J438" s="3288"/>
      <c r="K438" s="2993">
        <f t="shared" si="78"/>
        <v>1</v>
      </c>
      <c r="L438" s="3288"/>
      <c r="M438" s="2993">
        <f t="shared" si="79"/>
        <v>1</v>
      </c>
      <c r="N438" s="3288"/>
      <c r="O438" s="2993">
        <f t="shared" si="80"/>
        <v>1</v>
      </c>
      <c r="P438" s="3288"/>
      <c r="Q438" s="2993">
        <f t="shared" si="81"/>
        <v>1</v>
      </c>
      <c r="R438" s="2736">
        <f t="shared" si="82"/>
        <v>0</v>
      </c>
      <c r="S438" s="2867">
        <f t="shared" si="83"/>
        <v>0</v>
      </c>
    </row>
    <row r="439" spans="1:19">
      <c r="A439" s="2995"/>
      <c r="B439" s="3286"/>
      <c r="C439" s="2993">
        <f t="shared" si="74"/>
        <v>1</v>
      </c>
      <c r="D439" s="3288"/>
      <c r="E439" s="2993">
        <f t="shared" si="75"/>
        <v>1</v>
      </c>
      <c r="F439" s="3288"/>
      <c r="G439" s="2993">
        <f t="shared" si="76"/>
        <v>1</v>
      </c>
      <c r="H439" s="3288"/>
      <c r="I439" s="2993">
        <f t="shared" si="77"/>
        <v>1</v>
      </c>
      <c r="J439" s="3288"/>
      <c r="K439" s="2993">
        <f t="shared" si="78"/>
        <v>1</v>
      </c>
      <c r="L439" s="3288"/>
      <c r="M439" s="2993">
        <f t="shared" si="79"/>
        <v>1</v>
      </c>
      <c r="N439" s="3288"/>
      <c r="O439" s="2993">
        <f t="shared" si="80"/>
        <v>1</v>
      </c>
      <c r="P439" s="3288"/>
      <c r="Q439" s="2993">
        <f t="shared" si="81"/>
        <v>1</v>
      </c>
      <c r="R439" s="2736">
        <f t="shared" si="82"/>
        <v>0</v>
      </c>
      <c r="S439" s="2867">
        <f t="shared" si="83"/>
        <v>0</v>
      </c>
    </row>
    <row r="440" spans="1:19">
      <c r="A440" s="2995"/>
      <c r="B440" s="3286"/>
      <c r="C440" s="2993">
        <f t="shared" si="74"/>
        <v>1</v>
      </c>
      <c r="D440" s="3288"/>
      <c r="E440" s="2993">
        <f t="shared" si="75"/>
        <v>1</v>
      </c>
      <c r="F440" s="3288"/>
      <c r="G440" s="2993">
        <f t="shared" si="76"/>
        <v>1</v>
      </c>
      <c r="H440" s="3288"/>
      <c r="I440" s="2993">
        <f t="shared" si="77"/>
        <v>1</v>
      </c>
      <c r="J440" s="3288"/>
      <c r="K440" s="2993">
        <f t="shared" si="78"/>
        <v>1</v>
      </c>
      <c r="L440" s="3288"/>
      <c r="M440" s="2993">
        <f t="shared" si="79"/>
        <v>1</v>
      </c>
      <c r="N440" s="3288"/>
      <c r="O440" s="2993">
        <f t="shared" si="80"/>
        <v>1</v>
      </c>
      <c r="P440" s="3288"/>
      <c r="Q440" s="2993">
        <f t="shared" si="81"/>
        <v>1</v>
      </c>
      <c r="R440" s="2736">
        <f t="shared" si="82"/>
        <v>0</v>
      </c>
      <c r="S440" s="2867">
        <f t="shared" si="83"/>
        <v>0</v>
      </c>
    </row>
    <row r="441" spans="1:19">
      <c r="A441" s="2995"/>
      <c r="B441" s="3286"/>
      <c r="C441" s="2993">
        <f t="shared" si="74"/>
        <v>1</v>
      </c>
      <c r="D441" s="3288"/>
      <c r="E441" s="2993">
        <f t="shared" si="75"/>
        <v>1</v>
      </c>
      <c r="F441" s="3288"/>
      <c r="G441" s="2993">
        <f t="shared" si="76"/>
        <v>1</v>
      </c>
      <c r="H441" s="3288"/>
      <c r="I441" s="2993">
        <f t="shared" si="77"/>
        <v>1</v>
      </c>
      <c r="J441" s="3288"/>
      <c r="K441" s="2993">
        <f t="shared" si="78"/>
        <v>1</v>
      </c>
      <c r="L441" s="3288"/>
      <c r="M441" s="2993">
        <f t="shared" si="79"/>
        <v>1</v>
      </c>
      <c r="N441" s="3288"/>
      <c r="O441" s="2993">
        <f t="shared" si="80"/>
        <v>1</v>
      </c>
      <c r="P441" s="3288"/>
      <c r="Q441" s="2993">
        <f t="shared" si="81"/>
        <v>1</v>
      </c>
      <c r="R441" s="2736">
        <f t="shared" si="82"/>
        <v>0</v>
      </c>
      <c r="S441" s="2867">
        <f t="shared" si="83"/>
        <v>0</v>
      </c>
    </row>
    <row r="442" spans="1:19">
      <c r="A442" s="2995"/>
      <c r="B442" s="3286"/>
      <c r="C442" s="2993">
        <f t="shared" si="74"/>
        <v>1</v>
      </c>
      <c r="D442" s="3288"/>
      <c r="E442" s="2993">
        <f t="shared" si="75"/>
        <v>1</v>
      </c>
      <c r="F442" s="3288"/>
      <c r="G442" s="2993">
        <f t="shared" si="76"/>
        <v>1</v>
      </c>
      <c r="H442" s="3288"/>
      <c r="I442" s="2993">
        <f t="shared" si="77"/>
        <v>1</v>
      </c>
      <c r="J442" s="3288"/>
      <c r="K442" s="2993">
        <f t="shared" si="78"/>
        <v>1</v>
      </c>
      <c r="L442" s="3288"/>
      <c r="M442" s="2993">
        <f t="shared" si="79"/>
        <v>1</v>
      </c>
      <c r="N442" s="3288"/>
      <c r="O442" s="2993">
        <f t="shared" si="80"/>
        <v>1</v>
      </c>
      <c r="P442" s="3288"/>
      <c r="Q442" s="2993">
        <f t="shared" si="81"/>
        <v>1</v>
      </c>
      <c r="R442" s="2736">
        <f t="shared" si="82"/>
        <v>0</v>
      </c>
      <c r="S442" s="2867">
        <f t="shared" si="83"/>
        <v>0</v>
      </c>
    </row>
    <row r="443" spans="1:19">
      <c r="A443" s="2995"/>
      <c r="B443" s="3286"/>
      <c r="C443" s="2993">
        <f t="shared" si="74"/>
        <v>1</v>
      </c>
      <c r="D443" s="3288"/>
      <c r="E443" s="2993">
        <f t="shared" si="75"/>
        <v>1</v>
      </c>
      <c r="F443" s="3288"/>
      <c r="G443" s="2993">
        <f t="shared" si="76"/>
        <v>1</v>
      </c>
      <c r="H443" s="3288"/>
      <c r="I443" s="2993">
        <f t="shared" si="77"/>
        <v>1</v>
      </c>
      <c r="J443" s="3288"/>
      <c r="K443" s="2993">
        <f t="shared" si="78"/>
        <v>1</v>
      </c>
      <c r="L443" s="3288"/>
      <c r="M443" s="2993">
        <f t="shared" si="79"/>
        <v>1</v>
      </c>
      <c r="N443" s="3288"/>
      <c r="O443" s="2993">
        <f t="shared" si="80"/>
        <v>1</v>
      </c>
      <c r="P443" s="3288"/>
      <c r="Q443" s="2993">
        <f t="shared" si="81"/>
        <v>1</v>
      </c>
      <c r="R443" s="2736">
        <f t="shared" si="82"/>
        <v>0</v>
      </c>
      <c r="S443" s="2867">
        <f t="shared" si="83"/>
        <v>0</v>
      </c>
    </row>
    <row r="444" spans="1:19">
      <c r="A444" s="2995"/>
      <c r="B444" s="3286"/>
      <c r="C444" s="2993">
        <f t="shared" si="74"/>
        <v>1</v>
      </c>
      <c r="D444" s="3288"/>
      <c r="E444" s="2993">
        <f t="shared" si="75"/>
        <v>1</v>
      </c>
      <c r="F444" s="3288"/>
      <c r="G444" s="2993">
        <f t="shared" si="76"/>
        <v>1</v>
      </c>
      <c r="H444" s="3288"/>
      <c r="I444" s="2993">
        <f t="shared" si="77"/>
        <v>1</v>
      </c>
      <c r="J444" s="3288"/>
      <c r="K444" s="2993">
        <f t="shared" si="78"/>
        <v>1</v>
      </c>
      <c r="L444" s="3288"/>
      <c r="M444" s="2993">
        <f t="shared" si="79"/>
        <v>1</v>
      </c>
      <c r="N444" s="3288"/>
      <c r="O444" s="2993">
        <f t="shared" si="80"/>
        <v>1</v>
      </c>
      <c r="P444" s="3288"/>
      <c r="Q444" s="2993">
        <f t="shared" si="81"/>
        <v>1</v>
      </c>
      <c r="R444" s="2736">
        <f t="shared" si="82"/>
        <v>0</v>
      </c>
      <c r="S444" s="2867">
        <f t="shared" si="83"/>
        <v>0</v>
      </c>
    </row>
    <row r="445" spans="1:19">
      <c r="A445" s="2995"/>
      <c r="B445" s="3286"/>
      <c r="C445" s="2993">
        <f t="shared" si="74"/>
        <v>1</v>
      </c>
      <c r="D445" s="3288"/>
      <c r="E445" s="2993">
        <f t="shared" si="75"/>
        <v>1</v>
      </c>
      <c r="F445" s="3288"/>
      <c r="G445" s="2993">
        <f t="shared" si="76"/>
        <v>1</v>
      </c>
      <c r="H445" s="3288"/>
      <c r="I445" s="2993">
        <f t="shared" si="77"/>
        <v>1</v>
      </c>
      <c r="J445" s="3288"/>
      <c r="K445" s="2993">
        <f t="shared" si="78"/>
        <v>1</v>
      </c>
      <c r="L445" s="3288"/>
      <c r="M445" s="2993">
        <f t="shared" si="79"/>
        <v>1</v>
      </c>
      <c r="N445" s="3288"/>
      <c r="O445" s="2993">
        <f t="shared" si="80"/>
        <v>1</v>
      </c>
      <c r="P445" s="3288"/>
      <c r="Q445" s="2993">
        <f t="shared" si="81"/>
        <v>1</v>
      </c>
      <c r="R445" s="2736">
        <f t="shared" si="82"/>
        <v>0</v>
      </c>
      <c r="S445" s="2867">
        <f t="shared" si="83"/>
        <v>0</v>
      </c>
    </row>
    <row r="446" spans="1:19">
      <c r="A446" s="2995"/>
      <c r="B446" s="3286"/>
      <c r="C446" s="2993">
        <f t="shared" si="74"/>
        <v>1</v>
      </c>
      <c r="D446" s="3288"/>
      <c r="E446" s="2993">
        <f t="shared" si="75"/>
        <v>1</v>
      </c>
      <c r="F446" s="3288"/>
      <c r="G446" s="2993">
        <f t="shared" si="76"/>
        <v>1</v>
      </c>
      <c r="H446" s="3288"/>
      <c r="I446" s="2993">
        <f t="shared" si="77"/>
        <v>1</v>
      </c>
      <c r="J446" s="3288"/>
      <c r="K446" s="2993">
        <f t="shared" si="78"/>
        <v>1</v>
      </c>
      <c r="L446" s="3288"/>
      <c r="M446" s="2993">
        <f t="shared" si="79"/>
        <v>1</v>
      </c>
      <c r="N446" s="3288"/>
      <c r="O446" s="2993">
        <f t="shared" si="80"/>
        <v>1</v>
      </c>
      <c r="P446" s="3288"/>
      <c r="Q446" s="2993">
        <f t="shared" si="81"/>
        <v>1</v>
      </c>
      <c r="R446" s="2736">
        <f t="shared" si="82"/>
        <v>0</v>
      </c>
      <c r="S446" s="2867">
        <f t="shared" si="83"/>
        <v>0</v>
      </c>
    </row>
    <row r="447" spans="1:19">
      <c r="A447" s="2995"/>
      <c r="B447" s="3286"/>
      <c r="C447" s="2993">
        <f t="shared" si="74"/>
        <v>1</v>
      </c>
      <c r="D447" s="3288"/>
      <c r="E447" s="2993">
        <f t="shared" si="75"/>
        <v>1</v>
      </c>
      <c r="F447" s="3288"/>
      <c r="G447" s="2993">
        <f t="shared" si="76"/>
        <v>1</v>
      </c>
      <c r="H447" s="3288"/>
      <c r="I447" s="2993">
        <f t="shared" si="77"/>
        <v>1</v>
      </c>
      <c r="J447" s="3288"/>
      <c r="K447" s="2993">
        <f t="shared" si="78"/>
        <v>1</v>
      </c>
      <c r="L447" s="3288"/>
      <c r="M447" s="2993">
        <f t="shared" si="79"/>
        <v>1</v>
      </c>
      <c r="N447" s="3288"/>
      <c r="O447" s="2993">
        <f t="shared" si="80"/>
        <v>1</v>
      </c>
      <c r="P447" s="3288"/>
      <c r="Q447" s="2993">
        <f t="shared" si="81"/>
        <v>1</v>
      </c>
      <c r="R447" s="2736">
        <f t="shared" si="82"/>
        <v>0</v>
      </c>
      <c r="S447" s="2867">
        <f t="shared" si="83"/>
        <v>0</v>
      </c>
    </row>
    <row r="448" spans="1:19">
      <c r="A448" s="2995"/>
      <c r="B448" s="3286"/>
      <c r="C448" s="2993">
        <f t="shared" si="74"/>
        <v>1</v>
      </c>
      <c r="D448" s="3288"/>
      <c r="E448" s="2993">
        <f t="shared" si="75"/>
        <v>1</v>
      </c>
      <c r="F448" s="3288"/>
      <c r="G448" s="2993">
        <f t="shared" si="76"/>
        <v>1</v>
      </c>
      <c r="H448" s="3288"/>
      <c r="I448" s="2993">
        <f t="shared" si="77"/>
        <v>1</v>
      </c>
      <c r="J448" s="3288"/>
      <c r="K448" s="2993">
        <f t="shared" si="78"/>
        <v>1</v>
      </c>
      <c r="L448" s="3288"/>
      <c r="M448" s="2993">
        <f t="shared" si="79"/>
        <v>1</v>
      </c>
      <c r="N448" s="3288"/>
      <c r="O448" s="2993">
        <f t="shared" si="80"/>
        <v>1</v>
      </c>
      <c r="P448" s="3288"/>
      <c r="Q448" s="2993">
        <f t="shared" si="81"/>
        <v>1</v>
      </c>
      <c r="R448" s="2736">
        <f t="shared" si="82"/>
        <v>0</v>
      </c>
      <c r="S448" s="2867">
        <f t="shared" si="83"/>
        <v>0</v>
      </c>
    </row>
    <row r="449" spans="1:19">
      <c r="A449" s="2995"/>
      <c r="B449" s="3286"/>
      <c r="C449" s="2993">
        <f t="shared" si="74"/>
        <v>1</v>
      </c>
      <c r="D449" s="3288"/>
      <c r="E449" s="2993">
        <f t="shared" si="75"/>
        <v>1</v>
      </c>
      <c r="F449" s="3288"/>
      <c r="G449" s="2993">
        <f t="shared" si="76"/>
        <v>1</v>
      </c>
      <c r="H449" s="3288"/>
      <c r="I449" s="2993">
        <f t="shared" si="77"/>
        <v>1</v>
      </c>
      <c r="J449" s="3288"/>
      <c r="K449" s="2993">
        <f t="shared" si="78"/>
        <v>1</v>
      </c>
      <c r="L449" s="3288"/>
      <c r="M449" s="2993">
        <f t="shared" si="79"/>
        <v>1</v>
      </c>
      <c r="N449" s="3288"/>
      <c r="O449" s="2993">
        <f t="shared" si="80"/>
        <v>1</v>
      </c>
      <c r="P449" s="3288"/>
      <c r="Q449" s="2993">
        <f t="shared" si="81"/>
        <v>1</v>
      </c>
      <c r="R449" s="2736">
        <f t="shared" si="82"/>
        <v>0</v>
      </c>
      <c r="S449" s="2867">
        <f t="shared" si="83"/>
        <v>0</v>
      </c>
    </row>
    <row r="450" spans="1:19">
      <c r="A450" s="2995"/>
      <c r="B450" s="3286"/>
      <c r="C450" s="2993">
        <f t="shared" si="74"/>
        <v>1</v>
      </c>
      <c r="D450" s="3288"/>
      <c r="E450" s="2993">
        <f t="shared" si="75"/>
        <v>1</v>
      </c>
      <c r="F450" s="3288"/>
      <c r="G450" s="2993">
        <f t="shared" si="76"/>
        <v>1</v>
      </c>
      <c r="H450" s="3288"/>
      <c r="I450" s="2993">
        <f t="shared" si="77"/>
        <v>1</v>
      </c>
      <c r="J450" s="3288"/>
      <c r="K450" s="2993">
        <f t="shared" si="78"/>
        <v>1</v>
      </c>
      <c r="L450" s="3288"/>
      <c r="M450" s="2993">
        <f t="shared" si="79"/>
        <v>1</v>
      </c>
      <c r="N450" s="3288"/>
      <c r="O450" s="2993">
        <f t="shared" si="80"/>
        <v>1</v>
      </c>
      <c r="P450" s="3288"/>
      <c r="Q450" s="2993">
        <f t="shared" si="81"/>
        <v>1</v>
      </c>
      <c r="R450" s="2736">
        <f t="shared" si="82"/>
        <v>0</v>
      </c>
      <c r="S450" s="2867">
        <f t="shared" si="83"/>
        <v>0</v>
      </c>
    </row>
    <row r="451" spans="1:19">
      <c r="A451" s="2995"/>
      <c r="B451" s="3286"/>
      <c r="C451" s="2993">
        <f t="shared" si="74"/>
        <v>1</v>
      </c>
      <c r="D451" s="3288"/>
      <c r="E451" s="2993">
        <f t="shared" si="75"/>
        <v>1</v>
      </c>
      <c r="F451" s="3288"/>
      <c r="G451" s="2993">
        <f t="shared" si="76"/>
        <v>1</v>
      </c>
      <c r="H451" s="3288"/>
      <c r="I451" s="2993">
        <f t="shared" si="77"/>
        <v>1</v>
      </c>
      <c r="J451" s="3288"/>
      <c r="K451" s="2993">
        <f t="shared" si="78"/>
        <v>1</v>
      </c>
      <c r="L451" s="3288"/>
      <c r="M451" s="2993">
        <f t="shared" si="79"/>
        <v>1</v>
      </c>
      <c r="N451" s="3288"/>
      <c r="O451" s="2993">
        <f t="shared" si="80"/>
        <v>1</v>
      </c>
      <c r="P451" s="3288"/>
      <c r="Q451" s="2993">
        <f t="shared" si="81"/>
        <v>1</v>
      </c>
      <c r="R451" s="2736">
        <f t="shared" si="82"/>
        <v>0</v>
      </c>
      <c r="S451" s="2867">
        <f t="shared" si="83"/>
        <v>0</v>
      </c>
    </row>
    <row r="452" spans="1:19">
      <c r="A452" s="2995"/>
      <c r="B452" s="3286"/>
      <c r="C452" s="2993">
        <f t="shared" si="74"/>
        <v>1</v>
      </c>
      <c r="D452" s="3288"/>
      <c r="E452" s="2993">
        <f t="shared" si="75"/>
        <v>1</v>
      </c>
      <c r="F452" s="3288"/>
      <c r="G452" s="2993">
        <f t="shared" si="76"/>
        <v>1</v>
      </c>
      <c r="H452" s="3288"/>
      <c r="I452" s="2993">
        <f t="shared" si="77"/>
        <v>1</v>
      </c>
      <c r="J452" s="3288"/>
      <c r="K452" s="2993">
        <f t="shared" si="78"/>
        <v>1</v>
      </c>
      <c r="L452" s="3288"/>
      <c r="M452" s="2993">
        <f t="shared" si="79"/>
        <v>1</v>
      </c>
      <c r="N452" s="3288"/>
      <c r="O452" s="2993">
        <f t="shared" si="80"/>
        <v>1</v>
      </c>
      <c r="P452" s="3288"/>
      <c r="Q452" s="2993">
        <f t="shared" si="81"/>
        <v>1</v>
      </c>
      <c r="R452" s="2736">
        <f t="shared" si="82"/>
        <v>0</v>
      </c>
      <c r="S452" s="2867">
        <f t="shared" si="83"/>
        <v>0</v>
      </c>
    </row>
    <row r="453" spans="1:19">
      <c r="A453" s="2995"/>
      <c r="B453" s="3286"/>
      <c r="C453" s="2993">
        <f t="shared" si="74"/>
        <v>1</v>
      </c>
      <c r="D453" s="3288"/>
      <c r="E453" s="2993">
        <f t="shared" si="75"/>
        <v>1</v>
      </c>
      <c r="F453" s="3288"/>
      <c r="G453" s="2993">
        <f t="shared" si="76"/>
        <v>1</v>
      </c>
      <c r="H453" s="3288"/>
      <c r="I453" s="2993">
        <f t="shared" si="77"/>
        <v>1</v>
      </c>
      <c r="J453" s="3288"/>
      <c r="K453" s="2993">
        <f t="shared" si="78"/>
        <v>1</v>
      </c>
      <c r="L453" s="3288"/>
      <c r="M453" s="2993">
        <f t="shared" si="79"/>
        <v>1</v>
      </c>
      <c r="N453" s="3288"/>
      <c r="O453" s="2993">
        <f t="shared" si="80"/>
        <v>1</v>
      </c>
      <c r="P453" s="3288"/>
      <c r="Q453" s="2993">
        <f t="shared" si="81"/>
        <v>1</v>
      </c>
      <c r="R453" s="2736">
        <f t="shared" si="82"/>
        <v>0</v>
      </c>
      <c r="S453" s="2867">
        <f t="shared" si="83"/>
        <v>0</v>
      </c>
    </row>
    <row r="454" spans="1:19">
      <c r="A454" s="2995"/>
      <c r="B454" s="3286"/>
      <c r="C454" s="2993">
        <f t="shared" si="74"/>
        <v>1</v>
      </c>
      <c r="D454" s="3288"/>
      <c r="E454" s="2993">
        <f t="shared" si="75"/>
        <v>1</v>
      </c>
      <c r="F454" s="3288"/>
      <c r="G454" s="2993">
        <f t="shared" si="76"/>
        <v>1</v>
      </c>
      <c r="H454" s="3288"/>
      <c r="I454" s="2993">
        <f t="shared" si="77"/>
        <v>1</v>
      </c>
      <c r="J454" s="3288"/>
      <c r="K454" s="2993">
        <f t="shared" si="78"/>
        <v>1</v>
      </c>
      <c r="L454" s="3288"/>
      <c r="M454" s="2993">
        <f t="shared" si="79"/>
        <v>1</v>
      </c>
      <c r="N454" s="3288"/>
      <c r="O454" s="2993">
        <f t="shared" si="80"/>
        <v>1</v>
      </c>
      <c r="P454" s="3288"/>
      <c r="Q454" s="2993">
        <f t="shared" si="81"/>
        <v>1</v>
      </c>
      <c r="R454" s="2736">
        <f t="shared" si="82"/>
        <v>0</v>
      </c>
      <c r="S454" s="2867">
        <f t="shared" si="83"/>
        <v>0</v>
      </c>
    </row>
    <row r="455" spans="1:19">
      <c r="A455" s="2995"/>
      <c r="B455" s="3286"/>
      <c r="C455" s="2993">
        <f t="shared" si="74"/>
        <v>1</v>
      </c>
      <c r="D455" s="3288"/>
      <c r="E455" s="2993">
        <f t="shared" si="75"/>
        <v>1</v>
      </c>
      <c r="F455" s="3288"/>
      <c r="G455" s="2993">
        <f t="shared" si="76"/>
        <v>1</v>
      </c>
      <c r="H455" s="3288"/>
      <c r="I455" s="2993">
        <f t="shared" si="77"/>
        <v>1</v>
      </c>
      <c r="J455" s="3288"/>
      <c r="K455" s="2993">
        <f t="shared" si="78"/>
        <v>1</v>
      </c>
      <c r="L455" s="3288"/>
      <c r="M455" s="2993">
        <f t="shared" si="79"/>
        <v>1</v>
      </c>
      <c r="N455" s="3288"/>
      <c r="O455" s="2993">
        <f t="shared" si="80"/>
        <v>1</v>
      </c>
      <c r="P455" s="3288"/>
      <c r="Q455" s="2993">
        <f t="shared" si="81"/>
        <v>1</v>
      </c>
      <c r="R455" s="2736">
        <f t="shared" si="82"/>
        <v>0</v>
      </c>
      <c r="S455" s="2867">
        <f t="shared" si="83"/>
        <v>0</v>
      </c>
    </row>
    <row r="456" spans="1:19">
      <c r="A456" s="2995"/>
      <c r="B456" s="3286"/>
      <c r="C456" s="2993">
        <f t="shared" si="74"/>
        <v>1</v>
      </c>
      <c r="D456" s="3288"/>
      <c r="E456" s="2993">
        <f t="shared" si="75"/>
        <v>1</v>
      </c>
      <c r="F456" s="3288"/>
      <c r="G456" s="2993">
        <f t="shared" si="76"/>
        <v>1</v>
      </c>
      <c r="H456" s="3288"/>
      <c r="I456" s="2993">
        <f t="shared" si="77"/>
        <v>1</v>
      </c>
      <c r="J456" s="3288"/>
      <c r="K456" s="2993">
        <f t="shared" si="78"/>
        <v>1</v>
      </c>
      <c r="L456" s="3288"/>
      <c r="M456" s="2993">
        <f t="shared" si="79"/>
        <v>1</v>
      </c>
      <c r="N456" s="3288"/>
      <c r="O456" s="2993">
        <f t="shared" si="80"/>
        <v>1</v>
      </c>
      <c r="P456" s="3288"/>
      <c r="Q456" s="2993">
        <f t="shared" si="81"/>
        <v>1</v>
      </c>
      <c r="R456" s="2736">
        <f t="shared" si="82"/>
        <v>0</v>
      </c>
      <c r="S456" s="2867">
        <f t="shared" si="83"/>
        <v>0</v>
      </c>
    </row>
    <row r="457" spans="1:19">
      <c r="A457" s="2995"/>
      <c r="B457" s="3286"/>
      <c r="C457" s="2993">
        <f t="shared" si="74"/>
        <v>1</v>
      </c>
      <c r="D457" s="3288"/>
      <c r="E457" s="2993">
        <f t="shared" si="75"/>
        <v>1</v>
      </c>
      <c r="F457" s="3288"/>
      <c r="G457" s="2993">
        <f t="shared" si="76"/>
        <v>1</v>
      </c>
      <c r="H457" s="3288"/>
      <c r="I457" s="2993">
        <f t="shared" si="77"/>
        <v>1</v>
      </c>
      <c r="J457" s="3288"/>
      <c r="K457" s="2993">
        <f t="shared" si="78"/>
        <v>1</v>
      </c>
      <c r="L457" s="3288"/>
      <c r="M457" s="2993">
        <f t="shared" si="79"/>
        <v>1</v>
      </c>
      <c r="N457" s="3288"/>
      <c r="O457" s="2993">
        <f t="shared" si="80"/>
        <v>1</v>
      </c>
      <c r="P457" s="3288"/>
      <c r="Q457" s="2993">
        <f t="shared" si="81"/>
        <v>1</v>
      </c>
      <c r="R457" s="2736">
        <f t="shared" si="82"/>
        <v>0</v>
      </c>
      <c r="S457" s="2867">
        <f t="shared" si="83"/>
        <v>0</v>
      </c>
    </row>
    <row r="458" spans="1:19">
      <c r="A458" s="2995"/>
      <c r="B458" s="3286"/>
      <c r="C458" s="2993">
        <f t="shared" si="74"/>
        <v>1</v>
      </c>
      <c r="D458" s="3288"/>
      <c r="E458" s="2993">
        <f t="shared" si="75"/>
        <v>1</v>
      </c>
      <c r="F458" s="3288"/>
      <c r="G458" s="2993">
        <f t="shared" si="76"/>
        <v>1</v>
      </c>
      <c r="H458" s="3288"/>
      <c r="I458" s="2993">
        <f t="shared" si="77"/>
        <v>1</v>
      </c>
      <c r="J458" s="3288"/>
      <c r="K458" s="2993">
        <f t="shared" si="78"/>
        <v>1</v>
      </c>
      <c r="L458" s="3288"/>
      <c r="M458" s="2993">
        <f t="shared" si="79"/>
        <v>1</v>
      </c>
      <c r="N458" s="3288"/>
      <c r="O458" s="2993">
        <f t="shared" si="80"/>
        <v>1</v>
      </c>
      <c r="P458" s="3288"/>
      <c r="Q458" s="2993">
        <f t="shared" si="81"/>
        <v>1</v>
      </c>
      <c r="R458" s="2736">
        <f t="shared" si="82"/>
        <v>0</v>
      </c>
      <c r="S458" s="2867">
        <f t="shared" si="83"/>
        <v>0</v>
      </c>
    </row>
    <row r="459" spans="1:19">
      <c r="A459" s="2995"/>
      <c r="B459" s="3286"/>
      <c r="C459" s="2993">
        <f t="shared" si="74"/>
        <v>1</v>
      </c>
      <c r="D459" s="3288"/>
      <c r="E459" s="2993">
        <f t="shared" si="75"/>
        <v>1</v>
      </c>
      <c r="F459" s="3288"/>
      <c r="G459" s="2993">
        <f t="shared" si="76"/>
        <v>1</v>
      </c>
      <c r="H459" s="3288"/>
      <c r="I459" s="2993">
        <f t="shared" si="77"/>
        <v>1</v>
      </c>
      <c r="J459" s="3288"/>
      <c r="K459" s="2993">
        <f t="shared" si="78"/>
        <v>1</v>
      </c>
      <c r="L459" s="3288"/>
      <c r="M459" s="2993">
        <f t="shared" si="79"/>
        <v>1</v>
      </c>
      <c r="N459" s="3288"/>
      <c r="O459" s="2993">
        <f t="shared" si="80"/>
        <v>1</v>
      </c>
      <c r="P459" s="3288"/>
      <c r="Q459" s="2993">
        <f t="shared" si="81"/>
        <v>1</v>
      </c>
      <c r="R459" s="2736">
        <f t="shared" si="82"/>
        <v>0</v>
      </c>
      <c r="S459" s="2867">
        <f t="shared" si="83"/>
        <v>0</v>
      </c>
    </row>
    <row r="460" spans="1:19">
      <c r="A460" s="2995"/>
      <c r="B460" s="3286"/>
      <c r="C460" s="2993">
        <f t="shared" si="74"/>
        <v>1</v>
      </c>
      <c r="D460" s="3288"/>
      <c r="E460" s="2993">
        <f t="shared" si="75"/>
        <v>1</v>
      </c>
      <c r="F460" s="3288"/>
      <c r="G460" s="2993">
        <f t="shared" si="76"/>
        <v>1</v>
      </c>
      <c r="H460" s="3288"/>
      <c r="I460" s="2993">
        <f t="shared" si="77"/>
        <v>1</v>
      </c>
      <c r="J460" s="3288"/>
      <c r="K460" s="2993">
        <f t="shared" si="78"/>
        <v>1</v>
      </c>
      <c r="L460" s="3288"/>
      <c r="M460" s="2993">
        <f t="shared" si="79"/>
        <v>1</v>
      </c>
      <c r="N460" s="3288"/>
      <c r="O460" s="2993">
        <f t="shared" si="80"/>
        <v>1</v>
      </c>
      <c r="P460" s="3288"/>
      <c r="Q460" s="2993">
        <f t="shared" si="81"/>
        <v>1</v>
      </c>
      <c r="R460" s="2736">
        <f t="shared" si="82"/>
        <v>0</v>
      </c>
      <c r="S460" s="2867">
        <f t="shared" si="83"/>
        <v>0</v>
      </c>
    </row>
    <row r="461" spans="1:19">
      <c r="A461" s="2995"/>
      <c r="B461" s="3286"/>
      <c r="C461" s="2993">
        <f t="shared" si="74"/>
        <v>1</v>
      </c>
      <c r="D461" s="3288"/>
      <c r="E461" s="2993">
        <f t="shared" si="75"/>
        <v>1</v>
      </c>
      <c r="F461" s="3288"/>
      <c r="G461" s="2993">
        <f t="shared" si="76"/>
        <v>1</v>
      </c>
      <c r="H461" s="3288"/>
      <c r="I461" s="2993">
        <f t="shared" si="77"/>
        <v>1</v>
      </c>
      <c r="J461" s="3288"/>
      <c r="K461" s="2993">
        <f t="shared" si="78"/>
        <v>1</v>
      </c>
      <c r="L461" s="3288"/>
      <c r="M461" s="2993">
        <f t="shared" si="79"/>
        <v>1</v>
      </c>
      <c r="N461" s="3288"/>
      <c r="O461" s="2993">
        <f t="shared" si="80"/>
        <v>1</v>
      </c>
      <c r="P461" s="3288"/>
      <c r="Q461" s="2993">
        <f t="shared" si="81"/>
        <v>1</v>
      </c>
      <c r="R461" s="2736">
        <f t="shared" si="82"/>
        <v>0</v>
      </c>
      <c r="S461" s="2867">
        <f t="shared" si="83"/>
        <v>0</v>
      </c>
    </row>
    <row r="462" spans="1:19">
      <c r="A462" s="2995"/>
      <c r="B462" s="3286"/>
      <c r="C462" s="2993">
        <f t="shared" si="74"/>
        <v>1</v>
      </c>
      <c r="D462" s="3288"/>
      <c r="E462" s="2993">
        <f t="shared" si="75"/>
        <v>1</v>
      </c>
      <c r="F462" s="3288"/>
      <c r="G462" s="2993">
        <f t="shared" si="76"/>
        <v>1</v>
      </c>
      <c r="H462" s="3288"/>
      <c r="I462" s="2993">
        <f t="shared" si="77"/>
        <v>1</v>
      </c>
      <c r="J462" s="3288"/>
      <c r="K462" s="2993">
        <f t="shared" si="78"/>
        <v>1</v>
      </c>
      <c r="L462" s="3288"/>
      <c r="M462" s="2993">
        <f t="shared" si="79"/>
        <v>1</v>
      </c>
      <c r="N462" s="3288"/>
      <c r="O462" s="2993">
        <f t="shared" si="80"/>
        <v>1</v>
      </c>
      <c r="P462" s="3288"/>
      <c r="Q462" s="2993">
        <f t="shared" si="81"/>
        <v>1</v>
      </c>
      <c r="R462" s="2736">
        <f t="shared" si="82"/>
        <v>0</v>
      </c>
      <c r="S462" s="2867">
        <f t="shared" si="83"/>
        <v>0</v>
      </c>
    </row>
    <row r="463" spans="1:19">
      <c r="A463" s="2995"/>
      <c r="B463" s="3286"/>
      <c r="C463" s="2993">
        <f t="shared" si="74"/>
        <v>1</v>
      </c>
      <c r="D463" s="3288"/>
      <c r="E463" s="2993">
        <f t="shared" si="75"/>
        <v>1</v>
      </c>
      <c r="F463" s="3288"/>
      <c r="G463" s="2993">
        <f t="shared" si="76"/>
        <v>1</v>
      </c>
      <c r="H463" s="3288"/>
      <c r="I463" s="2993">
        <f t="shared" si="77"/>
        <v>1</v>
      </c>
      <c r="J463" s="3288"/>
      <c r="K463" s="2993">
        <f t="shared" si="78"/>
        <v>1</v>
      </c>
      <c r="L463" s="3288"/>
      <c r="M463" s="2993">
        <f t="shared" si="79"/>
        <v>1</v>
      </c>
      <c r="N463" s="3288"/>
      <c r="O463" s="2993">
        <f t="shared" si="80"/>
        <v>1</v>
      </c>
      <c r="P463" s="3288"/>
      <c r="Q463" s="2993">
        <f t="shared" si="81"/>
        <v>1</v>
      </c>
      <c r="R463" s="2736">
        <f t="shared" si="82"/>
        <v>0</v>
      </c>
      <c r="S463" s="2867">
        <f t="shared" si="83"/>
        <v>0</v>
      </c>
    </row>
    <row r="464" spans="1:19">
      <c r="A464" s="2995"/>
      <c r="B464" s="3286"/>
      <c r="C464" s="2993">
        <f t="shared" si="74"/>
        <v>1</v>
      </c>
      <c r="D464" s="3288"/>
      <c r="E464" s="2993">
        <f t="shared" si="75"/>
        <v>1</v>
      </c>
      <c r="F464" s="3288"/>
      <c r="G464" s="2993">
        <f t="shared" si="76"/>
        <v>1</v>
      </c>
      <c r="H464" s="3288"/>
      <c r="I464" s="2993">
        <f t="shared" si="77"/>
        <v>1</v>
      </c>
      <c r="J464" s="3288"/>
      <c r="K464" s="2993">
        <f t="shared" si="78"/>
        <v>1</v>
      </c>
      <c r="L464" s="3288"/>
      <c r="M464" s="2993">
        <f t="shared" si="79"/>
        <v>1</v>
      </c>
      <c r="N464" s="3288"/>
      <c r="O464" s="2993">
        <f t="shared" si="80"/>
        <v>1</v>
      </c>
      <c r="P464" s="3288"/>
      <c r="Q464" s="2993">
        <f t="shared" si="81"/>
        <v>1</v>
      </c>
      <c r="R464" s="2736">
        <f t="shared" si="82"/>
        <v>0</v>
      </c>
      <c r="S464" s="2867">
        <f t="shared" si="83"/>
        <v>0</v>
      </c>
    </row>
    <row r="465" spans="1:19">
      <c r="A465" s="2995"/>
      <c r="B465" s="3286"/>
      <c r="C465" s="2993">
        <f t="shared" si="74"/>
        <v>1</v>
      </c>
      <c r="D465" s="3288"/>
      <c r="E465" s="2993">
        <f t="shared" si="75"/>
        <v>1</v>
      </c>
      <c r="F465" s="3288"/>
      <c r="G465" s="2993">
        <f t="shared" si="76"/>
        <v>1</v>
      </c>
      <c r="H465" s="3288"/>
      <c r="I465" s="2993">
        <f t="shared" si="77"/>
        <v>1</v>
      </c>
      <c r="J465" s="3288"/>
      <c r="K465" s="2993">
        <f t="shared" si="78"/>
        <v>1</v>
      </c>
      <c r="L465" s="3288"/>
      <c r="M465" s="2993">
        <f t="shared" si="79"/>
        <v>1</v>
      </c>
      <c r="N465" s="3288"/>
      <c r="O465" s="2993">
        <f t="shared" si="80"/>
        <v>1</v>
      </c>
      <c r="P465" s="3288"/>
      <c r="Q465" s="2993">
        <f t="shared" si="81"/>
        <v>1</v>
      </c>
      <c r="R465" s="2736">
        <f t="shared" si="82"/>
        <v>0</v>
      </c>
      <c r="S465" s="2867">
        <f t="shared" si="83"/>
        <v>0</v>
      </c>
    </row>
    <row r="466" spans="1:19">
      <c r="A466" s="2995"/>
      <c r="B466" s="3286"/>
      <c r="C466" s="2993">
        <f t="shared" si="74"/>
        <v>1</v>
      </c>
      <c r="D466" s="3288"/>
      <c r="E466" s="2993">
        <f t="shared" si="75"/>
        <v>1</v>
      </c>
      <c r="F466" s="3288"/>
      <c r="G466" s="2993">
        <f t="shared" si="76"/>
        <v>1</v>
      </c>
      <c r="H466" s="3288"/>
      <c r="I466" s="2993">
        <f t="shared" si="77"/>
        <v>1</v>
      </c>
      <c r="J466" s="3288"/>
      <c r="K466" s="2993">
        <f t="shared" si="78"/>
        <v>1</v>
      </c>
      <c r="L466" s="3288"/>
      <c r="M466" s="2993">
        <f t="shared" si="79"/>
        <v>1</v>
      </c>
      <c r="N466" s="3288"/>
      <c r="O466" s="2993">
        <f t="shared" si="80"/>
        <v>1</v>
      </c>
      <c r="P466" s="3288"/>
      <c r="Q466" s="2993">
        <f t="shared" si="81"/>
        <v>1</v>
      </c>
      <c r="R466" s="2736">
        <f t="shared" si="82"/>
        <v>0</v>
      </c>
      <c r="S466" s="2867">
        <f t="shared" si="83"/>
        <v>0</v>
      </c>
    </row>
    <row r="467" spans="1:19">
      <c r="A467" s="2995"/>
      <c r="B467" s="3286"/>
      <c r="C467" s="2993">
        <f t="shared" si="74"/>
        <v>1</v>
      </c>
      <c r="D467" s="3288"/>
      <c r="E467" s="2993">
        <f t="shared" si="75"/>
        <v>1</v>
      </c>
      <c r="F467" s="3288"/>
      <c r="G467" s="2993">
        <f t="shared" si="76"/>
        <v>1</v>
      </c>
      <c r="H467" s="3288"/>
      <c r="I467" s="2993">
        <f t="shared" si="77"/>
        <v>1</v>
      </c>
      <c r="J467" s="3288"/>
      <c r="K467" s="2993">
        <f t="shared" si="78"/>
        <v>1</v>
      </c>
      <c r="L467" s="3288"/>
      <c r="M467" s="2993">
        <f t="shared" si="79"/>
        <v>1</v>
      </c>
      <c r="N467" s="3288"/>
      <c r="O467" s="2993">
        <f t="shared" si="80"/>
        <v>1</v>
      </c>
      <c r="P467" s="3288"/>
      <c r="Q467" s="2993">
        <f t="shared" si="81"/>
        <v>1</v>
      </c>
      <c r="R467" s="2736">
        <f t="shared" si="82"/>
        <v>0</v>
      </c>
      <c r="S467" s="2867">
        <f t="shared" si="83"/>
        <v>0</v>
      </c>
    </row>
    <row r="468" spans="1:19">
      <c r="A468" s="2995"/>
      <c r="B468" s="3286"/>
      <c r="C468" s="2993">
        <f t="shared" si="74"/>
        <v>1</v>
      </c>
      <c r="D468" s="3288"/>
      <c r="E468" s="2993">
        <f t="shared" si="75"/>
        <v>1</v>
      </c>
      <c r="F468" s="3288"/>
      <c r="G468" s="2993">
        <f t="shared" si="76"/>
        <v>1</v>
      </c>
      <c r="H468" s="3288"/>
      <c r="I468" s="2993">
        <f t="shared" si="77"/>
        <v>1</v>
      </c>
      <c r="J468" s="3288"/>
      <c r="K468" s="2993">
        <f t="shared" si="78"/>
        <v>1</v>
      </c>
      <c r="L468" s="3288"/>
      <c r="M468" s="2993">
        <f t="shared" si="79"/>
        <v>1</v>
      </c>
      <c r="N468" s="3288"/>
      <c r="O468" s="2993">
        <f t="shared" si="80"/>
        <v>1</v>
      </c>
      <c r="P468" s="3288"/>
      <c r="Q468" s="2993">
        <f t="shared" si="81"/>
        <v>1</v>
      </c>
      <c r="R468" s="2736">
        <f t="shared" si="82"/>
        <v>0</v>
      </c>
      <c r="S468" s="2867">
        <f t="shared" ref="S468:S497" si="84">ROUND(R468*B468/10000,0)</f>
        <v>0</v>
      </c>
    </row>
    <row r="469" spans="1:19">
      <c r="A469" s="2995"/>
      <c r="B469" s="3286"/>
      <c r="C469" s="2993">
        <f t="shared" si="74"/>
        <v>1</v>
      </c>
      <c r="D469" s="3288"/>
      <c r="E469" s="2993">
        <f t="shared" si="75"/>
        <v>1</v>
      </c>
      <c r="F469" s="3288"/>
      <c r="G469" s="2993">
        <f t="shared" si="76"/>
        <v>1</v>
      </c>
      <c r="H469" s="3288"/>
      <c r="I469" s="2993">
        <f t="shared" si="77"/>
        <v>1</v>
      </c>
      <c r="J469" s="3288"/>
      <c r="K469" s="2993">
        <f t="shared" si="78"/>
        <v>1</v>
      </c>
      <c r="L469" s="3288"/>
      <c r="M469" s="2993">
        <f t="shared" si="79"/>
        <v>1</v>
      </c>
      <c r="N469" s="3288"/>
      <c r="O469" s="2993">
        <f t="shared" si="80"/>
        <v>1</v>
      </c>
      <c r="P469" s="3288"/>
      <c r="Q469" s="2993">
        <f t="shared" si="81"/>
        <v>1</v>
      </c>
      <c r="R469" s="2736">
        <f t="shared" si="82"/>
        <v>0</v>
      </c>
      <c r="S469" s="2867">
        <f t="shared" si="84"/>
        <v>0</v>
      </c>
    </row>
    <row r="470" spans="1:19">
      <c r="A470" s="2995"/>
      <c r="B470" s="3286"/>
      <c r="C470" s="2993">
        <f t="shared" si="74"/>
        <v>1</v>
      </c>
      <c r="D470" s="3288"/>
      <c r="E470" s="2993">
        <f t="shared" si="75"/>
        <v>1</v>
      </c>
      <c r="F470" s="3288"/>
      <c r="G470" s="2993">
        <f t="shared" si="76"/>
        <v>1</v>
      </c>
      <c r="H470" s="3288"/>
      <c r="I470" s="2993">
        <f t="shared" si="77"/>
        <v>1</v>
      </c>
      <c r="J470" s="3288"/>
      <c r="K470" s="2993">
        <f t="shared" si="78"/>
        <v>1</v>
      </c>
      <c r="L470" s="3288"/>
      <c r="M470" s="2993">
        <f t="shared" si="79"/>
        <v>1</v>
      </c>
      <c r="N470" s="3288"/>
      <c r="O470" s="2993">
        <f t="shared" si="80"/>
        <v>1</v>
      </c>
      <c r="P470" s="3288"/>
      <c r="Q470" s="2993">
        <f t="shared" si="81"/>
        <v>1</v>
      </c>
      <c r="R470" s="2736">
        <f t="shared" si="82"/>
        <v>0</v>
      </c>
      <c r="S470" s="2867">
        <f t="shared" si="84"/>
        <v>0</v>
      </c>
    </row>
    <row r="471" spans="1:19">
      <c r="A471" s="2995"/>
      <c r="B471" s="3286"/>
      <c r="C471" s="2993">
        <f t="shared" si="74"/>
        <v>1</v>
      </c>
      <c r="D471" s="3288"/>
      <c r="E471" s="2993">
        <f t="shared" si="75"/>
        <v>1</v>
      </c>
      <c r="F471" s="3288"/>
      <c r="G471" s="2993">
        <f t="shared" si="76"/>
        <v>1</v>
      </c>
      <c r="H471" s="3288"/>
      <c r="I471" s="2993">
        <f t="shared" si="77"/>
        <v>1</v>
      </c>
      <c r="J471" s="3288"/>
      <c r="K471" s="2993">
        <f t="shared" si="78"/>
        <v>1</v>
      </c>
      <c r="L471" s="3288"/>
      <c r="M471" s="2993">
        <f t="shared" si="79"/>
        <v>1</v>
      </c>
      <c r="N471" s="3288"/>
      <c r="O471" s="2993">
        <f t="shared" si="80"/>
        <v>1</v>
      </c>
      <c r="P471" s="3288"/>
      <c r="Q471" s="2993">
        <f t="shared" si="81"/>
        <v>1</v>
      </c>
      <c r="R471" s="2736">
        <f t="shared" si="82"/>
        <v>0</v>
      </c>
      <c r="S471" s="2867">
        <f t="shared" si="84"/>
        <v>0</v>
      </c>
    </row>
    <row r="472" spans="1:19">
      <c r="A472" s="2995"/>
      <c r="B472" s="3286"/>
      <c r="C472" s="2993">
        <f t="shared" si="74"/>
        <v>1</v>
      </c>
      <c r="D472" s="3288"/>
      <c r="E472" s="2993">
        <f t="shared" si="75"/>
        <v>1</v>
      </c>
      <c r="F472" s="3288"/>
      <c r="G472" s="2993">
        <f t="shared" si="76"/>
        <v>1</v>
      </c>
      <c r="H472" s="3288"/>
      <c r="I472" s="2993">
        <f t="shared" si="77"/>
        <v>1</v>
      </c>
      <c r="J472" s="3288"/>
      <c r="K472" s="2993">
        <f t="shared" si="78"/>
        <v>1</v>
      </c>
      <c r="L472" s="3288"/>
      <c r="M472" s="2993">
        <f t="shared" si="79"/>
        <v>1</v>
      </c>
      <c r="N472" s="3288"/>
      <c r="O472" s="2993">
        <f t="shared" si="80"/>
        <v>1</v>
      </c>
      <c r="P472" s="3288"/>
      <c r="Q472" s="2993">
        <f t="shared" si="81"/>
        <v>1</v>
      </c>
      <c r="R472" s="2736">
        <f t="shared" si="82"/>
        <v>0</v>
      </c>
      <c r="S472" s="2867">
        <f t="shared" si="84"/>
        <v>0</v>
      </c>
    </row>
    <row r="473" spans="1:19">
      <c r="A473" s="2995"/>
      <c r="B473" s="3286"/>
      <c r="C473" s="2993">
        <f t="shared" si="74"/>
        <v>1</v>
      </c>
      <c r="D473" s="3288"/>
      <c r="E473" s="2993">
        <f t="shared" si="75"/>
        <v>1</v>
      </c>
      <c r="F473" s="3288"/>
      <c r="G473" s="2993">
        <f t="shared" si="76"/>
        <v>1</v>
      </c>
      <c r="H473" s="3288"/>
      <c r="I473" s="2993">
        <f t="shared" si="77"/>
        <v>1</v>
      </c>
      <c r="J473" s="3288"/>
      <c r="K473" s="2993">
        <f t="shared" si="78"/>
        <v>1</v>
      </c>
      <c r="L473" s="3288"/>
      <c r="M473" s="2993">
        <f t="shared" si="79"/>
        <v>1</v>
      </c>
      <c r="N473" s="3288"/>
      <c r="O473" s="2993">
        <f t="shared" si="80"/>
        <v>1</v>
      </c>
      <c r="P473" s="3288"/>
      <c r="Q473" s="2993">
        <f t="shared" si="81"/>
        <v>1</v>
      </c>
      <c r="R473" s="2736">
        <f t="shared" si="82"/>
        <v>0</v>
      </c>
      <c r="S473" s="2867">
        <f t="shared" si="84"/>
        <v>0</v>
      </c>
    </row>
    <row r="474" spans="1:19">
      <c r="A474" s="2995"/>
      <c r="B474" s="3286"/>
      <c r="C474" s="2993">
        <f t="shared" ref="C474:C524" si="85">IF(B474="",1,(LOOKUP(B474,$3:$3,$4:$4)-LOOKUP($B$24,$3:$3,$4:$4)+100)/100)</f>
        <v>1</v>
      </c>
      <c r="D474" s="3288"/>
      <c r="E474" s="2993">
        <f t="shared" ref="E474:E524" si="86">(SUMIF($5:$5,D474,$6:$6)-SUMIF($5:$5,$D$24,$6:$6)+100)/100</f>
        <v>1</v>
      </c>
      <c r="F474" s="3288"/>
      <c r="G474" s="2993">
        <f t="shared" ref="G474:G524" si="87">(SUMIF($7:$7,F474,$8:$8)-SUMIF($7:$7,$F$24,$8:$8)+100)/100</f>
        <v>1</v>
      </c>
      <c r="H474" s="3288"/>
      <c r="I474" s="2993">
        <f t="shared" ref="I474:I524" si="88">(SUMIF($9:$9,H474,$10:$10)-SUMIF($9:$9,$H$24,$10:$10)+100)/100</f>
        <v>1</v>
      </c>
      <c r="J474" s="3288"/>
      <c r="K474" s="2993">
        <f t="shared" ref="K474:K524" si="89">(SUMIF($11:$11,J474,$12:$12)-SUMIF($11:$11,$J$24,$12:$12)+100)/100</f>
        <v>1</v>
      </c>
      <c r="L474" s="3288"/>
      <c r="M474" s="2993">
        <f t="shared" ref="M474:M524" si="90">(SUMIF($13:$13,L474,$14:$14)-SUMIF($13:$13,$L$24,$14:$14)+100)/100</f>
        <v>1</v>
      </c>
      <c r="N474" s="3288"/>
      <c r="O474" s="2993">
        <f t="shared" ref="O474:O524" si="91">(SUMIF($15:$15,N474,$16:$16)-SUMIF($15:$15,$N$24,$16:$16)+100)/100</f>
        <v>1</v>
      </c>
      <c r="P474" s="3288"/>
      <c r="Q474" s="2993">
        <f t="shared" ref="Q474:Q524" si="92">(SUMIF($17:$17,P474,$18:$18)-SUMIF($17:$17,$P$24,$18:$18)+100)/100</f>
        <v>1</v>
      </c>
      <c r="R474" s="2736">
        <f t="shared" ref="R474:R524" si="93">IF(B474="",0,ROUND($R$24*C474*E474*G474*I474*K474*M474*O474*Q474,0))</f>
        <v>0</v>
      </c>
      <c r="S474" s="2867">
        <f t="shared" si="84"/>
        <v>0</v>
      </c>
    </row>
    <row r="475" spans="1:19">
      <c r="A475" s="2995"/>
      <c r="B475" s="3286"/>
      <c r="C475" s="2993">
        <f t="shared" si="85"/>
        <v>1</v>
      </c>
      <c r="D475" s="3288"/>
      <c r="E475" s="2993">
        <f t="shared" si="86"/>
        <v>1</v>
      </c>
      <c r="F475" s="3288"/>
      <c r="G475" s="2993">
        <f t="shared" si="87"/>
        <v>1</v>
      </c>
      <c r="H475" s="3288"/>
      <c r="I475" s="2993">
        <f t="shared" si="88"/>
        <v>1</v>
      </c>
      <c r="J475" s="3288"/>
      <c r="K475" s="2993">
        <f t="shared" si="89"/>
        <v>1</v>
      </c>
      <c r="L475" s="3288"/>
      <c r="M475" s="2993">
        <f t="shared" si="90"/>
        <v>1</v>
      </c>
      <c r="N475" s="3288"/>
      <c r="O475" s="2993">
        <f t="shared" si="91"/>
        <v>1</v>
      </c>
      <c r="P475" s="3288"/>
      <c r="Q475" s="2993">
        <f t="shared" si="92"/>
        <v>1</v>
      </c>
      <c r="R475" s="2736">
        <f t="shared" si="93"/>
        <v>0</v>
      </c>
      <c r="S475" s="2867">
        <f t="shared" si="84"/>
        <v>0</v>
      </c>
    </row>
    <row r="476" spans="1:19">
      <c r="A476" s="2995"/>
      <c r="B476" s="3286"/>
      <c r="C476" s="2993">
        <f t="shared" si="85"/>
        <v>1</v>
      </c>
      <c r="D476" s="3288"/>
      <c r="E476" s="2993">
        <f t="shared" si="86"/>
        <v>1</v>
      </c>
      <c r="F476" s="3288"/>
      <c r="G476" s="2993">
        <f t="shared" si="87"/>
        <v>1</v>
      </c>
      <c r="H476" s="3288"/>
      <c r="I476" s="2993">
        <f t="shared" si="88"/>
        <v>1</v>
      </c>
      <c r="J476" s="3288"/>
      <c r="K476" s="2993">
        <f t="shared" si="89"/>
        <v>1</v>
      </c>
      <c r="L476" s="3288"/>
      <c r="M476" s="2993">
        <f t="shared" si="90"/>
        <v>1</v>
      </c>
      <c r="N476" s="3288"/>
      <c r="O476" s="2993">
        <f t="shared" si="91"/>
        <v>1</v>
      </c>
      <c r="P476" s="3288"/>
      <c r="Q476" s="2993">
        <f t="shared" si="92"/>
        <v>1</v>
      </c>
      <c r="R476" s="2736">
        <f t="shared" si="93"/>
        <v>0</v>
      </c>
      <c r="S476" s="2867">
        <f t="shared" si="84"/>
        <v>0</v>
      </c>
    </row>
    <row r="477" spans="1:19">
      <c r="A477" s="2995"/>
      <c r="B477" s="3286"/>
      <c r="C477" s="2993">
        <f t="shared" si="85"/>
        <v>1</v>
      </c>
      <c r="D477" s="3288"/>
      <c r="E477" s="2993">
        <f t="shared" si="86"/>
        <v>1</v>
      </c>
      <c r="F477" s="3288"/>
      <c r="G477" s="2993">
        <f t="shared" si="87"/>
        <v>1</v>
      </c>
      <c r="H477" s="3288"/>
      <c r="I477" s="2993">
        <f t="shared" si="88"/>
        <v>1</v>
      </c>
      <c r="J477" s="3288"/>
      <c r="K477" s="2993">
        <f t="shared" si="89"/>
        <v>1</v>
      </c>
      <c r="L477" s="3288"/>
      <c r="M477" s="2993">
        <f t="shared" si="90"/>
        <v>1</v>
      </c>
      <c r="N477" s="3288"/>
      <c r="O477" s="2993">
        <f t="shared" si="91"/>
        <v>1</v>
      </c>
      <c r="P477" s="3288"/>
      <c r="Q477" s="2993">
        <f t="shared" si="92"/>
        <v>1</v>
      </c>
      <c r="R477" s="2736">
        <f t="shared" si="93"/>
        <v>0</v>
      </c>
      <c r="S477" s="2867">
        <f t="shared" si="84"/>
        <v>0</v>
      </c>
    </row>
    <row r="478" spans="1:19">
      <c r="A478" s="2995"/>
      <c r="B478" s="3286"/>
      <c r="C478" s="2993">
        <f t="shared" si="85"/>
        <v>1</v>
      </c>
      <c r="D478" s="3288"/>
      <c r="E478" s="2993">
        <f t="shared" si="86"/>
        <v>1</v>
      </c>
      <c r="F478" s="3288"/>
      <c r="G478" s="2993">
        <f t="shared" si="87"/>
        <v>1</v>
      </c>
      <c r="H478" s="3288"/>
      <c r="I478" s="2993">
        <f t="shared" si="88"/>
        <v>1</v>
      </c>
      <c r="J478" s="3288"/>
      <c r="K478" s="2993">
        <f t="shared" si="89"/>
        <v>1</v>
      </c>
      <c r="L478" s="3288"/>
      <c r="M478" s="2993">
        <f t="shared" si="90"/>
        <v>1</v>
      </c>
      <c r="N478" s="3288"/>
      <c r="O478" s="2993">
        <f t="shared" si="91"/>
        <v>1</v>
      </c>
      <c r="P478" s="3288"/>
      <c r="Q478" s="2993">
        <f t="shared" si="92"/>
        <v>1</v>
      </c>
      <c r="R478" s="2736">
        <f t="shared" si="93"/>
        <v>0</v>
      </c>
      <c r="S478" s="2867">
        <f t="shared" si="84"/>
        <v>0</v>
      </c>
    </row>
    <row r="479" spans="1:19">
      <c r="A479" s="2995"/>
      <c r="B479" s="3286"/>
      <c r="C479" s="2993">
        <f t="shared" si="85"/>
        <v>1</v>
      </c>
      <c r="D479" s="3288"/>
      <c r="E479" s="2993">
        <f t="shared" si="86"/>
        <v>1</v>
      </c>
      <c r="F479" s="3288"/>
      <c r="G479" s="2993">
        <f t="shared" si="87"/>
        <v>1</v>
      </c>
      <c r="H479" s="3288"/>
      <c r="I479" s="2993">
        <f t="shared" si="88"/>
        <v>1</v>
      </c>
      <c r="J479" s="3288"/>
      <c r="K479" s="2993">
        <f t="shared" si="89"/>
        <v>1</v>
      </c>
      <c r="L479" s="3288"/>
      <c r="M479" s="2993">
        <f t="shared" si="90"/>
        <v>1</v>
      </c>
      <c r="N479" s="3288"/>
      <c r="O479" s="2993">
        <f t="shared" si="91"/>
        <v>1</v>
      </c>
      <c r="P479" s="3288"/>
      <c r="Q479" s="2993">
        <f t="shared" si="92"/>
        <v>1</v>
      </c>
      <c r="R479" s="2736">
        <f t="shared" si="93"/>
        <v>0</v>
      </c>
      <c r="S479" s="2867">
        <f t="shared" si="84"/>
        <v>0</v>
      </c>
    </row>
    <row r="480" spans="1:19">
      <c r="A480" s="2995"/>
      <c r="B480" s="3286"/>
      <c r="C480" s="2993">
        <f t="shared" si="85"/>
        <v>1</v>
      </c>
      <c r="D480" s="3288"/>
      <c r="E480" s="2993">
        <f t="shared" si="86"/>
        <v>1</v>
      </c>
      <c r="F480" s="3288"/>
      <c r="G480" s="2993">
        <f t="shared" si="87"/>
        <v>1</v>
      </c>
      <c r="H480" s="3288"/>
      <c r="I480" s="2993">
        <f t="shared" si="88"/>
        <v>1</v>
      </c>
      <c r="J480" s="3288"/>
      <c r="K480" s="2993">
        <f t="shared" si="89"/>
        <v>1</v>
      </c>
      <c r="L480" s="3288"/>
      <c r="M480" s="2993">
        <f t="shared" si="90"/>
        <v>1</v>
      </c>
      <c r="N480" s="3288"/>
      <c r="O480" s="2993">
        <f t="shared" si="91"/>
        <v>1</v>
      </c>
      <c r="P480" s="3288"/>
      <c r="Q480" s="2993">
        <f t="shared" si="92"/>
        <v>1</v>
      </c>
      <c r="R480" s="2736">
        <f t="shared" si="93"/>
        <v>0</v>
      </c>
      <c r="S480" s="2867">
        <f t="shared" si="84"/>
        <v>0</v>
      </c>
    </row>
    <row r="481" spans="1:19">
      <c r="A481" s="2995"/>
      <c r="B481" s="3286"/>
      <c r="C481" s="2993">
        <f t="shared" si="85"/>
        <v>1</v>
      </c>
      <c r="D481" s="3288"/>
      <c r="E481" s="2993">
        <f t="shared" si="86"/>
        <v>1</v>
      </c>
      <c r="F481" s="3288"/>
      <c r="G481" s="2993">
        <f t="shared" si="87"/>
        <v>1</v>
      </c>
      <c r="H481" s="3288"/>
      <c r="I481" s="2993">
        <f t="shared" si="88"/>
        <v>1</v>
      </c>
      <c r="J481" s="3288"/>
      <c r="K481" s="2993">
        <f t="shared" si="89"/>
        <v>1</v>
      </c>
      <c r="L481" s="3288"/>
      <c r="M481" s="2993">
        <f t="shared" si="90"/>
        <v>1</v>
      </c>
      <c r="N481" s="3288"/>
      <c r="O481" s="2993">
        <f t="shared" si="91"/>
        <v>1</v>
      </c>
      <c r="P481" s="3288"/>
      <c r="Q481" s="2993">
        <f t="shared" si="92"/>
        <v>1</v>
      </c>
      <c r="R481" s="2736">
        <f t="shared" si="93"/>
        <v>0</v>
      </c>
      <c r="S481" s="2867">
        <f t="shared" si="84"/>
        <v>0</v>
      </c>
    </row>
    <row r="482" spans="1:19">
      <c r="A482" s="2995"/>
      <c r="B482" s="3286"/>
      <c r="C482" s="2993">
        <f t="shared" si="85"/>
        <v>1</v>
      </c>
      <c r="D482" s="3288"/>
      <c r="E482" s="2993">
        <f t="shared" si="86"/>
        <v>1</v>
      </c>
      <c r="F482" s="3288"/>
      <c r="G482" s="2993">
        <f t="shared" si="87"/>
        <v>1</v>
      </c>
      <c r="H482" s="3288"/>
      <c r="I482" s="2993">
        <f t="shared" si="88"/>
        <v>1</v>
      </c>
      <c r="J482" s="3288"/>
      <c r="K482" s="2993">
        <f t="shared" si="89"/>
        <v>1</v>
      </c>
      <c r="L482" s="3288"/>
      <c r="M482" s="2993">
        <f t="shared" si="90"/>
        <v>1</v>
      </c>
      <c r="N482" s="3288"/>
      <c r="O482" s="2993">
        <f t="shared" si="91"/>
        <v>1</v>
      </c>
      <c r="P482" s="3288"/>
      <c r="Q482" s="2993">
        <f t="shared" si="92"/>
        <v>1</v>
      </c>
      <c r="R482" s="2736">
        <f t="shared" si="93"/>
        <v>0</v>
      </c>
      <c r="S482" s="2867">
        <f t="shared" si="84"/>
        <v>0</v>
      </c>
    </row>
    <row r="483" spans="1:19">
      <c r="A483" s="2995"/>
      <c r="B483" s="3286"/>
      <c r="C483" s="2993">
        <f t="shared" si="85"/>
        <v>1</v>
      </c>
      <c r="D483" s="3288"/>
      <c r="E483" s="2993">
        <f t="shared" si="86"/>
        <v>1</v>
      </c>
      <c r="F483" s="3288"/>
      <c r="G483" s="2993">
        <f t="shared" si="87"/>
        <v>1</v>
      </c>
      <c r="H483" s="3288"/>
      <c r="I483" s="2993">
        <f t="shared" si="88"/>
        <v>1</v>
      </c>
      <c r="J483" s="3288"/>
      <c r="K483" s="2993">
        <f t="shared" si="89"/>
        <v>1</v>
      </c>
      <c r="L483" s="3288"/>
      <c r="M483" s="2993">
        <f t="shared" si="90"/>
        <v>1</v>
      </c>
      <c r="N483" s="3288"/>
      <c r="O483" s="2993">
        <f t="shared" si="91"/>
        <v>1</v>
      </c>
      <c r="P483" s="3288"/>
      <c r="Q483" s="2993">
        <f t="shared" si="92"/>
        <v>1</v>
      </c>
      <c r="R483" s="2736">
        <f t="shared" si="93"/>
        <v>0</v>
      </c>
      <c r="S483" s="2867">
        <f t="shared" si="84"/>
        <v>0</v>
      </c>
    </row>
    <row r="484" spans="1:19">
      <c r="A484" s="2995"/>
      <c r="B484" s="3286"/>
      <c r="C484" s="2993">
        <f t="shared" si="85"/>
        <v>1</v>
      </c>
      <c r="D484" s="3288"/>
      <c r="E484" s="2993">
        <f t="shared" si="86"/>
        <v>1</v>
      </c>
      <c r="F484" s="3288"/>
      <c r="G484" s="2993">
        <f t="shared" si="87"/>
        <v>1</v>
      </c>
      <c r="H484" s="3288"/>
      <c r="I484" s="2993">
        <f t="shared" si="88"/>
        <v>1</v>
      </c>
      <c r="J484" s="3288"/>
      <c r="K484" s="2993">
        <f t="shared" si="89"/>
        <v>1</v>
      </c>
      <c r="L484" s="3288"/>
      <c r="M484" s="2993">
        <f t="shared" si="90"/>
        <v>1</v>
      </c>
      <c r="N484" s="3288"/>
      <c r="O484" s="2993">
        <f t="shared" si="91"/>
        <v>1</v>
      </c>
      <c r="P484" s="3288"/>
      <c r="Q484" s="2993">
        <f t="shared" si="92"/>
        <v>1</v>
      </c>
      <c r="R484" s="2736">
        <f t="shared" si="93"/>
        <v>0</v>
      </c>
      <c r="S484" s="2867">
        <f t="shared" si="84"/>
        <v>0</v>
      </c>
    </row>
    <row r="485" spans="1:19">
      <c r="A485" s="2995"/>
      <c r="B485" s="3286"/>
      <c r="C485" s="2993">
        <f t="shared" si="85"/>
        <v>1</v>
      </c>
      <c r="D485" s="3288"/>
      <c r="E485" s="2993">
        <f t="shared" si="86"/>
        <v>1</v>
      </c>
      <c r="F485" s="3288"/>
      <c r="G485" s="2993">
        <f t="shared" si="87"/>
        <v>1</v>
      </c>
      <c r="H485" s="3288"/>
      <c r="I485" s="2993">
        <f t="shared" si="88"/>
        <v>1</v>
      </c>
      <c r="J485" s="3288"/>
      <c r="K485" s="2993">
        <f t="shared" si="89"/>
        <v>1</v>
      </c>
      <c r="L485" s="3288"/>
      <c r="M485" s="2993">
        <f t="shared" si="90"/>
        <v>1</v>
      </c>
      <c r="N485" s="3288"/>
      <c r="O485" s="2993">
        <f t="shared" si="91"/>
        <v>1</v>
      </c>
      <c r="P485" s="3288"/>
      <c r="Q485" s="2993">
        <f t="shared" si="92"/>
        <v>1</v>
      </c>
      <c r="R485" s="2736">
        <f t="shared" si="93"/>
        <v>0</v>
      </c>
      <c r="S485" s="2867">
        <f t="shared" si="84"/>
        <v>0</v>
      </c>
    </row>
    <row r="486" spans="1:19">
      <c r="A486" s="2995"/>
      <c r="B486" s="3286"/>
      <c r="C486" s="2993">
        <f t="shared" si="85"/>
        <v>1</v>
      </c>
      <c r="D486" s="3288"/>
      <c r="E486" s="2993">
        <f t="shared" si="86"/>
        <v>1</v>
      </c>
      <c r="F486" s="3288"/>
      <c r="G486" s="2993">
        <f t="shared" si="87"/>
        <v>1</v>
      </c>
      <c r="H486" s="3288"/>
      <c r="I486" s="2993">
        <f t="shared" si="88"/>
        <v>1</v>
      </c>
      <c r="J486" s="3288"/>
      <c r="K486" s="2993">
        <f t="shared" si="89"/>
        <v>1</v>
      </c>
      <c r="L486" s="3288"/>
      <c r="M486" s="2993">
        <f t="shared" si="90"/>
        <v>1</v>
      </c>
      <c r="N486" s="3288"/>
      <c r="O486" s="2993">
        <f t="shared" si="91"/>
        <v>1</v>
      </c>
      <c r="P486" s="3288"/>
      <c r="Q486" s="2993">
        <f t="shared" si="92"/>
        <v>1</v>
      </c>
      <c r="R486" s="2736">
        <f t="shared" si="93"/>
        <v>0</v>
      </c>
      <c r="S486" s="2867">
        <f t="shared" si="84"/>
        <v>0</v>
      </c>
    </row>
    <row r="487" spans="1:19">
      <c r="A487" s="2995"/>
      <c r="B487" s="3286"/>
      <c r="C487" s="2993">
        <f t="shared" si="85"/>
        <v>1</v>
      </c>
      <c r="D487" s="3288"/>
      <c r="E487" s="2993">
        <f t="shared" si="86"/>
        <v>1</v>
      </c>
      <c r="F487" s="3288"/>
      <c r="G487" s="2993">
        <f t="shared" si="87"/>
        <v>1</v>
      </c>
      <c r="H487" s="3288"/>
      <c r="I487" s="2993">
        <f t="shared" si="88"/>
        <v>1</v>
      </c>
      <c r="J487" s="3288"/>
      <c r="K487" s="2993">
        <f t="shared" si="89"/>
        <v>1</v>
      </c>
      <c r="L487" s="3288"/>
      <c r="M487" s="2993">
        <f t="shared" si="90"/>
        <v>1</v>
      </c>
      <c r="N487" s="3288"/>
      <c r="O487" s="2993">
        <f t="shared" si="91"/>
        <v>1</v>
      </c>
      <c r="P487" s="3288"/>
      <c r="Q487" s="2993">
        <f t="shared" si="92"/>
        <v>1</v>
      </c>
      <c r="R487" s="2736">
        <f t="shared" si="93"/>
        <v>0</v>
      </c>
      <c r="S487" s="2867">
        <f t="shared" si="84"/>
        <v>0</v>
      </c>
    </row>
    <row r="488" spans="1:19">
      <c r="A488" s="2995"/>
      <c r="B488" s="3286"/>
      <c r="C488" s="2993">
        <f t="shared" si="85"/>
        <v>1</v>
      </c>
      <c r="D488" s="3288"/>
      <c r="E488" s="2993">
        <f t="shared" si="86"/>
        <v>1</v>
      </c>
      <c r="F488" s="3288"/>
      <c r="G488" s="2993">
        <f t="shared" si="87"/>
        <v>1</v>
      </c>
      <c r="H488" s="3288"/>
      <c r="I488" s="2993">
        <f t="shared" si="88"/>
        <v>1</v>
      </c>
      <c r="J488" s="3288"/>
      <c r="K488" s="2993">
        <f t="shared" si="89"/>
        <v>1</v>
      </c>
      <c r="L488" s="3288"/>
      <c r="M488" s="2993">
        <f t="shared" si="90"/>
        <v>1</v>
      </c>
      <c r="N488" s="3288"/>
      <c r="O488" s="2993">
        <f t="shared" si="91"/>
        <v>1</v>
      </c>
      <c r="P488" s="3288"/>
      <c r="Q488" s="2993">
        <f t="shared" si="92"/>
        <v>1</v>
      </c>
      <c r="R488" s="2736">
        <f t="shared" si="93"/>
        <v>0</v>
      </c>
      <c r="S488" s="2867">
        <f t="shared" si="84"/>
        <v>0</v>
      </c>
    </row>
    <row r="489" spans="1:19">
      <c r="A489" s="2995"/>
      <c r="B489" s="3286"/>
      <c r="C489" s="2993">
        <f t="shared" si="85"/>
        <v>1</v>
      </c>
      <c r="D489" s="3288"/>
      <c r="E489" s="2993">
        <f t="shared" si="86"/>
        <v>1</v>
      </c>
      <c r="F489" s="3288"/>
      <c r="G489" s="2993">
        <f t="shared" si="87"/>
        <v>1</v>
      </c>
      <c r="H489" s="3288"/>
      <c r="I489" s="2993">
        <f t="shared" si="88"/>
        <v>1</v>
      </c>
      <c r="J489" s="3288"/>
      <c r="K489" s="2993">
        <f t="shared" si="89"/>
        <v>1</v>
      </c>
      <c r="L489" s="3288"/>
      <c r="M489" s="2993">
        <f t="shared" si="90"/>
        <v>1</v>
      </c>
      <c r="N489" s="3288"/>
      <c r="O489" s="2993">
        <f t="shared" si="91"/>
        <v>1</v>
      </c>
      <c r="P489" s="3288"/>
      <c r="Q489" s="2993">
        <f t="shared" si="92"/>
        <v>1</v>
      </c>
      <c r="R489" s="2736">
        <f t="shared" si="93"/>
        <v>0</v>
      </c>
      <c r="S489" s="2867">
        <f t="shared" si="84"/>
        <v>0</v>
      </c>
    </row>
    <row r="490" spans="1:19">
      <c r="A490" s="2995"/>
      <c r="B490" s="3286"/>
      <c r="C490" s="2993">
        <f t="shared" si="85"/>
        <v>1</v>
      </c>
      <c r="D490" s="3288"/>
      <c r="E490" s="2993">
        <f t="shared" si="86"/>
        <v>1</v>
      </c>
      <c r="F490" s="3288"/>
      <c r="G490" s="2993">
        <f t="shared" si="87"/>
        <v>1</v>
      </c>
      <c r="H490" s="3288"/>
      <c r="I490" s="2993">
        <f t="shared" si="88"/>
        <v>1</v>
      </c>
      <c r="J490" s="3288"/>
      <c r="K490" s="2993">
        <f t="shared" si="89"/>
        <v>1</v>
      </c>
      <c r="L490" s="3288"/>
      <c r="M490" s="2993">
        <f t="shared" si="90"/>
        <v>1</v>
      </c>
      <c r="N490" s="3288"/>
      <c r="O490" s="2993">
        <f t="shared" si="91"/>
        <v>1</v>
      </c>
      <c r="P490" s="3288"/>
      <c r="Q490" s="2993">
        <f t="shared" si="92"/>
        <v>1</v>
      </c>
      <c r="R490" s="2736">
        <f t="shared" si="93"/>
        <v>0</v>
      </c>
      <c r="S490" s="2867">
        <f t="shared" si="84"/>
        <v>0</v>
      </c>
    </row>
    <row r="491" spans="1:19">
      <c r="A491" s="2995"/>
      <c r="B491" s="3286"/>
      <c r="C491" s="2993">
        <f t="shared" si="85"/>
        <v>1</v>
      </c>
      <c r="D491" s="3288"/>
      <c r="E491" s="2993">
        <f t="shared" si="86"/>
        <v>1</v>
      </c>
      <c r="F491" s="3288"/>
      <c r="G491" s="2993">
        <f t="shared" si="87"/>
        <v>1</v>
      </c>
      <c r="H491" s="3288"/>
      <c r="I491" s="2993">
        <f t="shared" si="88"/>
        <v>1</v>
      </c>
      <c r="J491" s="3288"/>
      <c r="K491" s="2993">
        <f t="shared" si="89"/>
        <v>1</v>
      </c>
      <c r="L491" s="3288"/>
      <c r="M491" s="2993">
        <f t="shared" si="90"/>
        <v>1</v>
      </c>
      <c r="N491" s="3288"/>
      <c r="O491" s="2993">
        <f t="shared" si="91"/>
        <v>1</v>
      </c>
      <c r="P491" s="3288"/>
      <c r="Q491" s="2993">
        <f t="shared" si="92"/>
        <v>1</v>
      </c>
      <c r="R491" s="2736">
        <f t="shared" si="93"/>
        <v>0</v>
      </c>
      <c r="S491" s="2867">
        <f t="shared" si="84"/>
        <v>0</v>
      </c>
    </row>
    <row r="492" spans="1:19">
      <c r="A492" s="2995"/>
      <c r="B492" s="3286"/>
      <c r="C492" s="2993">
        <f t="shared" si="85"/>
        <v>1</v>
      </c>
      <c r="D492" s="3288"/>
      <c r="E492" s="2993">
        <f t="shared" si="86"/>
        <v>1</v>
      </c>
      <c r="F492" s="3288"/>
      <c r="G492" s="2993">
        <f t="shared" si="87"/>
        <v>1</v>
      </c>
      <c r="H492" s="3288"/>
      <c r="I492" s="2993">
        <f t="shared" si="88"/>
        <v>1</v>
      </c>
      <c r="J492" s="3288"/>
      <c r="K492" s="2993">
        <f t="shared" si="89"/>
        <v>1</v>
      </c>
      <c r="L492" s="3288"/>
      <c r="M492" s="2993">
        <f t="shared" si="90"/>
        <v>1</v>
      </c>
      <c r="N492" s="3288"/>
      <c r="O492" s="2993">
        <f t="shared" si="91"/>
        <v>1</v>
      </c>
      <c r="P492" s="3288"/>
      <c r="Q492" s="2993">
        <f t="shared" si="92"/>
        <v>1</v>
      </c>
      <c r="R492" s="2736">
        <f t="shared" si="93"/>
        <v>0</v>
      </c>
      <c r="S492" s="2867">
        <f t="shared" si="84"/>
        <v>0</v>
      </c>
    </row>
    <row r="493" spans="1:19">
      <c r="A493" s="2995"/>
      <c r="B493" s="3286"/>
      <c r="C493" s="2993">
        <f t="shared" si="85"/>
        <v>1</v>
      </c>
      <c r="D493" s="3288"/>
      <c r="E493" s="2993">
        <f t="shared" si="86"/>
        <v>1</v>
      </c>
      <c r="F493" s="3288"/>
      <c r="G493" s="2993">
        <f t="shared" si="87"/>
        <v>1</v>
      </c>
      <c r="H493" s="3288"/>
      <c r="I493" s="2993">
        <f t="shared" si="88"/>
        <v>1</v>
      </c>
      <c r="J493" s="3288"/>
      <c r="K493" s="2993">
        <f t="shared" si="89"/>
        <v>1</v>
      </c>
      <c r="L493" s="3288"/>
      <c r="M493" s="2993">
        <f t="shared" si="90"/>
        <v>1</v>
      </c>
      <c r="N493" s="3288"/>
      <c r="O493" s="2993">
        <f t="shared" si="91"/>
        <v>1</v>
      </c>
      <c r="P493" s="3288"/>
      <c r="Q493" s="2993">
        <f t="shared" si="92"/>
        <v>1</v>
      </c>
      <c r="R493" s="2736">
        <f t="shared" si="93"/>
        <v>0</v>
      </c>
      <c r="S493" s="2867">
        <f t="shared" si="84"/>
        <v>0</v>
      </c>
    </row>
    <row r="494" spans="1:19">
      <c r="A494" s="2995"/>
      <c r="B494" s="3286"/>
      <c r="C494" s="2993">
        <f t="shared" si="85"/>
        <v>1</v>
      </c>
      <c r="D494" s="3288"/>
      <c r="E494" s="2993">
        <f t="shared" si="86"/>
        <v>1</v>
      </c>
      <c r="F494" s="3288"/>
      <c r="G494" s="2993">
        <f t="shared" si="87"/>
        <v>1</v>
      </c>
      <c r="H494" s="3288"/>
      <c r="I494" s="2993">
        <f t="shared" si="88"/>
        <v>1</v>
      </c>
      <c r="J494" s="3288"/>
      <c r="K494" s="2993">
        <f t="shared" si="89"/>
        <v>1</v>
      </c>
      <c r="L494" s="3288"/>
      <c r="M494" s="2993">
        <f t="shared" si="90"/>
        <v>1</v>
      </c>
      <c r="N494" s="3288"/>
      <c r="O494" s="2993">
        <f t="shared" si="91"/>
        <v>1</v>
      </c>
      <c r="P494" s="3288"/>
      <c r="Q494" s="2993">
        <f t="shared" si="92"/>
        <v>1</v>
      </c>
      <c r="R494" s="2736">
        <f t="shared" si="93"/>
        <v>0</v>
      </c>
      <c r="S494" s="2867">
        <f t="shared" si="84"/>
        <v>0</v>
      </c>
    </row>
    <row r="495" spans="1:19">
      <c r="A495" s="2995"/>
      <c r="B495" s="3286"/>
      <c r="C495" s="2993">
        <f t="shared" si="85"/>
        <v>1</v>
      </c>
      <c r="D495" s="3288"/>
      <c r="E495" s="2993">
        <f t="shared" si="86"/>
        <v>1</v>
      </c>
      <c r="F495" s="3288"/>
      <c r="G495" s="2993">
        <f t="shared" si="87"/>
        <v>1</v>
      </c>
      <c r="H495" s="3288"/>
      <c r="I495" s="2993">
        <f t="shared" si="88"/>
        <v>1</v>
      </c>
      <c r="J495" s="3288"/>
      <c r="K495" s="2993">
        <f t="shared" si="89"/>
        <v>1</v>
      </c>
      <c r="L495" s="3288"/>
      <c r="M495" s="2993">
        <f t="shared" si="90"/>
        <v>1</v>
      </c>
      <c r="N495" s="3288"/>
      <c r="O495" s="2993">
        <f t="shared" si="91"/>
        <v>1</v>
      </c>
      <c r="P495" s="3288"/>
      <c r="Q495" s="2993">
        <f t="shared" si="92"/>
        <v>1</v>
      </c>
      <c r="R495" s="2736">
        <f t="shared" si="93"/>
        <v>0</v>
      </c>
      <c r="S495" s="2867">
        <f t="shared" si="84"/>
        <v>0</v>
      </c>
    </row>
    <row r="496" spans="1:19">
      <c r="A496" s="2995"/>
      <c r="B496" s="3286"/>
      <c r="C496" s="2993">
        <f t="shared" si="85"/>
        <v>1</v>
      </c>
      <c r="D496" s="3288"/>
      <c r="E496" s="2993">
        <f t="shared" si="86"/>
        <v>1</v>
      </c>
      <c r="F496" s="3288"/>
      <c r="G496" s="2993">
        <f t="shared" si="87"/>
        <v>1</v>
      </c>
      <c r="H496" s="3288"/>
      <c r="I496" s="2993">
        <f t="shared" si="88"/>
        <v>1</v>
      </c>
      <c r="J496" s="3288"/>
      <c r="K496" s="2993">
        <f t="shared" si="89"/>
        <v>1</v>
      </c>
      <c r="L496" s="3288"/>
      <c r="M496" s="2993">
        <f t="shared" si="90"/>
        <v>1</v>
      </c>
      <c r="N496" s="3288"/>
      <c r="O496" s="2993">
        <f t="shared" si="91"/>
        <v>1</v>
      </c>
      <c r="P496" s="3288"/>
      <c r="Q496" s="2993">
        <f t="shared" si="92"/>
        <v>1</v>
      </c>
      <c r="R496" s="2736">
        <f t="shared" si="93"/>
        <v>0</v>
      </c>
      <c r="S496" s="2867">
        <f t="shared" si="84"/>
        <v>0</v>
      </c>
    </row>
    <row r="497" spans="1:19">
      <c r="A497" s="2995"/>
      <c r="B497" s="3286"/>
      <c r="C497" s="2993">
        <f t="shared" si="85"/>
        <v>1</v>
      </c>
      <c r="D497" s="3288"/>
      <c r="E497" s="2993">
        <f t="shared" si="86"/>
        <v>1</v>
      </c>
      <c r="F497" s="3288"/>
      <c r="G497" s="2993">
        <f t="shared" si="87"/>
        <v>1</v>
      </c>
      <c r="H497" s="3288"/>
      <c r="I497" s="2993">
        <f t="shared" si="88"/>
        <v>1</v>
      </c>
      <c r="J497" s="3288"/>
      <c r="K497" s="2993">
        <f t="shared" si="89"/>
        <v>1</v>
      </c>
      <c r="L497" s="3288"/>
      <c r="M497" s="2993">
        <f t="shared" si="90"/>
        <v>1</v>
      </c>
      <c r="N497" s="3288"/>
      <c r="O497" s="2993">
        <f t="shared" si="91"/>
        <v>1</v>
      </c>
      <c r="P497" s="3288"/>
      <c r="Q497" s="2993">
        <f t="shared" si="92"/>
        <v>1</v>
      </c>
      <c r="R497" s="2736">
        <f t="shared" si="93"/>
        <v>0</v>
      </c>
      <c r="S497" s="2867">
        <f t="shared" si="84"/>
        <v>0</v>
      </c>
    </row>
    <row r="498" spans="1:19">
      <c r="A498" s="2995"/>
      <c r="B498" s="3286"/>
      <c r="C498" s="2993">
        <f t="shared" si="85"/>
        <v>1</v>
      </c>
      <c r="D498" s="3288"/>
      <c r="E498" s="2993">
        <f t="shared" si="86"/>
        <v>1</v>
      </c>
      <c r="F498" s="3288"/>
      <c r="G498" s="2993">
        <f t="shared" si="87"/>
        <v>1</v>
      </c>
      <c r="H498" s="3288"/>
      <c r="I498" s="2993">
        <f t="shared" si="88"/>
        <v>1</v>
      </c>
      <c r="J498" s="3288"/>
      <c r="K498" s="2993">
        <f t="shared" si="89"/>
        <v>1</v>
      </c>
      <c r="L498" s="3288"/>
      <c r="M498" s="2993">
        <f t="shared" si="90"/>
        <v>1</v>
      </c>
      <c r="N498" s="3288"/>
      <c r="O498" s="2993">
        <f t="shared" si="91"/>
        <v>1</v>
      </c>
      <c r="P498" s="3288"/>
      <c r="Q498" s="2993">
        <f t="shared" si="92"/>
        <v>1</v>
      </c>
      <c r="R498" s="2736">
        <f t="shared" si="93"/>
        <v>0</v>
      </c>
      <c r="S498" s="2867">
        <f t="shared" ref="S498:S524" si="94">ROUND(R498*B498/10000,0)</f>
        <v>0</v>
      </c>
    </row>
    <row r="499" spans="1:19">
      <c r="A499" s="2995"/>
      <c r="B499" s="3286"/>
      <c r="C499" s="2993">
        <f t="shared" si="85"/>
        <v>1</v>
      </c>
      <c r="D499" s="3288"/>
      <c r="E499" s="2993">
        <f t="shared" si="86"/>
        <v>1</v>
      </c>
      <c r="F499" s="3288"/>
      <c r="G499" s="2993">
        <f t="shared" si="87"/>
        <v>1</v>
      </c>
      <c r="H499" s="3288"/>
      <c r="I499" s="2993">
        <f t="shared" si="88"/>
        <v>1</v>
      </c>
      <c r="J499" s="3288"/>
      <c r="K499" s="2993">
        <f t="shared" si="89"/>
        <v>1</v>
      </c>
      <c r="L499" s="3288"/>
      <c r="M499" s="2993">
        <f t="shared" si="90"/>
        <v>1</v>
      </c>
      <c r="N499" s="3288"/>
      <c r="O499" s="2993">
        <f t="shared" si="91"/>
        <v>1</v>
      </c>
      <c r="P499" s="3288"/>
      <c r="Q499" s="2993">
        <f t="shared" si="92"/>
        <v>1</v>
      </c>
      <c r="R499" s="2736">
        <f t="shared" si="93"/>
        <v>0</v>
      </c>
      <c r="S499" s="2867">
        <f t="shared" si="94"/>
        <v>0</v>
      </c>
    </row>
    <row r="500" spans="1:19">
      <c r="A500" s="2995"/>
      <c r="B500" s="3286"/>
      <c r="C500" s="2993">
        <f t="shared" si="85"/>
        <v>1</v>
      </c>
      <c r="D500" s="3288"/>
      <c r="E500" s="2993">
        <f t="shared" si="86"/>
        <v>1</v>
      </c>
      <c r="F500" s="3288"/>
      <c r="G500" s="2993">
        <f t="shared" si="87"/>
        <v>1</v>
      </c>
      <c r="H500" s="3288"/>
      <c r="I500" s="2993">
        <f t="shared" si="88"/>
        <v>1</v>
      </c>
      <c r="J500" s="3288"/>
      <c r="K500" s="2993">
        <f t="shared" si="89"/>
        <v>1</v>
      </c>
      <c r="L500" s="3288"/>
      <c r="M500" s="2993">
        <f t="shared" si="90"/>
        <v>1</v>
      </c>
      <c r="N500" s="3288"/>
      <c r="O500" s="2993">
        <f t="shared" si="91"/>
        <v>1</v>
      </c>
      <c r="P500" s="3288"/>
      <c r="Q500" s="2993">
        <f t="shared" si="92"/>
        <v>1</v>
      </c>
      <c r="R500" s="2736">
        <f t="shared" si="93"/>
        <v>0</v>
      </c>
      <c r="S500" s="2867">
        <f t="shared" si="94"/>
        <v>0</v>
      </c>
    </row>
    <row r="501" spans="1:19">
      <c r="A501" s="2995"/>
      <c r="B501" s="3286"/>
      <c r="C501" s="2993">
        <f t="shared" si="85"/>
        <v>1</v>
      </c>
      <c r="D501" s="3288"/>
      <c r="E501" s="2993">
        <f t="shared" si="86"/>
        <v>1</v>
      </c>
      <c r="F501" s="3288"/>
      <c r="G501" s="2993">
        <f t="shared" si="87"/>
        <v>1</v>
      </c>
      <c r="H501" s="3288"/>
      <c r="I501" s="2993">
        <f t="shared" si="88"/>
        <v>1</v>
      </c>
      <c r="J501" s="3288"/>
      <c r="K501" s="2993">
        <f t="shared" si="89"/>
        <v>1</v>
      </c>
      <c r="L501" s="3288"/>
      <c r="M501" s="2993">
        <f t="shared" si="90"/>
        <v>1</v>
      </c>
      <c r="N501" s="3288"/>
      <c r="O501" s="2993">
        <f t="shared" si="91"/>
        <v>1</v>
      </c>
      <c r="P501" s="3288"/>
      <c r="Q501" s="2993">
        <f t="shared" si="92"/>
        <v>1</v>
      </c>
      <c r="R501" s="2736">
        <f t="shared" si="93"/>
        <v>0</v>
      </c>
      <c r="S501" s="2867">
        <f t="shared" si="94"/>
        <v>0</v>
      </c>
    </row>
    <row r="502" spans="1:19">
      <c r="A502" s="2995"/>
      <c r="B502" s="3286"/>
      <c r="C502" s="2993">
        <f t="shared" si="85"/>
        <v>1</v>
      </c>
      <c r="D502" s="3288"/>
      <c r="E502" s="2993">
        <f t="shared" si="86"/>
        <v>1</v>
      </c>
      <c r="F502" s="3288"/>
      <c r="G502" s="2993">
        <f t="shared" si="87"/>
        <v>1</v>
      </c>
      <c r="H502" s="3288"/>
      <c r="I502" s="2993">
        <f t="shared" si="88"/>
        <v>1</v>
      </c>
      <c r="J502" s="3288"/>
      <c r="K502" s="2993">
        <f t="shared" si="89"/>
        <v>1</v>
      </c>
      <c r="L502" s="3288"/>
      <c r="M502" s="2993">
        <f t="shared" si="90"/>
        <v>1</v>
      </c>
      <c r="N502" s="3288"/>
      <c r="O502" s="2993">
        <f t="shared" si="91"/>
        <v>1</v>
      </c>
      <c r="P502" s="3288"/>
      <c r="Q502" s="2993">
        <f t="shared" si="92"/>
        <v>1</v>
      </c>
      <c r="R502" s="2736">
        <f t="shared" si="93"/>
        <v>0</v>
      </c>
      <c r="S502" s="2867">
        <f t="shared" si="94"/>
        <v>0</v>
      </c>
    </row>
    <row r="503" spans="1:19">
      <c r="A503" s="2995"/>
      <c r="B503" s="3286"/>
      <c r="C503" s="2993">
        <f t="shared" si="85"/>
        <v>1</v>
      </c>
      <c r="D503" s="3288"/>
      <c r="E503" s="2993">
        <f t="shared" si="86"/>
        <v>1</v>
      </c>
      <c r="F503" s="3288"/>
      <c r="G503" s="2993">
        <f t="shared" si="87"/>
        <v>1</v>
      </c>
      <c r="H503" s="3288"/>
      <c r="I503" s="2993">
        <f t="shared" si="88"/>
        <v>1</v>
      </c>
      <c r="J503" s="3288"/>
      <c r="K503" s="2993">
        <f t="shared" si="89"/>
        <v>1</v>
      </c>
      <c r="L503" s="3288"/>
      <c r="M503" s="2993">
        <f t="shared" si="90"/>
        <v>1</v>
      </c>
      <c r="N503" s="3288"/>
      <c r="O503" s="2993">
        <f t="shared" si="91"/>
        <v>1</v>
      </c>
      <c r="P503" s="3288"/>
      <c r="Q503" s="2993">
        <f t="shared" si="92"/>
        <v>1</v>
      </c>
      <c r="R503" s="2736">
        <f t="shared" si="93"/>
        <v>0</v>
      </c>
      <c r="S503" s="2867">
        <f t="shared" si="94"/>
        <v>0</v>
      </c>
    </row>
    <row r="504" spans="1:19">
      <c r="A504" s="2995"/>
      <c r="B504" s="3286"/>
      <c r="C504" s="2993">
        <f t="shared" si="85"/>
        <v>1</v>
      </c>
      <c r="D504" s="3288"/>
      <c r="E504" s="2993">
        <f t="shared" si="86"/>
        <v>1</v>
      </c>
      <c r="F504" s="3288"/>
      <c r="G504" s="2993">
        <f t="shared" si="87"/>
        <v>1</v>
      </c>
      <c r="H504" s="3288"/>
      <c r="I504" s="2993">
        <f t="shared" si="88"/>
        <v>1</v>
      </c>
      <c r="J504" s="3288"/>
      <c r="K504" s="2993">
        <f t="shared" si="89"/>
        <v>1</v>
      </c>
      <c r="L504" s="3288"/>
      <c r="M504" s="2993">
        <f t="shared" si="90"/>
        <v>1</v>
      </c>
      <c r="N504" s="3288"/>
      <c r="O504" s="2993">
        <f t="shared" si="91"/>
        <v>1</v>
      </c>
      <c r="P504" s="3288"/>
      <c r="Q504" s="2993">
        <f t="shared" si="92"/>
        <v>1</v>
      </c>
      <c r="R504" s="2736">
        <f t="shared" si="93"/>
        <v>0</v>
      </c>
      <c r="S504" s="2867">
        <f t="shared" si="94"/>
        <v>0</v>
      </c>
    </row>
    <row r="505" spans="1:19">
      <c r="A505" s="2995"/>
      <c r="B505" s="3286"/>
      <c r="C505" s="2993">
        <f t="shared" si="85"/>
        <v>1</v>
      </c>
      <c r="D505" s="3288"/>
      <c r="E505" s="2993">
        <f t="shared" si="86"/>
        <v>1</v>
      </c>
      <c r="F505" s="3288"/>
      <c r="G505" s="2993">
        <f t="shared" si="87"/>
        <v>1</v>
      </c>
      <c r="H505" s="3288"/>
      <c r="I505" s="2993">
        <f t="shared" si="88"/>
        <v>1</v>
      </c>
      <c r="J505" s="3288"/>
      <c r="K505" s="2993">
        <f t="shared" si="89"/>
        <v>1</v>
      </c>
      <c r="L505" s="3288"/>
      <c r="M505" s="2993">
        <f t="shared" si="90"/>
        <v>1</v>
      </c>
      <c r="N505" s="3288"/>
      <c r="O505" s="2993">
        <f t="shared" si="91"/>
        <v>1</v>
      </c>
      <c r="P505" s="3288"/>
      <c r="Q505" s="2993">
        <f t="shared" si="92"/>
        <v>1</v>
      </c>
      <c r="R505" s="2736">
        <f t="shared" si="93"/>
        <v>0</v>
      </c>
      <c r="S505" s="2867">
        <f t="shared" si="94"/>
        <v>0</v>
      </c>
    </row>
    <row r="506" spans="1:19">
      <c r="A506" s="2995"/>
      <c r="B506" s="3286"/>
      <c r="C506" s="2993">
        <f t="shared" si="85"/>
        <v>1</v>
      </c>
      <c r="D506" s="3288"/>
      <c r="E506" s="2993">
        <f t="shared" si="86"/>
        <v>1</v>
      </c>
      <c r="F506" s="3288"/>
      <c r="G506" s="2993">
        <f t="shared" si="87"/>
        <v>1</v>
      </c>
      <c r="H506" s="3288"/>
      <c r="I506" s="2993">
        <f t="shared" si="88"/>
        <v>1</v>
      </c>
      <c r="J506" s="3288"/>
      <c r="K506" s="2993">
        <f t="shared" si="89"/>
        <v>1</v>
      </c>
      <c r="L506" s="3288"/>
      <c r="M506" s="2993">
        <f t="shared" si="90"/>
        <v>1</v>
      </c>
      <c r="N506" s="3288"/>
      <c r="O506" s="2993">
        <f t="shared" si="91"/>
        <v>1</v>
      </c>
      <c r="P506" s="3288"/>
      <c r="Q506" s="2993">
        <f t="shared" si="92"/>
        <v>1</v>
      </c>
      <c r="R506" s="2736">
        <f t="shared" si="93"/>
        <v>0</v>
      </c>
      <c r="S506" s="2867">
        <f t="shared" si="94"/>
        <v>0</v>
      </c>
    </row>
    <row r="507" spans="1:19">
      <c r="A507" s="2995"/>
      <c r="B507" s="3286"/>
      <c r="C507" s="2993">
        <f t="shared" si="85"/>
        <v>1</v>
      </c>
      <c r="D507" s="3288"/>
      <c r="E507" s="2993">
        <f t="shared" si="86"/>
        <v>1</v>
      </c>
      <c r="F507" s="3288"/>
      <c r="G507" s="2993">
        <f t="shared" si="87"/>
        <v>1</v>
      </c>
      <c r="H507" s="3288"/>
      <c r="I507" s="2993">
        <f t="shared" si="88"/>
        <v>1</v>
      </c>
      <c r="J507" s="3288"/>
      <c r="K507" s="2993">
        <f t="shared" si="89"/>
        <v>1</v>
      </c>
      <c r="L507" s="3288"/>
      <c r="M507" s="2993">
        <f t="shared" si="90"/>
        <v>1</v>
      </c>
      <c r="N507" s="3288"/>
      <c r="O507" s="2993">
        <f t="shared" si="91"/>
        <v>1</v>
      </c>
      <c r="P507" s="3288"/>
      <c r="Q507" s="2993">
        <f t="shared" si="92"/>
        <v>1</v>
      </c>
      <c r="R507" s="2736">
        <f t="shared" si="93"/>
        <v>0</v>
      </c>
      <c r="S507" s="2867">
        <f t="shared" si="94"/>
        <v>0</v>
      </c>
    </row>
    <row r="508" spans="1:19">
      <c r="A508" s="2995"/>
      <c r="B508" s="3286"/>
      <c r="C508" s="2993">
        <f t="shared" si="85"/>
        <v>1</v>
      </c>
      <c r="D508" s="3288"/>
      <c r="E508" s="2993">
        <f t="shared" si="86"/>
        <v>1</v>
      </c>
      <c r="F508" s="3288"/>
      <c r="G508" s="2993">
        <f t="shared" si="87"/>
        <v>1</v>
      </c>
      <c r="H508" s="3288"/>
      <c r="I508" s="2993">
        <f t="shared" si="88"/>
        <v>1</v>
      </c>
      <c r="J508" s="3288"/>
      <c r="K508" s="2993">
        <f t="shared" si="89"/>
        <v>1</v>
      </c>
      <c r="L508" s="3288"/>
      <c r="M508" s="2993">
        <f t="shared" si="90"/>
        <v>1</v>
      </c>
      <c r="N508" s="3288"/>
      <c r="O508" s="2993">
        <f t="shared" si="91"/>
        <v>1</v>
      </c>
      <c r="P508" s="3288"/>
      <c r="Q508" s="2993">
        <f t="shared" si="92"/>
        <v>1</v>
      </c>
      <c r="R508" s="2736">
        <f t="shared" si="93"/>
        <v>0</v>
      </c>
      <c r="S508" s="2867">
        <f t="shared" si="94"/>
        <v>0</v>
      </c>
    </row>
    <row r="509" spans="1:19">
      <c r="A509" s="2995"/>
      <c r="B509" s="3286"/>
      <c r="C509" s="2993">
        <f t="shared" si="85"/>
        <v>1</v>
      </c>
      <c r="D509" s="3288"/>
      <c r="E509" s="2993">
        <f t="shared" si="86"/>
        <v>1</v>
      </c>
      <c r="F509" s="3288"/>
      <c r="G509" s="2993">
        <f t="shared" si="87"/>
        <v>1</v>
      </c>
      <c r="H509" s="3288"/>
      <c r="I509" s="2993">
        <f t="shared" si="88"/>
        <v>1</v>
      </c>
      <c r="J509" s="3288"/>
      <c r="K509" s="2993">
        <f t="shared" si="89"/>
        <v>1</v>
      </c>
      <c r="L509" s="3288"/>
      <c r="M509" s="2993">
        <f t="shared" si="90"/>
        <v>1</v>
      </c>
      <c r="N509" s="3288"/>
      <c r="O509" s="2993">
        <f t="shared" si="91"/>
        <v>1</v>
      </c>
      <c r="P509" s="3288"/>
      <c r="Q509" s="2993">
        <f t="shared" si="92"/>
        <v>1</v>
      </c>
      <c r="R509" s="2736">
        <f t="shared" si="93"/>
        <v>0</v>
      </c>
      <c r="S509" s="2867">
        <f t="shared" si="94"/>
        <v>0</v>
      </c>
    </row>
    <row r="510" spans="1:19">
      <c r="A510" s="2995"/>
      <c r="B510" s="3286"/>
      <c r="C510" s="2993">
        <f t="shared" si="85"/>
        <v>1</v>
      </c>
      <c r="D510" s="3288"/>
      <c r="E510" s="2993">
        <f t="shared" si="86"/>
        <v>1</v>
      </c>
      <c r="F510" s="3288"/>
      <c r="G510" s="2993">
        <f t="shared" si="87"/>
        <v>1</v>
      </c>
      <c r="H510" s="3288"/>
      <c r="I510" s="2993">
        <f t="shared" si="88"/>
        <v>1</v>
      </c>
      <c r="J510" s="3288"/>
      <c r="K510" s="2993">
        <f t="shared" si="89"/>
        <v>1</v>
      </c>
      <c r="L510" s="3288"/>
      <c r="M510" s="2993">
        <f t="shared" si="90"/>
        <v>1</v>
      </c>
      <c r="N510" s="3288"/>
      <c r="O510" s="2993">
        <f t="shared" si="91"/>
        <v>1</v>
      </c>
      <c r="P510" s="3288"/>
      <c r="Q510" s="2993">
        <f t="shared" si="92"/>
        <v>1</v>
      </c>
      <c r="R510" s="2736">
        <f t="shared" si="93"/>
        <v>0</v>
      </c>
      <c r="S510" s="2867">
        <f t="shared" si="94"/>
        <v>0</v>
      </c>
    </row>
    <row r="511" spans="1:19">
      <c r="A511" s="2995"/>
      <c r="B511" s="3286"/>
      <c r="C511" s="2993">
        <f t="shared" si="85"/>
        <v>1</v>
      </c>
      <c r="D511" s="3288"/>
      <c r="E511" s="2993">
        <f t="shared" si="86"/>
        <v>1</v>
      </c>
      <c r="F511" s="3288"/>
      <c r="G511" s="2993">
        <f t="shared" si="87"/>
        <v>1</v>
      </c>
      <c r="H511" s="3288"/>
      <c r="I511" s="2993">
        <f t="shared" si="88"/>
        <v>1</v>
      </c>
      <c r="J511" s="3288"/>
      <c r="K511" s="2993">
        <f t="shared" si="89"/>
        <v>1</v>
      </c>
      <c r="L511" s="3288"/>
      <c r="M511" s="2993">
        <f t="shared" si="90"/>
        <v>1</v>
      </c>
      <c r="N511" s="3288"/>
      <c r="O511" s="2993">
        <f t="shared" si="91"/>
        <v>1</v>
      </c>
      <c r="P511" s="3288"/>
      <c r="Q511" s="2993">
        <f t="shared" si="92"/>
        <v>1</v>
      </c>
      <c r="R511" s="2736">
        <f t="shared" si="93"/>
        <v>0</v>
      </c>
      <c r="S511" s="2867">
        <f t="shared" si="94"/>
        <v>0</v>
      </c>
    </row>
    <row r="512" spans="1:19">
      <c r="A512" s="2995"/>
      <c r="B512" s="3286"/>
      <c r="C512" s="2993">
        <f t="shared" si="85"/>
        <v>1</v>
      </c>
      <c r="D512" s="3288"/>
      <c r="E512" s="2993">
        <f t="shared" si="86"/>
        <v>1</v>
      </c>
      <c r="F512" s="3288"/>
      <c r="G512" s="2993">
        <f t="shared" si="87"/>
        <v>1</v>
      </c>
      <c r="H512" s="3288"/>
      <c r="I512" s="2993">
        <f t="shared" si="88"/>
        <v>1</v>
      </c>
      <c r="J512" s="3288"/>
      <c r="K512" s="2993">
        <f t="shared" si="89"/>
        <v>1</v>
      </c>
      <c r="L512" s="3288"/>
      <c r="M512" s="2993">
        <f t="shared" si="90"/>
        <v>1</v>
      </c>
      <c r="N512" s="3288"/>
      <c r="O512" s="2993">
        <f t="shared" si="91"/>
        <v>1</v>
      </c>
      <c r="P512" s="3288"/>
      <c r="Q512" s="2993">
        <f t="shared" si="92"/>
        <v>1</v>
      </c>
      <c r="R512" s="2736">
        <f t="shared" si="93"/>
        <v>0</v>
      </c>
      <c r="S512" s="2867">
        <f t="shared" si="94"/>
        <v>0</v>
      </c>
    </row>
    <row r="513" spans="1:19">
      <c r="A513" s="2995"/>
      <c r="B513" s="3286"/>
      <c r="C513" s="2993">
        <f t="shared" si="85"/>
        <v>1</v>
      </c>
      <c r="D513" s="3288"/>
      <c r="E513" s="2993">
        <f t="shared" si="86"/>
        <v>1</v>
      </c>
      <c r="F513" s="3288"/>
      <c r="G513" s="2993">
        <f t="shared" si="87"/>
        <v>1</v>
      </c>
      <c r="H513" s="3288"/>
      <c r="I513" s="2993">
        <f t="shared" si="88"/>
        <v>1</v>
      </c>
      <c r="J513" s="3288"/>
      <c r="K513" s="2993">
        <f t="shared" si="89"/>
        <v>1</v>
      </c>
      <c r="L513" s="3288"/>
      <c r="M513" s="2993">
        <f t="shared" si="90"/>
        <v>1</v>
      </c>
      <c r="N513" s="3288"/>
      <c r="O513" s="2993">
        <f t="shared" si="91"/>
        <v>1</v>
      </c>
      <c r="P513" s="3288"/>
      <c r="Q513" s="2993">
        <f t="shared" si="92"/>
        <v>1</v>
      </c>
      <c r="R513" s="2736">
        <f t="shared" si="93"/>
        <v>0</v>
      </c>
      <c r="S513" s="2867">
        <f t="shared" si="94"/>
        <v>0</v>
      </c>
    </row>
    <row r="514" spans="1:19">
      <c r="A514" s="2995"/>
      <c r="B514" s="3286"/>
      <c r="C514" s="2993">
        <f t="shared" si="85"/>
        <v>1</v>
      </c>
      <c r="D514" s="3288"/>
      <c r="E514" s="2993">
        <f t="shared" si="86"/>
        <v>1</v>
      </c>
      <c r="F514" s="3288"/>
      <c r="G514" s="2993">
        <f t="shared" si="87"/>
        <v>1</v>
      </c>
      <c r="H514" s="3288"/>
      <c r="I514" s="2993">
        <f t="shared" si="88"/>
        <v>1</v>
      </c>
      <c r="J514" s="3288"/>
      <c r="K514" s="2993">
        <f t="shared" si="89"/>
        <v>1</v>
      </c>
      <c r="L514" s="3288"/>
      <c r="M514" s="2993">
        <f t="shared" si="90"/>
        <v>1</v>
      </c>
      <c r="N514" s="3288"/>
      <c r="O514" s="2993">
        <f t="shared" si="91"/>
        <v>1</v>
      </c>
      <c r="P514" s="3288"/>
      <c r="Q514" s="2993">
        <f t="shared" si="92"/>
        <v>1</v>
      </c>
      <c r="R514" s="2736">
        <f t="shared" si="93"/>
        <v>0</v>
      </c>
      <c r="S514" s="2867">
        <f t="shared" si="94"/>
        <v>0</v>
      </c>
    </row>
    <row r="515" spans="1:19">
      <c r="A515" s="2995"/>
      <c r="B515" s="3286"/>
      <c r="C515" s="2993">
        <f t="shared" si="85"/>
        <v>1</v>
      </c>
      <c r="D515" s="3288"/>
      <c r="E515" s="2993">
        <f t="shared" si="86"/>
        <v>1</v>
      </c>
      <c r="F515" s="3288"/>
      <c r="G515" s="2993">
        <f t="shared" si="87"/>
        <v>1</v>
      </c>
      <c r="H515" s="3288"/>
      <c r="I515" s="2993">
        <f t="shared" si="88"/>
        <v>1</v>
      </c>
      <c r="J515" s="3288"/>
      <c r="K515" s="2993">
        <f t="shared" si="89"/>
        <v>1</v>
      </c>
      <c r="L515" s="3288"/>
      <c r="M515" s="2993">
        <f t="shared" si="90"/>
        <v>1</v>
      </c>
      <c r="N515" s="3288"/>
      <c r="O515" s="2993">
        <f t="shared" si="91"/>
        <v>1</v>
      </c>
      <c r="P515" s="3288"/>
      <c r="Q515" s="2993">
        <f t="shared" si="92"/>
        <v>1</v>
      </c>
      <c r="R515" s="2736">
        <f t="shared" si="93"/>
        <v>0</v>
      </c>
      <c r="S515" s="2867">
        <f t="shared" si="94"/>
        <v>0</v>
      </c>
    </row>
    <row r="516" spans="1:19">
      <c r="A516" s="2995"/>
      <c r="B516" s="3286"/>
      <c r="C516" s="2993">
        <f t="shared" si="85"/>
        <v>1</v>
      </c>
      <c r="D516" s="3288"/>
      <c r="E516" s="2993">
        <f t="shared" si="86"/>
        <v>1</v>
      </c>
      <c r="F516" s="3288"/>
      <c r="G516" s="2993">
        <f t="shared" si="87"/>
        <v>1</v>
      </c>
      <c r="H516" s="3288"/>
      <c r="I516" s="2993">
        <f t="shared" si="88"/>
        <v>1</v>
      </c>
      <c r="J516" s="3288"/>
      <c r="K516" s="2993">
        <f t="shared" si="89"/>
        <v>1</v>
      </c>
      <c r="L516" s="3288"/>
      <c r="M516" s="2993">
        <f t="shared" si="90"/>
        <v>1</v>
      </c>
      <c r="N516" s="3288"/>
      <c r="O516" s="2993">
        <f t="shared" si="91"/>
        <v>1</v>
      </c>
      <c r="P516" s="3288"/>
      <c r="Q516" s="2993">
        <f t="shared" si="92"/>
        <v>1</v>
      </c>
      <c r="R516" s="2736">
        <f t="shared" si="93"/>
        <v>0</v>
      </c>
      <c r="S516" s="2867">
        <f t="shared" si="94"/>
        <v>0</v>
      </c>
    </row>
    <row r="517" spans="1:19">
      <c r="A517" s="2995"/>
      <c r="B517" s="3286"/>
      <c r="C517" s="2993">
        <f t="shared" si="85"/>
        <v>1</v>
      </c>
      <c r="D517" s="3288"/>
      <c r="E517" s="2993">
        <f t="shared" si="86"/>
        <v>1</v>
      </c>
      <c r="F517" s="3288"/>
      <c r="G517" s="2993">
        <f t="shared" si="87"/>
        <v>1</v>
      </c>
      <c r="H517" s="3288"/>
      <c r="I517" s="2993">
        <f t="shared" si="88"/>
        <v>1</v>
      </c>
      <c r="J517" s="3288"/>
      <c r="K517" s="2993">
        <f t="shared" si="89"/>
        <v>1</v>
      </c>
      <c r="L517" s="3288"/>
      <c r="M517" s="2993">
        <f t="shared" si="90"/>
        <v>1</v>
      </c>
      <c r="N517" s="3288"/>
      <c r="O517" s="2993">
        <f t="shared" si="91"/>
        <v>1</v>
      </c>
      <c r="P517" s="3288"/>
      <c r="Q517" s="2993">
        <f t="shared" si="92"/>
        <v>1</v>
      </c>
      <c r="R517" s="2736">
        <f t="shared" si="93"/>
        <v>0</v>
      </c>
      <c r="S517" s="2867">
        <f t="shared" si="94"/>
        <v>0</v>
      </c>
    </row>
    <row r="518" spans="1:19">
      <c r="A518" s="2995"/>
      <c r="B518" s="3286"/>
      <c r="C518" s="2993">
        <f t="shared" si="85"/>
        <v>1</v>
      </c>
      <c r="D518" s="3288"/>
      <c r="E518" s="2993">
        <f t="shared" si="86"/>
        <v>1</v>
      </c>
      <c r="F518" s="3288"/>
      <c r="G518" s="2993">
        <f t="shared" si="87"/>
        <v>1</v>
      </c>
      <c r="H518" s="3288"/>
      <c r="I518" s="2993">
        <f t="shared" si="88"/>
        <v>1</v>
      </c>
      <c r="J518" s="3288"/>
      <c r="K518" s="2993">
        <f t="shared" si="89"/>
        <v>1</v>
      </c>
      <c r="L518" s="3288"/>
      <c r="M518" s="2993">
        <f t="shared" si="90"/>
        <v>1</v>
      </c>
      <c r="N518" s="3288"/>
      <c r="O518" s="2993">
        <f t="shared" si="91"/>
        <v>1</v>
      </c>
      <c r="P518" s="3288"/>
      <c r="Q518" s="2993">
        <f t="shared" si="92"/>
        <v>1</v>
      </c>
      <c r="R518" s="2736">
        <f t="shared" si="93"/>
        <v>0</v>
      </c>
      <c r="S518" s="2867">
        <f t="shared" si="94"/>
        <v>0</v>
      </c>
    </row>
    <row r="519" spans="1:19">
      <c r="A519" s="2995"/>
      <c r="B519" s="3286"/>
      <c r="C519" s="2993">
        <f t="shared" si="85"/>
        <v>1</v>
      </c>
      <c r="D519" s="3288"/>
      <c r="E519" s="2993">
        <f t="shared" si="86"/>
        <v>1</v>
      </c>
      <c r="F519" s="3288"/>
      <c r="G519" s="2993">
        <f t="shared" si="87"/>
        <v>1</v>
      </c>
      <c r="H519" s="3288"/>
      <c r="I519" s="2993">
        <f t="shared" si="88"/>
        <v>1</v>
      </c>
      <c r="J519" s="3288"/>
      <c r="K519" s="2993">
        <f t="shared" si="89"/>
        <v>1</v>
      </c>
      <c r="L519" s="3288"/>
      <c r="M519" s="2993">
        <f t="shared" si="90"/>
        <v>1</v>
      </c>
      <c r="N519" s="3288"/>
      <c r="O519" s="2993">
        <f t="shared" si="91"/>
        <v>1</v>
      </c>
      <c r="P519" s="3288"/>
      <c r="Q519" s="2993">
        <f t="shared" si="92"/>
        <v>1</v>
      </c>
      <c r="R519" s="2736">
        <f t="shared" si="93"/>
        <v>0</v>
      </c>
      <c r="S519" s="2867">
        <f t="shared" si="94"/>
        <v>0</v>
      </c>
    </row>
    <row r="520" spans="1:19">
      <c r="A520" s="2995"/>
      <c r="B520" s="3286"/>
      <c r="C520" s="2993">
        <f t="shared" si="85"/>
        <v>1</v>
      </c>
      <c r="D520" s="3288"/>
      <c r="E520" s="2993">
        <f t="shared" si="86"/>
        <v>1</v>
      </c>
      <c r="F520" s="3288"/>
      <c r="G520" s="2993">
        <f t="shared" si="87"/>
        <v>1</v>
      </c>
      <c r="H520" s="3288"/>
      <c r="I520" s="2993">
        <f t="shared" si="88"/>
        <v>1</v>
      </c>
      <c r="J520" s="3288"/>
      <c r="K520" s="2993">
        <f t="shared" si="89"/>
        <v>1</v>
      </c>
      <c r="L520" s="3288"/>
      <c r="M520" s="2993">
        <f t="shared" si="90"/>
        <v>1</v>
      </c>
      <c r="N520" s="3288"/>
      <c r="O520" s="2993">
        <f t="shared" si="91"/>
        <v>1</v>
      </c>
      <c r="P520" s="3288"/>
      <c r="Q520" s="2993">
        <f t="shared" si="92"/>
        <v>1</v>
      </c>
      <c r="R520" s="2736">
        <f t="shared" si="93"/>
        <v>0</v>
      </c>
      <c r="S520" s="2867">
        <f t="shared" si="94"/>
        <v>0</v>
      </c>
    </row>
    <row r="521" spans="1:19">
      <c r="A521" s="2995"/>
      <c r="B521" s="3286"/>
      <c r="C521" s="2993">
        <f t="shared" si="85"/>
        <v>1</v>
      </c>
      <c r="D521" s="3288"/>
      <c r="E521" s="2993">
        <f t="shared" si="86"/>
        <v>1</v>
      </c>
      <c r="F521" s="3288"/>
      <c r="G521" s="2993">
        <f t="shared" si="87"/>
        <v>1</v>
      </c>
      <c r="H521" s="3288"/>
      <c r="I521" s="2993">
        <f t="shared" si="88"/>
        <v>1</v>
      </c>
      <c r="J521" s="3288"/>
      <c r="K521" s="2993">
        <f t="shared" si="89"/>
        <v>1</v>
      </c>
      <c r="L521" s="3288"/>
      <c r="M521" s="2993">
        <f t="shared" si="90"/>
        <v>1</v>
      </c>
      <c r="N521" s="3288"/>
      <c r="O521" s="2993">
        <f t="shared" si="91"/>
        <v>1</v>
      </c>
      <c r="P521" s="3288"/>
      <c r="Q521" s="2993">
        <f t="shared" si="92"/>
        <v>1</v>
      </c>
      <c r="R521" s="2736">
        <f t="shared" si="93"/>
        <v>0</v>
      </c>
      <c r="S521" s="2867">
        <f t="shared" si="94"/>
        <v>0</v>
      </c>
    </row>
    <row r="522" spans="1:19">
      <c r="A522" s="2995"/>
      <c r="B522" s="3286"/>
      <c r="C522" s="2993">
        <f t="shared" si="85"/>
        <v>1</v>
      </c>
      <c r="D522" s="3288"/>
      <c r="E522" s="2993">
        <f t="shared" si="86"/>
        <v>1</v>
      </c>
      <c r="F522" s="3288"/>
      <c r="G522" s="2993">
        <f t="shared" si="87"/>
        <v>1</v>
      </c>
      <c r="H522" s="3288"/>
      <c r="I522" s="2993">
        <f t="shared" si="88"/>
        <v>1</v>
      </c>
      <c r="J522" s="3288"/>
      <c r="K522" s="2993">
        <f t="shared" si="89"/>
        <v>1</v>
      </c>
      <c r="L522" s="3288"/>
      <c r="M522" s="2993">
        <f t="shared" si="90"/>
        <v>1</v>
      </c>
      <c r="N522" s="3288"/>
      <c r="O522" s="2993">
        <f t="shared" si="91"/>
        <v>1</v>
      </c>
      <c r="P522" s="3288"/>
      <c r="Q522" s="2993">
        <f t="shared" si="92"/>
        <v>1</v>
      </c>
      <c r="R522" s="2736">
        <f t="shared" si="93"/>
        <v>0</v>
      </c>
      <c r="S522" s="2867">
        <f t="shared" si="94"/>
        <v>0</v>
      </c>
    </row>
    <row r="523" spans="1:19">
      <c r="A523" s="2995"/>
      <c r="B523" s="3286"/>
      <c r="C523" s="2993">
        <f t="shared" si="85"/>
        <v>1</v>
      </c>
      <c r="D523" s="3288"/>
      <c r="E523" s="2993">
        <f t="shared" si="86"/>
        <v>1</v>
      </c>
      <c r="F523" s="3288"/>
      <c r="G523" s="2993">
        <f t="shared" si="87"/>
        <v>1</v>
      </c>
      <c r="H523" s="3288"/>
      <c r="I523" s="2993">
        <f t="shared" si="88"/>
        <v>1</v>
      </c>
      <c r="J523" s="3288"/>
      <c r="K523" s="2993">
        <f t="shared" si="89"/>
        <v>1</v>
      </c>
      <c r="L523" s="3288"/>
      <c r="M523" s="2993">
        <f t="shared" si="90"/>
        <v>1</v>
      </c>
      <c r="N523" s="3288"/>
      <c r="O523" s="2993">
        <f t="shared" si="91"/>
        <v>1</v>
      </c>
      <c r="P523" s="3288"/>
      <c r="Q523" s="2993">
        <f t="shared" si="92"/>
        <v>1</v>
      </c>
      <c r="R523" s="2736">
        <f t="shared" si="93"/>
        <v>0</v>
      </c>
      <c r="S523" s="2867">
        <f t="shared" si="94"/>
        <v>0</v>
      </c>
    </row>
    <row r="524" spans="1:19">
      <c r="A524" s="2995"/>
      <c r="B524" s="3286"/>
      <c r="C524" s="2993">
        <f t="shared" si="85"/>
        <v>1</v>
      </c>
      <c r="D524" s="3288"/>
      <c r="E524" s="2993">
        <f t="shared" si="86"/>
        <v>1</v>
      </c>
      <c r="F524" s="3288"/>
      <c r="G524" s="2993">
        <f t="shared" si="87"/>
        <v>1</v>
      </c>
      <c r="H524" s="3288"/>
      <c r="I524" s="2993">
        <f t="shared" si="88"/>
        <v>1</v>
      </c>
      <c r="J524" s="3288"/>
      <c r="K524" s="2993">
        <f t="shared" si="89"/>
        <v>1</v>
      </c>
      <c r="L524" s="3288"/>
      <c r="M524" s="2993">
        <f t="shared" si="90"/>
        <v>1</v>
      </c>
      <c r="N524" s="3288"/>
      <c r="O524" s="2993">
        <f t="shared" si="91"/>
        <v>1</v>
      </c>
      <c r="P524" s="3288"/>
      <c r="Q524" s="2993">
        <f t="shared" si="92"/>
        <v>1</v>
      </c>
      <c r="R524" s="2736">
        <f t="shared" si="93"/>
        <v>0</v>
      </c>
      <c r="S524" s="286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C1" sqref="C1:S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99"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1378" t="s">
        <v>1573</v>
      </c>
      <c r="C1" s="851" t="s">
        <v>1574</v>
      </c>
      <c r="D1" s="838"/>
      <c r="E1" s="2537" t="s">
        <v>3996</v>
      </c>
      <c r="F1" s="1379" t="s">
        <v>3997</v>
      </c>
      <c r="G1" s="848" t="s">
        <v>1575</v>
      </c>
      <c r="H1" s="847"/>
      <c r="I1" s="847"/>
      <c r="J1" s="847"/>
      <c r="K1" s="849"/>
      <c r="L1" s="850"/>
      <c r="M1" s="851"/>
      <c r="N1" s="851"/>
      <c r="O1" s="851"/>
      <c r="P1" s="1380"/>
      <c r="Q1" s="837"/>
      <c r="R1" s="837"/>
      <c r="S1" s="837"/>
      <c r="T1" s="837"/>
      <c r="U1" s="837"/>
      <c r="V1" s="837"/>
      <c r="W1" s="837"/>
      <c r="X1" s="837"/>
      <c r="Y1" s="837"/>
      <c r="Z1" s="837"/>
      <c r="AA1" s="837"/>
      <c r="AB1" s="837"/>
      <c r="AC1" s="845"/>
    </row>
    <row r="2" spans="1:29" s="229" customFormat="1" ht="28.5" customHeight="1" thickTop="1" thickBot="1">
      <c r="A2" s="834" t="s">
        <v>672</v>
      </c>
      <c r="B2" s="3828" t="e">
        <f>IF(C2="含税",D2,ROUND(D2/(1+F3),0))</f>
        <v>#DIV/0!</v>
      </c>
      <c r="C2" s="2861" t="s">
        <v>3994</v>
      </c>
      <c r="D2" s="3829" t="e">
        <f>IF(E1="项目模式",IF(E2="——",ROUND(C49*D3/10000,0),ROUND(C49*D3/10000,0)-F2),IF(E1="单套模式",IF(E2="——",ROUND(C49*D3/10000,4),ROUND(C49*D3/10000,4)-F2)))</f>
        <v>#DIV/0!</v>
      </c>
      <c r="E2" s="2868" t="s">
        <v>41</v>
      </c>
      <c r="F2" s="3830" t="e">
        <f ca="1">IF(E1="项目模式",SUMIF(INDIRECT("'"&amp;H2&amp;"'"&amp;"!A:A"),"承租人权益价值",INDIRECT("'"&amp;H2&amp;"'"&amp;"!c:c")),SUMIF(INDIRECT("'"&amp;H2&amp;"'"&amp;"!A:A"),"承租人权益价值（单套）",INDIRECT("'"&amp;H2&amp;"'"&amp;"!c:c")))</f>
        <v>#REF!</v>
      </c>
      <c r="G2" s="1382" t="s">
        <v>1576</v>
      </c>
      <c r="H2" s="1383"/>
      <c r="I2" s="604"/>
      <c r="J2" s="604"/>
      <c r="K2" s="1384"/>
      <c r="L2" s="2005"/>
      <c r="M2" s="2006"/>
      <c r="N2" s="2006"/>
      <c r="O2" s="2006"/>
      <c r="P2" s="1385"/>
      <c r="Q2" s="1386"/>
      <c r="R2" s="1386"/>
      <c r="S2" s="1386"/>
      <c r="T2" s="1386"/>
      <c r="U2" s="1386"/>
      <c r="V2" s="1386"/>
      <c r="W2" s="1386"/>
      <c r="X2" s="1386"/>
      <c r="Y2" s="1386"/>
      <c r="Z2" s="1386"/>
      <c r="AA2" s="1386"/>
      <c r="AB2" s="1386"/>
      <c r="AC2" s="721"/>
    </row>
    <row r="3" spans="1:29" s="229" customFormat="1" ht="28.5" customHeight="1" thickBot="1">
      <c r="A3" s="98" t="s">
        <v>673</v>
      </c>
      <c r="B3" s="2957" t="e">
        <f>IF(E2="——",C49,ROUND(B2*10000/D3,0))</f>
        <v>#DIV/0!</v>
      </c>
      <c r="C3" s="234" t="s">
        <v>1577</v>
      </c>
      <c r="D3" s="2958">
        <f>IF(D1="",'数据-汇总表'!E3,SUMIF('数据-汇总表'!$C19:$C33,D1,'数据-汇总表'!$E19:$E33))</f>
        <v>57408.26</v>
      </c>
      <c r="E3" s="3310" t="s">
        <v>3995</v>
      </c>
      <c r="F3" s="3959">
        <f>IF(E3="其他类型—销项税率",9%,3%)</f>
        <v>0.09</v>
      </c>
      <c r="G3" s="604"/>
      <c r="H3" s="604"/>
      <c r="I3" s="604"/>
      <c r="J3" s="604"/>
      <c r="K3" s="1384"/>
      <c r="L3" s="2005"/>
      <c r="M3" s="2006"/>
      <c r="N3" s="2006"/>
      <c r="O3" s="2006"/>
      <c r="P3" s="1385"/>
      <c r="Q3" s="1386"/>
      <c r="R3" s="1386"/>
      <c r="S3" s="1386"/>
      <c r="T3" s="1386"/>
      <c r="U3" s="1386"/>
      <c r="V3" s="1386"/>
      <c r="W3" s="1386"/>
      <c r="X3" s="1386"/>
      <c r="Y3" s="1386"/>
      <c r="Z3" s="1386"/>
      <c r="AA3" s="1386"/>
      <c r="AB3" s="1386"/>
      <c r="AC3" s="721"/>
    </row>
    <row r="4" spans="1:29" ht="15">
      <c r="A4" s="235" t="s">
        <v>1578</v>
      </c>
      <c r="B4" s="236"/>
      <c r="C4" s="4677" t="s">
        <v>1579</v>
      </c>
      <c r="D4" s="4678"/>
      <c r="E4" s="4679" t="s">
        <v>1580</v>
      </c>
      <c r="F4" s="4680"/>
      <c r="G4" s="4677" t="s">
        <v>1581</v>
      </c>
      <c r="H4" s="4678"/>
      <c r="I4" s="4677" t="s">
        <v>1582</v>
      </c>
      <c r="J4" s="4678"/>
      <c r="K4" s="2886" t="s">
        <v>1583</v>
      </c>
      <c r="L4" s="2007"/>
      <c r="M4" s="2008"/>
      <c r="N4" s="2008"/>
      <c r="O4" s="2008"/>
      <c r="P4" s="4681" t="s">
        <v>1584</v>
      </c>
      <c r="Q4" s="4682"/>
      <c r="R4" s="4667" t="s">
        <v>1580</v>
      </c>
      <c r="S4" s="4668"/>
      <c r="T4" s="4667" t="s">
        <v>1581</v>
      </c>
      <c r="U4" s="4668"/>
      <c r="V4" s="4586" t="s">
        <v>1582</v>
      </c>
      <c r="W4" s="4586"/>
      <c r="X4" s="935"/>
      <c r="Y4" s="4686" t="s">
        <v>1584</v>
      </c>
      <c r="Z4" s="4687"/>
      <c r="AA4" s="4666" t="s">
        <v>1580</v>
      </c>
      <c r="AB4" s="4666" t="s">
        <v>1581</v>
      </c>
      <c r="AC4" s="4666" t="s">
        <v>1582</v>
      </c>
    </row>
    <row r="5" spans="1:29" ht="15">
      <c r="A5" s="238"/>
      <c r="B5" s="239"/>
      <c r="C5" s="4671" t="s">
        <v>1585</v>
      </c>
      <c r="D5" s="4672"/>
      <c r="E5" s="4669" t="s">
        <v>1586</v>
      </c>
      <c r="F5" s="4670"/>
      <c r="G5" s="4671" t="s">
        <v>1587</v>
      </c>
      <c r="H5" s="4672"/>
      <c r="I5" s="4671" t="s">
        <v>1588</v>
      </c>
      <c r="J5" s="4672"/>
      <c r="K5" s="2887"/>
      <c r="L5" s="2007"/>
      <c r="M5" s="2008"/>
      <c r="N5" s="2008"/>
      <c r="O5" s="2008"/>
      <c r="P5" s="4683"/>
      <c r="Q5" s="4580"/>
      <c r="R5" s="4557"/>
      <c r="S5" s="4558"/>
      <c r="T5" s="4557"/>
      <c r="U5" s="4558"/>
      <c r="V5" s="4586"/>
      <c r="W5" s="4586"/>
      <c r="X5" s="935"/>
      <c r="Y5" s="4591"/>
      <c r="Z5" s="4592"/>
      <c r="AA5" s="4551"/>
      <c r="AB5" s="4551"/>
      <c r="AC5" s="4551"/>
    </row>
    <row r="6" spans="1:29" ht="15.75" thickBot="1">
      <c r="A6" s="240"/>
      <c r="B6" s="241"/>
      <c r="C6" s="4673" t="s">
        <v>1589</v>
      </c>
      <c r="D6" s="4674"/>
      <c r="E6" s="4675" t="s">
        <v>1589</v>
      </c>
      <c r="F6" s="4676"/>
      <c r="G6" s="4673" t="s">
        <v>1589</v>
      </c>
      <c r="H6" s="4674"/>
      <c r="I6" s="4673" t="s">
        <v>1589</v>
      </c>
      <c r="J6" s="4674"/>
      <c r="K6" s="2887" t="s">
        <v>1590</v>
      </c>
      <c r="L6" s="2007"/>
      <c r="M6" s="2008"/>
      <c r="N6" s="2008"/>
      <c r="O6" s="2008"/>
      <c r="P6" s="4684"/>
      <c r="Q6" s="4582"/>
      <c r="R6" s="4557"/>
      <c r="S6" s="4558"/>
      <c r="T6" s="4583"/>
      <c r="U6" s="4584"/>
      <c r="V6" s="4586"/>
      <c r="W6" s="4586"/>
      <c r="X6" s="935"/>
      <c r="Y6" s="4593"/>
      <c r="Z6" s="4594"/>
      <c r="AA6" s="4552"/>
      <c r="AB6" s="4552"/>
      <c r="AC6" s="4552"/>
    </row>
    <row r="7" spans="1:29" s="46" customFormat="1" ht="15.75" thickBot="1">
      <c r="A7" s="242" t="s">
        <v>1591</v>
      </c>
      <c r="B7" s="243"/>
      <c r="C7" s="2888">
        <f>'数据-取费表'!B2</f>
        <v>46049</v>
      </c>
      <c r="D7" s="2963">
        <v>100</v>
      </c>
      <c r="E7" s="2917"/>
      <c r="F7" s="3831">
        <f>SUMIF(58:58,YEAR(E7)&amp;"-"&amp;MONTH(E7),59:59)</f>
        <v>0</v>
      </c>
      <c r="G7" s="2917"/>
      <c r="H7" s="3843">
        <f>SUMIF(58:58,YEAR(G7)&amp;"-"&amp;MONTH(G7),59:59)</f>
        <v>0</v>
      </c>
      <c r="I7" s="2917"/>
      <c r="J7" s="3843">
        <f>SUMIF(58:58,YEAR(I7)&amp;"-"&amp;MONTH(I7),59:59)</f>
        <v>0</v>
      </c>
      <c r="K7" s="2879"/>
      <c r="L7" s="2009"/>
      <c r="M7" s="1962"/>
      <c r="N7" s="1962"/>
      <c r="O7" s="1962"/>
      <c r="P7" s="4685" t="s">
        <v>1592</v>
      </c>
      <c r="Q7" s="4595"/>
      <c r="R7" s="3748" t="s">
        <v>18</v>
      </c>
      <c r="S7" s="3262">
        <f t="shared" ref="S7:S15" si="0">F7</f>
        <v>0</v>
      </c>
      <c r="T7" s="3748" t="s">
        <v>18</v>
      </c>
      <c r="U7" s="3262">
        <f t="shared" ref="U7:U15" si="1">H7</f>
        <v>0</v>
      </c>
      <c r="V7" s="3748" t="s">
        <v>18</v>
      </c>
      <c r="W7" s="3262">
        <f t="shared" ref="W7:W15" si="2">J7</f>
        <v>0</v>
      </c>
      <c r="X7" s="482"/>
      <c r="Y7" s="4553" t="s">
        <v>1592</v>
      </c>
      <c r="Z7" s="4554"/>
      <c r="AA7" s="28" t="e">
        <f>D7/F7</f>
        <v>#DIV/0!</v>
      </c>
      <c r="AB7" s="28" t="e">
        <f>D7/H7</f>
        <v>#DIV/0!</v>
      </c>
      <c r="AC7" s="28" t="e">
        <f>D7/J7</f>
        <v>#DIV/0!</v>
      </c>
    </row>
    <row r="8" spans="1:29" s="46" customFormat="1" ht="15.75" thickBot="1">
      <c r="A8" s="242" t="s">
        <v>1593</v>
      </c>
      <c r="B8" s="243"/>
      <c r="C8" s="2889"/>
      <c r="D8" s="2963">
        <v>100</v>
      </c>
      <c r="E8" s="2942"/>
      <c r="F8" s="3831">
        <f>SUMIF(61:61,E8,62:62)-SUMIF(61:61,C8,62:62)+100</f>
        <v>100</v>
      </c>
      <c r="G8" s="2889"/>
      <c r="H8" s="3843">
        <f>SUMIF(61:61,G8,62:62)-SUMIF(61:61,C8,62:62)+100</f>
        <v>100</v>
      </c>
      <c r="I8" s="2942"/>
      <c r="J8" s="3843">
        <f>SUMIF(61:61,I8,62:62)-SUMIF(61:61,C8,62:62)+100</f>
        <v>100</v>
      </c>
      <c r="K8" s="2879"/>
      <c r="L8" s="2009"/>
      <c r="M8" s="1962"/>
      <c r="N8" s="1962"/>
      <c r="O8" s="1962"/>
      <c r="P8" s="4685" t="s">
        <v>1595</v>
      </c>
      <c r="Q8" s="4588"/>
      <c r="R8" s="3748" t="s">
        <v>18</v>
      </c>
      <c r="S8" s="3262">
        <f t="shared" si="0"/>
        <v>100</v>
      </c>
      <c r="T8" s="3748" t="s">
        <v>18</v>
      </c>
      <c r="U8" s="3262">
        <f t="shared" si="1"/>
        <v>100</v>
      </c>
      <c r="V8" s="3748" t="s">
        <v>18</v>
      </c>
      <c r="W8" s="3262">
        <f t="shared" si="2"/>
        <v>100</v>
      </c>
      <c r="X8" s="482"/>
      <c r="Y8" s="4553" t="s">
        <v>1595</v>
      </c>
      <c r="Z8" s="4554"/>
      <c r="AA8" s="28">
        <f t="shared" ref="AA8:AA19" si="3">D8/F8</f>
        <v>1</v>
      </c>
      <c r="AB8" s="28">
        <f t="shared" ref="AB8:AB19" si="4">D8/H8</f>
        <v>1</v>
      </c>
      <c r="AC8" s="28">
        <f t="shared" ref="AC8:AC19" si="5">D8/J8</f>
        <v>1</v>
      </c>
    </row>
    <row r="9" spans="1:29" s="46" customFormat="1">
      <c r="A9" s="247" t="s">
        <v>1596</v>
      </c>
      <c r="B9" s="2869" t="s">
        <v>1597</v>
      </c>
      <c r="C9" s="2890"/>
      <c r="D9" s="2964">
        <v>100</v>
      </c>
      <c r="E9" s="2918"/>
      <c r="F9" s="3832">
        <f>SUMIF(63:63,E9,64:64)-SUMIF(63:63,C9,64:64)+100</f>
        <v>100</v>
      </c>
      <c r="G9" s="2947"/>
      <c r="H9" s="3844">
        <f>SUMIF(63:63,G9,64:64)-SUMIF(63:63,C9,64:64)+100</f>
        <v>100</v>
      </c>
      <c r="I9" s="2947"/>
      <c r="J9" s="3844">
        <f>SUMIF(63:63,I9,64:64)-SUMIF(63:63,C9,64:64)+100</f>
        <v>100</v>
      </c>
      <c r="K9" s="2879"/>
      <c r="L9" s="2009"/>
      <c r="M9" s="1962"/>
      <c r="N9" s="1962"/>
      <c r="O9" s="1962"/>
      <c r="P9" s="4568" t="s">
        <v>1598</v>
      </c>
      <c r="Q9" s="1731" t="str">
        <f t="shared" ref="Q9:Q15" si="6">B9</f>
        <v>用途</v>
      </c>
      <c r="R9" s="3748" t="s">
        <v>13</v>
      </c>
      <c r="S9" s="3262">
        <f t="shared" si="0"/>
        <v>100</v>
      </c>
      <c r="T9" s="3748" t="s">
        <v>13</v>
      </c>
      <c r="U9" s="3262">
        <f t="shared" si="1"/>
        <v>100</v>
      </c>
      <c r="V9" s="3748" t="s">
        <v>13</v>
      </c>
      <c r="W9" s="3262">
        <f t="shared" si="2"/>
        <v>100</v>
      </c>
      <c r="X9" s="482"/>
      <c r="Y9" s="4569" t="s">
        <v>1599</v>
      </c>
      <c r="Z9" s="28" t="str">
        <f t="shared" ref="Z9:Z15" si="7">Q9</f>
        <v>用途</v>
      </c>
      <c r="AA9" s="28">
        <f t="shared" si="3"/>
        <v>1</v>
      </c>
      <c r="AB9" s="28">
        <f t="shared" si="4"/>
        <v>1</v>
      </c>
      <c r="AC9" s="28">
        <f t="shared" si="5"/>
        <v>1</v>
      </c>
    </row>
    <row r="10" spans="1:29" s="253" customFormat="1" ht="27">
      <c r="A10" s="251"/>
      <c r="B10" s="2866" t="s">
        <v>1600</v>
      </c>
      <c r="C10" s="2891"/>
      <c r="D10" s="2965">
        <v>100</v>
      </c>
      <c r="E10" s="2919"/>
      <c r="F10" s="3833">
        <f>SUMIF(65:65,E10,66:66)-SUMIF(65:65,C10,66:66)+100</f>
        <v>100</v>
      </c>
      <c r="G10" s="2891"/>
      <c r="H10" s="3845">
        <f>SUMIF(65:65,G10,66:66)-SUMIF(65:65,C10,66:66)+100</f>
        <v>100</v>
      </c>
      <c r="I10" s="2891"/>
      <c r="J10" s="3845">
        <f>SUMIF(65:65,I10,66:66)-SUMIF(65:65,C10,66:66)+100</f>
        <v>100</v>
      </c>
      <c r="K10" s="2879"/>
      <c r="L10" s="2010"/>
      <c r="M10" s="2011"/>
      <c r="N10" s="2011"/>
      <c r="O10" s="2011"/>
      <c r="P10" s="4568"/>
      <c r="Q10" s="1731" t="str">
        <f t="shared" si="6"/>
        <v>土地使用年限（年）</v>
      </c>
      <c r="R10" s="3748" t="s">
        <v>13</v>
      </c>
      <c r="S10" s="3262">
        <f t="shared" si="0"/>
        <v>100</v>
      </c>
      <c r="T10" s="3748" t="s">
        <v>13</v>
      </c>
      <c r="U10" s="3262">
        <f t="shared" si="1"/>
        <v>100</v>
      </c>
      <c r="V10" s="3748" t="s">
        <v>13</v>
      </c>
      <c r="W10" s="3262">
        <f t="shared" si="2"/>
        <v>100</v>
      </c>
      <c r="X10" s="482"/>
      <c r="Y10" s="4569"/>
      <c r="Z10" s="28" t="str">
        <f t="shared" si="7"/>
        <v>土地使用年限（年）</v>
      </c>
      <c r="AA10" s="28">
        <f t="shared" si="3"/>
        <v>1</v>
      </c>
      <c r="AB10" s="28">
        <f t="shared" si="4"/>
        <v>1</v>
      </c>
      <c r="AC10" s="28">
        <f t="shared" si="5"/>
        <v>1</v>
      </c>
    </row>
    <row r="11" spans="1:29" ht="15">
      <c r="A11" s="254"/>
      <c r="B11" s="2866" t="s">
        <v>1601</v>
      </c>
      <c r="C11" s="2892"/>
      <c r="D11" s="2965">
        <v>100</v>
      </c>
      <c r="E11" s="2920"/>
      <c r="F11" s="3833">
        <f>LOOKUP(E11,68:68,69:69)-LOOKUP(C11,68:68,69:69)+100</f>
        <v>100</v>
      </c>
      <c r="G11" s="2892"/>
      <c r="H11" s="3845">
        <f>LOOKUP(G11,68:68,69:69)-LOOKUP(C11,68:68,69:69)+100</f>
        <v>100</v>
      </c>
      <c r="I11" s="2892"/>
      <c r="J11" s="3845">
        <f>LOOKUP(I11,68:68,69:69)-LOOKUP(C11,68:68,69:69)+100</f>
        <v>100</v>
      </c>
      <c r="K11" s="2880"/>
      <c r="L11" s="2012"/>
      <c r="M11" s="2008"/>
      <c r="N11" s="2008"/>
      <c r="O11" s="2008"/>
      <c r="P11" s="4568"/>
      <c r="Q11" s="1731" t="str">
        <f t="shared" si="6"/>
        <v>容积率</v>
      </c>
      <c r="R11" s="3748" t="s">
        <v>16</v>
      </c>
      <c r="S11" s="3262">
        <f t="shared" si="0"/>
        <v>100</v>
      </c>
      <c r="T11" s="3748" t="s">
        <v>16</v>
      </c>
      <c r="U11" s="3262">
        <f t="shared" si="1"/>
        <v>100</v>
      </c>
      <c r="V11" s="3748" t="s">
        <v>16</v>
      </c>
      <c r="W11" s="3262">
        <f t="shared" si="2"/>
        <v>100</v>
      </c>
      <c r="X11" s="482"/>
      <c r="Y11" s="4569"/>
      <c r="Z11" s="28" t="str">
        <f t="shared" si="7"/>
        <v>容积率</v>
      </c>
      <c r="AA11" s="28">
        <f t="shared" si="3"/>
        <v>1</v>
      </c>
      <c r="AB11" s="28">
        <f t="shared" si="4"/>
        <v>1</v>
      </c>
      <c r="AC11" s="28">
        <f t="shared" si="5"/>
        <v>1</v>
      </c>
    </row>
    <row r="12" spans="1:29" s="46" customFormat="1" ht="15">
      <c r="A12" s="257"/>
      <c r="B12" s="2870">
        <v>111</v>
      </c>
      <c r="C12" s="2893"/>
      <c r="D12" s="2966">
        <v>100</v>
      </c>
      <c r="E12" s="2893"/>
      <c r="F12" s="3833">
        <f>SUMIF(70:70,E12,71:71)-SUMIF(70:70,C12,71:71)+100</f>
        <v>100</v>
      </c>
      <c r="G12" s="2893"/>
      <c r="H12" s="3845">
        <f>SUMIF(70:70,G12,71:71)-SUMIF(70:70,C12,71:71)+100</f>
        <v>100</v>
      </c>
      <c r="I12" s="2893"/>
      <c r="J12" s="3845">
        <f>SUMIF(70:70,I12,71:71)-SUMIF(70:70,C12,71:71)+100</f>
        <v>100</v>
      </c>
      <c r="K12" s="2881"/>
      <c r="L12" s="2009"/>
      <c r="M12" s="1962"/>
      <c r="N12" s="1962"/>
      <c r="O12" s="1962"/>
      <c r="P12" s="4568"/>
      <c r="Q12" s="1731">
        <f t="shared" si="6"/>
        <v>111</v>
      </c>
      <c r="R12" s="3748" t="s">
        <v>16</v>
      </c>
      <c r="S12" s="3262">
        <f t="shared" si="0"/>
        <v>100</v>
      </c>
      <c r="T12" s="3748" t="s">
        <v>16</v>
      </c>
      <c r="U12" s="3262">
        <f t="shared" si="1"/>
        <v>100</v>
      </c>
      <c r="V12" s="3748" t="s">
        <v>16</v>
      </c>
      <c r="W12" s="3262">
        <f t="shared" si="2"/>
        <v>100</v>
      </c>
      <c r="X12" s="482"/>
      <c r="Y12" s="4569"/>
      <c r="Z12" s="28">
        <f t="shared" si="7"/>
        <v>111</v>
      </c>
      <c r="AA12" s="28">
        <f>D12/F12</f>
        <v>1</v>
      </c>
      <c r="AB12" s="28">
        <f>D12/H12</f>
        <v>1</v>
      </c>
      <c r="AC12" s="28">
        <f>D12/J12</f>
        <v>1</v>
      </c>
    </row>
    <row r="13" spans="1:29" ht="15">
      <c r="A13" s="254"/>
      <c r="B13" s="2870">
        <v>111</v>
      </c>
      <c r="C13" s="2894"/>
      <c r="D13" s="2967">
        <v>100</v>
      </c>
      <c r="E13" s="2894"/>
      <c r="F13" s="3833">
        <f>SUMIF(72:72,E13,73:73)-SUMIF(72:72,C13,73:73)+100</f>
        <v>100</v>
      </c>
      <c r="G13" s="2894"/>
      <c r="H13" s="3839">
        <f>SUMIF(72:72,G13,73:73)-SUMIF(72:72,C13,73:73)+100</f>
        <v>100</v>
      </c>
      <c r="I13" s="2894"/>
      <c r="J13" s="3839">
        <f>SUMIF(72:72,I13,73:73)-SUMIF(72:72,C13,73:73)+100</f>
        <v>100</v>
      </c>
      <c r="K13" s="2881"/>
      <c r="L13" s="2013"/>
      <c r="M13" s="2008"/>
      <c r="N13" s="2008"/>
      <c r="O13" s="2008"/>
      <c r="P13" s="4568"/>
      <c r="Q13" s="1731">
        <f t="shared" si="6"/>
        <v>111</v>
      </c>
      <c r="R13" s="3748" t="s">
        <v>16</v>
      </c>
      <c r="S13" s="3262">
        <f t="shared" si="0"/>
        <v>100</v>
      </c>
      <c r="T13" s="3748" t="s">
        <v>16</v>
      </c>
      <c r="U13" s="3262">
        <f t="shared" si="1"/>
        <v>100</v>
      </c>
      <c r="V13" s="3748" t="s">
        <v>16</v>
      </c>
      <c r="W13" s="3262">
        <f t="shared" si="2"/>
        <v>100</v>
      </c>
      <c r="X13" s="482"/>
      <c r="Y13" s="4569"/>
      <c r="Z13" s="28">
        <f t="shared" si="7"/>
        <v>111</v>
      </c>
      <c r="AA13" s="28">
        <f t="shared" si="3"/>
        <v>1</v>
      </c>
      <c r="AB13" s="28">
        <f t="shared" si="4"/>
        <v>1</v>
      </c>
      <c r="AC13" s="28">
        <f t="shared" si="5"/>
        <v>1</v>
      </c>
    </row>
    <row r="14" spans="1:29" ht="15.75" thickBot="1">
      <c r="A14" s="260"/>
      <c r="B14" s="2871">
        <v>111</v>
      </c>
      <c r="C14" s="2895"/>
      <c r="D14" s="2968">
        <v>100</v>
      </c>
      <c r="E14" s="2895"/>
      <c r="F14" s="3834">
        <f>SUMIF(74:74,E14,75:75)-SUMIF(74:74,C14,75:75)+100</f>
        <v>100</v>
      </c>
      <c r="G14" s="2895"/>
      <c r="H14" s="3841">
        <f>SUMIF(74:74,G14,75:75)-SUMIF(74:74,C14,75:75)+100</f>
        <v>100</v>
      </c>
      <c r="I14" s="2895"/>
      <c r="J14" s="3841">
        <f>SUMIF(74:74,I14,75:75)-SUMIF(74:74,C14,75:75)+100</f>
        <v>100</v>
      </c>
      <c r="K14" s="2881"/>
      <c r="L14" s="2013"/>
      <c r="M14" s="2008"/>
      <c r="N14" s="2008"/>
      <c r="O14" s="2008"/>
      <c r="P14" s="4568"/>
      <c r="Q14" s="1731">
        <f t="shared" si="6"/>
        <v>111</v>
      </c>
      <c r="R14" s="3748" t="s">
        <v>16</v>
      </c>
      <c r="S14" s="3262">
        <f t="shared" si="0"/>
        <v>100</v>
      </c>
      <c r="T14" s="3748" t="s">
        <v>16</v>
      </c>
      <c r="U14" s="3262">
        <f t="shared" si="1"/>
        <v>100</v>
      </c>
      <c r="V14" s="3748" t="s">
        <v>16</v>
      </c>
      <c r="W14" s="3262">
        <f t="shared" si="2"/>
        <v>100</v>
      </c>
      <c r="X14" s="482"/>
      <c r="Y14" s="4569"/>
      <c r="Z14" s="28">
        <f t="shared" si="7"/>
        <v>111</v>
      </c>
      <c r="AA14" s="28">
        <f t="shared" si="3"/>
        <v>1</v>
      </c>
      <c r="AB14" s="28">
        <f t="shared" si="4"/>
        <v>1</v>
      </c>
      <c r="AC14" s="28">
        <f t="shared" si="5"/>
        <v>1</v>
      </c>
    </row>
    <row r="15" spans="1:29" ht="15">
      <c r="A15" s="262" t="s">
        <v>1602</v>
      </c>
      <c r="B15" s="2872" t="s">
        <v>1237</v>
      </c>
      <c r="C15" s="2896">
        <f>估价对象房地状况!C3</f>
        <v>0</v>
      </c>
      <c r="D15" s="2969">
        <v>100</v>
      </c>
      <c r="E15" s="2927"/>
      <c r="F15" s="3835">
        <f>SUMIF(76:76,E16,77:77)-SUMIF(76:76,C16,77:77)+100</f>
        <v>100</v>
      </c>
      <c r="G15" s="2921"/>
      <c r="H15" s="3835">
        <f>SUMIF(76:76,G16,77:77)-SUMIF(76:76,C16,77:77)+100</f>
        <v>100</v>
      </c>
      <c r="I15" s="2921"/>
      <c r="J15" s="3835">
        <f>SUMIF(76:76,I16,77:77)-SUMIF(76:76,C16,77:77)+100</f>
        <v>100</v>
      </c>
      <c r="K15" s="2882"/>
      <c r="L15" s="2013"/>
      <c r="M15" s="2008"/>
      <c r="N15" s="2008"/>
      <c r="O15" s="2008"/>
      <c r="P15" s="4596" t="s">
        <v>1603</v>
      </c>
      <c r="Q15" s="1533" t="str">
        <f t="shared" si="6"/>
        <v>居住社区成熟度</v>
      </c>
      <c r="R15" s="3849" t="s">
        <v>16</v>
      </c>
      <c r="S15" s="3263">
        <f t="shared" si="0"/>
        <v>100</v>
      </c>
      <c r="T15" s="3849" t="s">
        <v>16</v>
      </c>
      <c r="U15" s="3263">
        <f t="shared" si="1"/>
        <v>100</v>
      </c>
      <c r="V15" s="3849" t="s">
        <v>16</v>
      </c>
      <c r="W15" s="3263">
        <f t="shared" si="2"/>
        <v>100</v>
      </c>
      <c r="X15" s="935"/>
      <c r="Y15" s="4598" t="s">
        <v>1603</v>
      </c>
      <c r="Z15" s="933" t="str">
        <f t="shared" si="7"/>
        <v>居住社区成熟度</v>
      </c>
      <c r="AA15" s="933">
        <f t="shared" si="3"/>
        <v>1</v>
      </c>
      <c r="AB15" s="933">
        <f t="shared" si="4"/>
        <v>1</v>
      </c>
      <c r="AC15" s="933">
        <f t="shared" si="5"/>
        <v>1</v>
      </c>
    </row>
    <row r="16" spans="1:29" ht="15">
      <c r="A16" s="254"/>
      <c r="B16" s="2873"/>
      <c r="C16" s="2897"/>
      <c r="D16" s="2970"/>
      <c r="E16" s="2931"/>
      <c r="F16" s="3836"/>
      <c r="G16" s="2925"/>
      <c r="H16" s="3837"/>
      <c r="I16" s="2925"/>
      <c r="J16" s="3836"/>
      <c r="K16" s="2883"/>
      <c r="L16" s="2013"/>
      <c r="M16" s="2008"/>
      <c r="N16" s="2008"/>
      <c r="O16" s="2008"/>
      <c r="P16" s="4597"/>
      <c r="Q16" s="1533"/>
      <c r="R16" s="3849"/>
      <c r="S16" s="3263"/>
      <c r="T16" s="3849"/>
      <c r="U16" s="3263"/>
      <c r="V16" s="3849"/>
      <c r="W16" s="3263"/>
      <c r="X16" s="935"/>
      <c r="Y16" s="4599"/>
      <c r="Z16" s="933"/>
      <c r="AA16" s="933">
        <v>1</v>
      </c>
      <c r="AB16" s="933">
        <v>1</v>
      </c>
      <c r="AC16" s="933">
        <v>1</v>
      </c>
    </row>
    <row r="17" spans="1:29" ht="15">
      <c r="A17" s="254"/>
      <c r="B17" s="2874" t="s">
        <v>1239</v>
      </c>
      <c r="C17" s="2898">
        <f>估价对象房地状况!C6</f>
        <v>0</v>
      </c>
      <c r="D17" s="2971">
        <v>100</v>
      </c>
      <c r="E17" s="2928"/>
      <c r="F17" s="3837">
        <f>SUMIF(78:78,E18,79:79)-SUMIF(78:78,C18,79:79)+100</f>
        <v>100</v>
      </c>
      <c r="G17" s="2922"/>
      <c r="H17" s="3838">
        <f>SUMIF(78:78,G18,79:79)-SUMIF(78:78,C18,79:79)+100</f>
        <v>100</v>
      </c>
      <c r="I17" s="2922"/>
      <c r="J17" s="3838">
        <f>SUMIF(78:78,I18,79:79)-SUMIF(78:78,C18,79:79)+100</f>
        <v>100</v>
      </c>
      <c r="K17" s="2882"/>
      <c r="L17" s="2013"/>
      <c r="M17" s="2008"/>
      <c r="N17" s="2008"/>
      <c r="O17" s="2008"/>
      <c r="P17" s="4597"/>
      <c r="Q17" s="1533" t="str">
        <f>B17</f>
        <v>交通便捷度</v>
      </c>
      <c r="R17" s="3849" t="s">
        <v>16</v>
      </c>
      <c r="S17" s="3263">
        <f>F17</f>
        <v>100</v>
      </c>
      <c r="T17" s="3849" t="s">
        <v>16</v>
      </c>
      <c r="U17" s="3263">
        <f>H17</f>
        <v>100</v>
      </c>
      <c r="V17" s="3849" t="s">
        <v>16</v>
      </c>
      <c r="W17" s="3263">
        <f>J17</f>
        <v>100</v>
      </c>
      <c r="X17" s="935"/>
      <c r="Y17" s="4599"/>
      <c r="Z17" s="933" t="str">
        <f>Q17</f>
        <v>交通便捷度</v>
      </c>
      <c r="AA17" s="933">
        <f t="shared" si="3"/>
        <v>1</v>
      </c>
      <c r="AB17" s="933">
        <f t="shared" si="4"/>
        <v>1</v>
      </c>
      <c r="AC17" s="933">
        <f t="shared" si="5"/>
        <v>1</v>
      </c>
    </row>
    <row r="18" spans="1:29" ht="15">
      <c r="A18" s="254"/>
      <c r="B18" s="2875"/>
      <c r="C18" s="2899"/>
      <c r="D18" s="2971"/>
      <c r="E18" s="2929"/>
      <c r="F18" s="3837"/>
      <c r="G18" s="2923"/>
      <c r="H18" s="3836"/>
      <c r="I18" s="2923"/>
      <c r="J18" s="3836"/>
      <c r="K18" s="2883"/>
      <c r="L18" s="2013"/>
      <c r="M18" s="2008"/>
      <c r="N18" s="2008"/>
      <c r="O18" s="2008"/>
      <c r="P18" s="4597"/>
      <c r="Q18" s="1533"/>
      <c r="R18" s="3849"/>
      <c r="S18" s="3263"/>
      <c r="T18" s="3849"/>
      <c r="U18" s="3263"/>
      <c r="V18" s="3849"/>
      <c r="W18" s="3263"/>
      <c r="X18" s="935"/>
      <c r="Y18" s="4599"/>
      <c r="Z18" s="933"/>
      <c r="AA18" s="933">
        <v>1</v>
      </c>
      <c r="AB18" s="933">
        <v>1</v>
      </c>
      <c r="AC18" s="933">
        <v>1</v>
      </c>
    </row>
    <row r="19" spans="1:29" ht="15">
      <c r="A19" s="254"/>
      <c r="B19" s="2874" t="s">
        <v>1238</v>
      </c>
      <c r="C19" s="2898">
        <f>估价对象房地状况!C7</f>
        <v>0</v>
      </c>
      <c r="D19" s="2972">
        <v>100</v>
      </c>
      <c r="E19" s="2930"/>
      <c r="F19" s="3838">
        <f>SUMIF(80:80,E20,81:81)-SUMIF(80:80,C20,81:81)+100</f>
        <v>100</v>
      </c>
      <c r="G19" s="2924"/>
      <c r="H19" s="3837">
        <f>SUMIF(80:80,G20,81:81)-SUMIF(80:80,C20,81:81)+100</f>
        <v>100</v>
      </c>
      <c r="I19" s="2924"/>
      <c r="J19" s="3837">
        <f>SUMIF(80:80,I20,81:81)-SUMIF(80:80,C20,81:81)+100</f>
        <v>100</v>
      </c>
      <c r="K19" s="2882"/>
      <c r="L19" s="2013"/>
      <c r="M19" s="2008"/>
      <c r="N19" s="2008"/>
      <c r="O19" s="2008"/>
      <c r="P19" s="4597"/>
      <c r="Q19" s="1533" t="str">
        <f>B19</f>
        <v>公共配套设施</v>
      </c>
      <c r="R19" s="3849" t="s">
        <v>16</v>
      </c>
      <c r="S19" s="3263">
        <f>F19</f>
        <v>100</v>
      </c>
      <c r="T19" s="3849" t="s">
        <v>16</v>
      </c>
      <c r="U19" s="3263">
        <f>H19</f>
        <v>100</v>
      </c>
      <c r="V19" s="3849" t="s">
        <v>16</v>
      </c>
      <c r="W19" s="3263">
        <f>J19</f>
        <v>100</v>
      </c>
      <c r="X19" s="935"/>
      <c r="Y19" s="4599"/>
      <c r="Z19" s="933" t="str">
        <f>Q19</f>
        <v>公共配套设施</v>
      </c>
      <c r="AA19" s="933">
        <f t="shared" si="3"/>
        <v>1</v>
      </c>
      <c r="AB19" s="933">
        <f t="shared" si="4"/>
        <v>1</v>
      </c>
      <c r="AC19" s="933">
        <f t="shared" si="5"/>
        <v>1</v>
      </c>
    </row>
    <row r="20" spans="1:29" ht="15">
      <c r="A20" s="254"/>
      <c r="B20" s="2875"/>
      <c r="C20" s="2897"/>
      <c r="D20" s="2970"/>
      <c r="E20" s="2931"/>
      <c r="F20" s="3836"/>
      <c r="G20" s="2925"/>
      <c r="H20" s="3836"/>
      <c r="I20" s="2925"/>
      <c r="J20" s="3836"/>
      <c r="K20" s="2883"/>
      <c r="L20" s="2013"/>
      <c r="M20" s="2008"/>
      <c r="N20" s="2008"/>
      <c r="O20" s="2008"/>
      <c r="P20" s="4597"/>
      <c r="Q20" s="1533"/>
      <c r="R20" s="3849"/>
      <c r="S20" s="3263"/>
      <c r="T20" s="3849"/>
      <c r="U20" s="3263"/>
      <c r="V20" s="3849"/>
      <c r="W20" s="3263"/>
      <c r="X20" s="935"/>
      <c r="Y20" s="4599"/>
      <c r="Z20" s="933"/>
      <c r="AA20" s="933">
        <v>1</v>
      </c>
      <c r="AB20" s="933">
        <v>1</v>
      </c>
      <c r="AC20" s="933">
        <v>1</v>
      </c>
    </row>
    <row r="21" spans="1:29" ht="15">
      <c r="A21" s="254"/>
      <c r="B21" s="2876" t="s">
        <v>1240</v>
      </c>
      <c r="C21" s="2898">
        <f>估价对象房地状况!C8</f>
        <v>0</v>
      </c>
      <c r="D21" s="2971">
        <v>100</v>
      </c>
      <c r="E21" s="2930"/>
      <c r="F21" s="3838">
        <f>SUMIF(82:82,E22,83:83)-SUMIF(82:82,C22,83:83)+100</f>
        <v>100</v>
      </c>
      <c r="G21" s="2924"/>
      <c r="H21" s="3837">
        <f>SUMIF(82:82,G22,83:83)-SUMIF(82:82,C22,83:83)+100</f>
        <v>100</v>
      </c>
      <c r="I21" s="2924"/>
      <c r="J21" s="3837">
        <f>SUMIF(82:82,I22,83:83)-SUMIF(82:82,C22,83:83)+100</f>
        <v>100</v>
      </c>
      <c r="K21" s="2882"/>
      <c r="L21" s="2013"/>
      <c r="M21" s="2008"/>
      <c r="N21" s="2008"/>
      <c r="O21" s="2008"/>
      <c r="P21" s="4597"/>
      <c r="Q21" s="1533" t="str">
        <f>B21</f>
        <v>基础设施水平</v>
      </c>
      <c r="R21" s="3849" t="s">
        <v>13</v>
      </c>
      <c r="S21" s="3263">
        <f>F21</f>
        <v>100</v>
      </c>
      <c r="T21" s="3849" t="s">
        <v>13</v>
      </c>
      <c r="U21" s="3263">
        <f>H21</f>
        <v>100</v>
      </c>
      <c r="V21" s="3849" t="s">
        <v>13</v>
      </c>
      <c r="W21" s="3263">
        <f>J21</f>
        <v>100</v>
      </c>
      <c r="X21" s="935"/>
      <c r="Y21" s="4599"/>
      <c r="Z21" s="933" t="str">
        <f>Q21</f>
        <v>基础设施水平</v>
      </c>
      <c r="AA21" s="933">
        <f t="shared" ref="AA21" si="8">D21/F21</f>
        <v>1</v>
      </c>
      <c r="AB21" s="933">
        <f t="shared" ref="AB21" si="9">D21/H21</f>
        <v>1</v>
      </c>
      <c r="AC21" s="933">
        <f t="shared" ref="AC21" si="10">D21/J21</f>
        <v>1</v>
      </c>
    </row>
    <row r="22" spans="1:29" ht="15">
      <c r="A22" s="254"/>
      <c r="B22" s="2876"/>
      <c r="C22" s="2899"/>
      <c r="D22" s="2970"/>
      <c r="E22" s="2897"/>
      <c r="F22" s="3836"/>
      <c r="G22" s="2948"/>
      <c r="H22" s="3836"/>
      <c r="I22" s="2897"/>
      <c r="J22" s="3836"/>
      <c r="K22" s="2884"/>
      <c r="L22" s="2013"/>
      <c r="M22" s="2008"/>
      <c r="N22" s="2008"/>
      <c r="O22" s="2008"/>
      <c r="P22" s="4597"/>
      <c r="Q22" s="1533"/>
      <c r="R22" s="3849"/>
      <c r="S22" s="3263"/>
      <c r="T22" s="3849"/>
      <c r="U22" s="3263"/>
      <c r="V22" s="3849"/>
      <c r="W22" s="3263"/>
      <c r="X22" s="935"/>
      <c r="Y22" s="4599"/>
      <c r="Z22" s="933"/>
      <c r="AA22" s="933">
        <v>1</v>
      </c>
      <c r="AB22" s="933">
        <v>1</v>
      </c>
      <c r="AC22" s="933">
        <v>1</v>
      </c>
    </row>
    <row r="23" spans="1:29" ht="15">
      <c r="A23" s="254"/>
      <c r="B23" s="2874" t="s">
        <v>1241</v>
      </c>
      <c r="C23" s="2898">
        <f>估价对象房地状况!C9</f>
        <v>0</v>
      </c>
      <c r="D23" s="2971">
        <v>100</v>
      </c>
      <c r="E23" s="2928"/>
      <c r="F23" s="3837">
        <f>SUMIF(84:84,E24,85:85)-SUMIF(84:84,C24,85:85)+100</f>
        <v>100</v>
      </c>
      <c r="G23" s="2922"/>
      <c r="H23" s="3837">
        <f>SUMIF(84:84,G24,85:85)-SUMIF(84:84,C24,85:85)+100</f>
        <v>100</v>
      </c>
      <c r="I23" s="2922"/>
      <c r="J23" s="3837">
        <f>SUMIF(84:84,I24,85:85)-SUMIF(84:84,C24,85:85)+100</f>
        <v>100</v>
      </c>
      <c r="K23" s="2882"/>
      <c r="L23" s="2013"/>
      <c r="M23" s="2008"/>
      <c r="N23" s="2008"/>
      <c r="O23" s="2008"/>
      <c r="P23" s="4597"/>
      <c r="Q23" s="1533" t="str">
        <f>B23</f>
        <v>自然及人文环境</v>
      </c>
      <c r="R23" s="3849" t="s">
        <v>16</v>
      </c>
      <c r="S23" s="3263">
        <f>F23</f>
        <v>100</v>
      </c>
      <c r="T23" s="3849" t="s">
        <v>16</v>
      </c>
      <c r="U23" s="3263">
        <f>H23</f>
        <v>100</v>
      </c>
      <c r="V23" s="3849" t="s">
        <v>16</v>
      </c>
      <c r="W23" s="3263">
        <f>J23</f>
        <v>100</v>
      </c>
      <c r="X23" s="935"/>
      <c r="Y23" s="4599"/>
      <c r="Z23" s="933" t="str">
        <f>Q23</f>
        <v>自然及人文环境</v>
      </c>
      <c r="AA23" s="933">
        <f>D23/F23</f>
        <v>1</v>
      </c>
      <c r="AB23" s="933">
        <f>D23/H23</f>
        <v>1</v>
      </c>
      <c r="AC23" s="933">
        <f>D23/J23</f>
        <v>1</v>
      </c>
    </row>
    <row r="24" spans="1:29" ht="15">
      <c r="A24" s="254"/>
      <c r="B24" s="2875"/>
      <c r="C24" s="2897"/>
      <c r="D24" s="2970"/>
      <c r="E24" s="2931"/>
      <c r="F24" s="3836"/>
      <c r="G24" s="2925"/>
      <c r="H24" s="3836"/>
      <c r="I24" s="2925"/>
      <c r="J24" s="3836"/>
      <c r="K24" s="2883"/>
      <c r="L24" s="2013"/>
      <c r="M24" s="2008"/>
      <c r="N24" s="2008"/>
      <c r="O24" s="2008"/>
      <c r="P24" s="4597"/>
      <c r="Q24" s="1533"/>
      <c r="R24" s="3849"/>
      <c r="S24" s="3263"/>
      <c r="T24" s="3849"/>
      <c r="U24" s="3263"/>
      <c r="V24" s="3849"/>
      <c r="W24" s="3263"/>
      <c r="X24" s="935"/>
      <c r="Y24" s="4599"/>
      <c r="Z24" s="933"/>
      <c r="AA24" s="933">
        <v>1</v>
      </c>
      <c r="AB24" s="933">
        <v>1</v>
      </c>
      <c r="AC24" s="933">
        <v>1</v>
      </c>
    </row>
    <row r="25" spans="1:29" ht="15">
      <c r="A25" s="254"/>
      <c r="B25" s="2866" t="s">
        <v>1604</v>
      </c>
      <c r="C25" s="2900"/>
      <c r="D25" s="2967">
        <v>100</v>
      </c>
      <c r="E25" s="2903"/>
      <c r="F25" s="3839">
        <f>SUMIF(86:86,E25,87:87)-SUMIF(86:86,C25,87:87)+100</f>
        <v>100</v>
      </c>
      <c r="G25" s="2946"/>
      <c r="H25" s="3839">
        <f>SUMIF(86:86,G25,87:87)-SUMIF(86:86,C25,87:87)+100</f>
        <v>100</v>
      </c>
      <c r="I25" s="2946"/>
      <c r="J25" s="3839">
        <f>SUMIF(86:86,I25,87:87)-SUMIF(86:86,C25,87:87)+100</f>
        <v>100</v>
      </c>
      <c r="K25" s="2880"/>
      <c r="L25" s="2013"/>
      <c r="M25" s="2008"/>
      <c r="N25" s="2008"/>
      <c r="O25" s="2008"/>
      <c r="P25" s="4597"/>
      <c r="Q25" s="1533" t="str">
        <f t="shared" ref="Q25:Q46" si="11">B25</f>
        <v>楼层-1</v>
      </c>
      <c r="R25" s="3849" t="s">
        <v>16</v>
      </c>
      <c r="S25" s="3263">
        <f t="shared" ref="S25:S46" si="12">F25</f>
        <v>100</v>
      </c>
      <c r="T25" s="3849" t="s">
        <v>16</v>
      </c>
      <c r="U25" s="3263">
        <f t="shared" ref="U25:U46" si="13">H25</f>
        <v>100</v>
      </c>
      <c r="V25" s="3849" t="s">
        <v>16</v>
      </c>
      <c r="W25" s="3263">
        <f t="shared" ref="W25:W46" si="14">J25</f>
        <v>100</v>
      </c>
      <c r="X25" s="935"/>
      <c r="Y25" s="4599"/>
      <c r="Z25" s="933" t="str">
        <f>Q25</f>
        <v>楼层-1</v>
      </c>
      <c r="AA25" s="933">
        <f t="shared" ref="AA25:AA46" si="15">D25/F25</f>
        <v>1</v>
      </c>
      <c r="AB25" s="933">
        <f t="shared" ref="AB25:AB46" si="16">D25/H25</f>
        <v>1</v>
      </c>
      <c r="AC25" s="933">
        <f t="shared" ref="AC25:AC46" si="17">D25/J25</f>
        <v>1</v>
      </c>
    </row>
    <row r="26" spans="1:29" ht="15">
      <c r="A26" s="254"/>
      <c r="B26" s="2866" t="s">
        <v>1605</v>
      </c>
      <c r="C26" s="2900"/>
      <c r="D26" s="2967">
        <v>100</v>
      </c>
      <c r="E26" s="2903"/>
      <c r="F26" s="3839">
        <f>SUMIF(88:88,E26,89:89)-SUMIF(88:88,C26,89:89)+100</f>
        <v>100</v>
      </c>
      <c r="G26" s="2946"/>
      <c r="H26" s="3839">
        <f>SUMIF(88:88,G26,89:89)-SUMIF(88:88,C26,89:89)+100</f>
        <v>100</v>
      </c>
      <c r="I26" s="2946"/>
      <c r="J26" s="3839">
        <f>SUMIF(88:88,I26,89:89)-SUMIF(88:88,C26,89:89)+100</f>
        <v>100</v>
      </c>
      <c r="K26" s="2880"/>
      <c r="L26" s="2013"/>
      <c r="M26" s="2008"/>
      <c r="N26" s="2008"/>
      <c r="O26" s="2008"/>
      <c r="P26" s="4597"/>
      <c r="Q26" s="1533" t="str">
        <f t="shared" si="11"/>
        <v>朝向</v>
      </c>
      <c r="R26" s="3849" t="s">
        <v>16</v>
      </c>
      <c r="S26" s="3263">
        <f t="shared" si="12"/>
        <v>100</v>
      </c>
      <c r="T26" s="3849" t="s">
        <v>16</v>
      </c>
      <c r="U26" s="3263">
        <f t="shared" si="13"/>
        <v>100</v>
      </c>
      <c r="V26" s="3849" t="s">
        <v>16</v>
      </c>
      <c r="W26" s="3263">
        <f t="shared" si="14"/>
        <v>100</v>
      </c>
      <c r="X26" s="935"/>
      <c r="Y26" s="4599"/>
      <c r="Z26" s="933" t="str">
        <f>Q26</f>
        <v>朝向</v>
      </c>
      <c r="AA26" s="933">
        <f t="shared" si="15"/>
        <v>1</v>
      </c>
      <c r="AB26" s="933">
        <f t="shared" si="16"/>
        <v>1</v>
      </c>
      <c r="AC26" s="933">
        <f t="shared" si="17"/>
        <v>1</v>
      </c>
    </row>
    <row r="27" spans="1:29" s="46" customFormat="1" ht="15">
      <c r="A27" s="257"/>
      <c r="B27" s="2877">
        <v>111</v>
      </c>
      <c r="C27" s="2893"/>
      <c r="D27" s="2973">
        <v>100</v>
      </c>
      <c r="E27" s="2943"/>
      <c r="F27" s="3840">
        <f>SUMIF(90:90,E27,91:91)-SUMIF(90:90,C27,91:91)+100</f>
        <v>100</v>
      </c>
      <c r="G27" s="2949"/>
      <c r="H27" s="3840">
        <f>SUMIF(90:90,G27,91:91)-SUMIF(90:90,C27,91:91)+100</f>
        <v>100</v>
      </c>
      <c r="I27" s="2949"/>
      <c r="J27" s="3840">
        <f>SUMIF(90:90,I27,91:91)-SUMIF(90:90,C27,91:91)+100</f>
        <v>100</v>
      </c>
      <c r="K27" s="2881"/>
      <c r="L27" s="2009"/>
      <c r="M27" s="1962"/>
      <c r="N27" s="1962"/>
      <c r="O27" s="1962"/>
      <c r="P27" s="4597"/>
      <c r="Q27" s="1731">
        <f t="shared" si="11"/>
        <v>111</v>
      </c>
      <c r="R27" s="3748" t="s">
        <v>16</v>
      </c>
      <c r="S27" s="3262">
        <f t="shared" si="12"/>
        <v>100</v>
      </c>
      <c r="T27" s="3748" t="s">
        <v>16</v>
      </c>
      <c r="U27" s="3262">
        <f t="shared" si="13"/>
        <v>100</v>
      </c>
      <c r="V27" s="3748" t="s">
        <v>16</v>
      </c>
      <c r="W27" s="3262">
        <f t="shared" si="14"/>
        <v>100</v>
      </c>
      <c r="X27" s="482"/>
      <c r="Y27" s="4599"/>
      <c r="Z27" s="28">
        <f>Q27</f>
        <v>111</v>
      </c>
      <c r="AA27" s="933">
        <f t="shared" si="15"/>
        <v>1</v>
      </c>
      <c r="AB27" s="933">
        <f t="shared" si="16"/>
        <v>1</v>
      </c>
      <c r="AC27" s="933">
        <f t="shared" si="17"/>
        <v>1</v>
      </c>
    </row>
    <row r="28" spans="1:29" ht="15">
      <c r="A28" s="254"/>
      <c r="B28" s="2877">
        <v>111</v>
      </c>
      <c r="C28" s="2894"/>
      <c r="D28" s="2967">
        <v>100</v>
      </c>
      <c r="E28" s="2894"/>
      <c r="F28" s="3839">
        <f>SUMIF(92:92,E28,93:93)-SUMIF(92:92,C28,93:93)+100</f>
        <v>100</v>
      </c>
      <c r="G28" s="2950"/>
      <c r="H28" s="3839">
        <f>SUMIF(92:92,G28,93:93)-SUMIF(92:92,C28,93:93)+100</f>
        <v>100</v>
      </c>
      <c r="I28" s="2894"/>
      <c r="J28" s="3839">
        <f>SUMIF(92:92,I28,93:93)-SUMIF(92:92,C28,93:93)+100</f>
        <v>100</v>
      </c>
      <c r="K28" s="2881"/>
      <c r="L28" s="2013"/>
      <c r="M28" s="2008"/>
      <c r="N28" s="2008"/>
      <c r="O28" s="2008"/>
      <c r="P28" s="4597"/>
      <c r="Q28" s="1533">
        <f t="shared" si="11"/>
        <v>111</v>
      </c>
      <c r="R28" s="3849" t="s">
        <v>16</v>
      </c>
      <c r="S28" s="3263">
        <f t="shared" si="12"/>
        <v>100</v>
      </c>
      <c r="T28" s="3849" t="s">
        <v>16</v>
      </c>
      <c r="U28" s="3263">
        <f t="shared" si="13"/>
        <v>100</v>
      </c>
      <c r="V28" s="3849" t="s">
        <v>16</v>
      </c>
      <c r="W28" s="3263">
        <f t="shared" si="14"/>
        <v>100</v>
      </c>
      <c r="X28" s="935"/>
      <c r="Y28" s="4599"/>
      <c r="Z28" s="933">
        <f t="shared" ref="Z28:Z46" si="18">Q28</f>
        <v>111</v>
      </c>
      <c r="AA28" s="933">
        <f t="shared" si="15"/>
        <v>1</v>
      </c>
      <c r="AB28" s="933">
        <f t="shared" si="16"/>
        <v>1</v>
      </c>
      <c r="AC28" s="933">
        <f t="shared" si="17"/>
        <v>1</v>
      </c>
    </row>
    <row r="29" spans="1:29" ht="15">
      <c r="A29" s="254"/>
      <c r="B29" s="2877">
        <v>111</v>
      </c>
      <c r="C29" s="2894"/>
      <c r="D29" s="2967">
        <v>100</v>
      </c>
      <c r="E29" s="2894"/>
      <c r="F29" s="3839">
        <f>SUMIF(94:94,E29,95:95)-SUMIF(94:94,C29,95:95)+100</f>
        <v>100</v>
      </c>
      <c r="G29" s="2950"/>
      <c r="H29" s="3839">
        <f>SUMIF(94:94,G29,95:95)-SUMIF(94:94,C29,95:95)+100</f>
        <v>100</v>
      </c>
      <c r="I29" s="2894"/>
      <c r="J29" s="3839">
        <f>SUMIF(94:94,I29,95:95)-SUMIF(94:94,C29,95:95)+100</f>
        <v>100</v>
      </c>
      <c r="K29" s="2881"/>
      <c r="L29" s="2013"/>
      <c r="M29" s="2008"/>
      <c r="N29" s="2008"/>
      <c r="O29" s="2008"/>
      <c r="P29" s="4597"/>
      <c r="Q29" s="1533">
        <f t="shared" si="11"/>
        <v>111</v>
      </c>
      <c r="R29" s="3849" t="s">
        <v>16</v>
      </c>
      <c r="S29" s="3263">
        <f t="shared" si="12"/>
        <v>100</v>
      </c>
      <c r="T29" s="3849" t="s">
        <v>16</v>
      </c>
      <c r="U29" s="3263">
        <f t="shared" si="13"/>
        <v>100</v>
      </c>
      <c r="V29" s="3849" t="s">
        <v>16</v>
      </c>
      <c r="W29" s="3263">
        <f t="shared" si="14"/>
        <v>100</v>
      </c>
      <c r="X29" s="935"/>
      <c r="Y29" s="4599"/>
      <c r="Z29" s="933">
        <f t="shared" si="18"/>
        <v>111</v>
      </c>
      <c r="AA29" s="933">
        <f t="shared" si="15"/>
        <v>1</v>
      </c>
      <c r="AB29" s="933">
        <f t="shared" si="16"/>
        <v>1</v>
      </c>
      <c r="AC29" s="933">
        <f t="shared" si="17"/>
        <v>1</v>
      </c>
    </row>
    <row r="30" spans="1:29" ht="15">
      <c r="A30" s="254"/>
      <c r="B30" s="2877">
        <v>111</v>
      </c>
      <c r="C30" s="2894"/>
      <c r="D30" s="2967">
        <v>100</v>
      </c>
      <c r="E30" s="2894"/>
      <c r="F30" s="3839">
        <f>SUMIF(96:96,E30,97:97)-SUMIF(96:96,C30,97:97)+100</f>
        <v>100</v>
      </c>
      <c r="G30" s="2950"/>
      <c r="H30" s="3839">
        <f>SUMIF(96:96,G30,97:97)-SUMIF(96:96,C30,97:97)+100</f>
        <v>100</v>
      </c>
      <c r="I30" s="2894"/>
      <c r="J30" s="3839">
        <f>SUMIF(96:96,I30,97:97)-SUMIF(96:96,C30,97:97)+100</f>
        <v>100</v>
      </c>
      <c r="K30" s="2881"/>
      <c r="L30" s="2013"/>
      <c r="M30" s="2008"/>
      <c r="N30" s="2008"/>
      <c r="O30" s="2008"/>
      <c r="P30" s="4597"/>
      <c r="Q30" s="1533">
        <f t="shared" si="11"/>
        <v>111</v>
      </c>
      <c r="R30" s="3849" t="s">
        <v>16</v>
      </c>
      <c r="S30" s="3263">
        <f t="shared" si="12"/>
        <v>100</v>
      </c>
      <c r="T30" s="3849" t="s">
        <v>16</v>
      </c>
      <c r="U30" s="3263">
        <f t="shared" si="13"/>
        <v>100</v>
      </c>
      <c r="V30" s="3849" t="s">
        <v>16</v>
      </c>
      <c r="W30" s="3263">
        <f t="shared" si="14"/>
        <v>100</v>
      </c>
      <c r="X30" s="935"/>
      <c r="Y30" s="4599"/>
      <c r="Z30" s="933">
        <f t="shared" si="18"/>
        <v>111</v>
      </c>
      <c r="AA30" s="933">
        <f t="shared" si="15"/>
        <v>1</v>
      </c>
      <c r="AB30" s="933">
        <f t="shared" si="16"/>
        <v>1</v>
      </c>
      <c r="AC30" s="933">
        <f t="shared" si="17"/>
        <v>1</v>
      </c>
    </row>
    <row r="31" spans="1:29" ht="15.75" thickBot="1">
      <c r="A31" s="260"/>
      <c r="B31" s="2877">
        <v>111</v>
      </c>
      <c r="C31" s="2895"/>
      <c r="D31" s="2968">
        <v>100</v>
      </c>
      <c r="E31" s="2895"/>
      <c r="F31" s="3841">
        <f>SUMIF(98:98,E31,99:99)-SUMIF(98:98,C31,99:99)+100</f>
        <v>100</v>
      </c>
      <c r="G31" s="2951"/>
      <c r="H31" s="3841">
        <f>SUMIF(98:98,G31,99:99)-SUMIF(98:98,C31,99:99)+100</f>
        <v>100</v>
      </c>
      <c r="I31" s="2895"/>
      <c r="J31" s="3841">
        <f>SUMIF(98:98,I31,99:99)-SUMIF(98:98,C31,99:99)+100</f>
        <v>100</v>
      </c>
      <c r="K31" s="2881"/>
      <c r="L31" s="2013"/>
      <c r="M31" s="2008"/>
      <c r="N31" s="2008"/>
      <c r="O31" s="2008"/>
      <c r="P31" s="4597"/>
      <c r="Q31" s="1533">
        <f t="shared" si="11"/>
        <v>111</v>
      </c>
      <c r="R31" s="3849" t="s">
        <v>16</v>
      </c>
      <c r="S31" s="3263">
        <f t="shared" si="12"/>
        <v>100</v>
      </c>
      <c r="T31" s="3849" t="s">
        <v>16</v>
      </c>
      <c r="U31" s="3263">
        <f t="shared" si="13"/>
        <v>100</v>
      </c>
      <c r="V31" s="3849" t="s">
        <v>16</v>
      </c>
      <c r="W31" s="3263">
        <f t="shared" si="14"/>
        <v>100</v>
      </c>
      <c r="X31" s="935"/>
      <c r="Y31" s="4599"/>
      <c r="Z31" s="933">
        <f t="shared" si="18"/>
        <v>111</v>
      </c>
      <c r="AA31" s="933">
        <f t="shared" si="15"/>
        <v>1</v>
      </c>
      <c r="AB31" s="933">
        <f t="shared" si="16"/>
        <v>1</v>
      </c>
      <c r="AC31" s="933">
        <f t="shared" si="17"/>
        <v>1</v>
      </c>
    </row>
    <row r="32" spans="1:29" ht="15">
      <c r="A32" s="262" t="s">
        <v>1606</v>
      </c>
      <c r="B32" s="2869" t="s">
        <v>1607</v>
      </c>
      <c r="C32" s="2901"/>
      <c r="D32" s="2974">
        <v>100</v>
      </c>
      <c r="E32" s="2944"/>
      <c r="F32" s="3842">
        <f>SUMIF(100:100,E32,101:101)-SUMIF(100:100,C32,101:101)+100</f>
        <v>100</v>
      </c>
      <c r="G32" s="2901"/>
      <c r="H32" s="3846">
        <f>SUMIF(100:100,G32,101:101)-SUMIF(100:100,C32,101:101)+100</f>
        <v>100</v>
      </c>
      <c r="I32" s="2944"/>
      <c r="J32" s="3839">
        <f>SUMIF(100:100,I32,101:101)-SUMIF(100:100,C32,101:101)+100</f>
        <v>100</v>
      </c>
      <c r="K32" s="2880"/>
      <c r="L32" s="2013"/>
      <c r="M32" s="2008"/>
      <c r="N32" s="2008"/>
      <c r="O32" s="2008"/>
      <c r="P32" s="4600" t="s">
        <v>1608</v>
      </c>
      <c r="Q32" s="1533" t="str">
        <f t="shared" si="11"/>
        <v>建筑类型</v>
      </c>
      <c r="R32" s="3849" t="s">
        <v>16</v>
      </c>
      <c r="S32" s="3263">
        <f t="shared" si="12"/>
        <v>100</v>
      </c>
      <c r="T32" s="3849" t="s">
        <v>16</v>
      </c>
      <c r="U32" s="3263">
        <f t="shared" si="13"/>
        <v>100</v>
      </c>
      <c r="V32" s="3849" t="s">
        <v>16</v>
      </c>
      <c r="W32" s="3263">
        <f t="shared" si="14"/>
        <v>100</v>
      </c>
      <c r="X32" s="935"/>
      <c r="Y32" s="4603" t="s">
        <v>1608</v>
      </c>
      <c r="Z32" s="933" t="str">
        <f t="shared" si="18"/>
        <v>建筑类型</v>
      </c>
      <c r="AA32" s="933">
        <f t="shared" si="15"/>
        <v>1</v>
      </c>
      <c r="AB32" s="933">
        <f t="shared" si="16"/>
        <v>1</v>
      </c>
      <c r="AC32" s="933">
        <f t="shared" si="17"/>
        <v>1</v>
      </c>
    </row>
    <row r="33" spans="1:29" s="279" customFormat="1" ht="15">
      <c r="A33" s="277"/>
      <c r="B33" s="2866" t="s">
        <v>1609</v>
      </c>
      <c r="C33" s="2959"/>
      <c r="D33" s="2965">
        <v>100</v>
      </c>
      <c r="E33" s="2919"/>
      <c r="F33" s="3833" t="e">
        <f>LOOKUP(E33,103:103,104:104)-LOOKUP(C33,103:103,104:104)+100</f>
        <v>#N/A</v>
      </c>
      <c r="G33" s="2891"/>
      <c r="H33" s="3845" t="e">
        <f>LOOKUP(G33,103:103,104:104)-LOOKUP(C33,103:103,104:104)+100</f>
        <v>#N/A</v>
      </c>
      <c r="I33" s="2919"/>
      <c r="J33" s="3845" t="e">
        <f>LOOKUP(I33,103:103,104:104)-LOOKUP(C33,103:103,104:104)+100</f>
        <v>#N/A</v>
      </c>
      <c r="K33" s="2881"/>
      <c r="L33" s="2012"/>
      <c r="M33" s="2014"/>
      <c r="N33" s="2014"/>
      <c r="O33" s="2014"/>
      <c r="P33" s="4601"/>
      <c r="Q33" s="2941" t="str">
        <f t="shared" si="11"/>
        <v>项目建筑规模</v>
      </c>
      <c r="R33" s="3850" t="s">
        <v>16</v>
      </c>
      <c r="S33" s="3264" t="e">
        <f t="shared" si="12"/>
        <v>#N/A</v>
      </c>
      <c r="T33" s="3850" t="s">
        <v>16</v>
      </c>
      <c r="U33" s="3264" t="e">
        <f t="shared" si="13"/>
        <v>#N/A</v>
      </c>
      <c r="V33" s="3850" t="s">
        <v>16</v>
      </c>
      <c r="W33" s="3264" t="e">
        <f t="shared" si="14"/>
        <v>#N/A</v>
      </c>
      <c r="X33" s="484"/>
      <c r="Y33" s="4603"/>
      <c r="Z33" s="485" t="str">
        <f t="shared" si="18"/>
        <v>项目建筑规模</v>
      </c>
      <c r="AA33" s="933" t="e">
        <f t="shared" si="15"/>
        <v>#N/A</v>
      </c>
      <c r="AB33" s="933" t="e">
        <f t="shared" si="16"/>
        <v>#N/A</v>
      </c>
      <c r="AC33" s="933" t="e">
        <f t="shared" si="17"/>
        <v>#N/A</v>
      </c>
    </row>
    <row r="34" spans="1:29" ht="15">
      <c r="A34" s="280"/>
      <c r="B34" s="2866" t="s">
        <v>1610</v>
      </c>
      <c r="C34" s="2900"/>
      <c r="D34" s="2967">
        <v>100</v>
      </c>
      <c r="E34" s="2945"/>
      <c r="F34" s="3842">
        <f>SUMIF(105:105,E34,106:106)-SUMIF(105:105,C34,106:106)+100</f>
        <v>100</v>
      </c>
      <c r="G34" s="2900"/>
      <c r="H34" s="3839">
        <f>SUMIF(105:105,G34,106:106)-SUMIF(105:105,C34,106:106)+100</f>
        <v>100</v>
      </c>
      <c r="I34" s="2945"/>
      <c r="J34" s="3839">
        <f>SUMIF(105:105,I34,106:106)-SUMIF(105:105,C34,106:106)+100</f>
        <v>100</v>
      </c>
      <c r="K34" s="2880"/>
      <c r="L34" s="2013"/>
      <c r="M34" s="2008"/>
      <c r="N34" s="2008"/>
      <c r="O34" s="2008"/>
      <c r="P34" s="4601"/>
      <c r="Q34" s="1533" t="str">
        <f t="shared" si="11"/>
        <v>建筑结构</v>
      </c>
      <c r="R34" s="3849" t="s">
        <v>16</v>
      </c>
      <c r="S34" s="3263">
        <f t="shared" si="12"/>
        <v>100</v>
      </c>
      <c r="T34" s="3849" t="s">
        <v>16</v>
      </c>
      <c r="U34" s="3263">
        <f t="shared" si="13"/>
        <v>100</v>
      </c>
      <c r="V34" s="3849" t="s">
        <v>16</v>
      </c>
      <c r="W34" s="3263">
        <f t="shared" si="14"/>
        <v>100</v>
      </c>
      <c r="X34" s="935"/>
      <c r="Y34" s="4603"/>
      <c r="Z34" s="933" t="str">
        <f t="shared" si="18"/>
        <v>建筑结构</v>
      </c>
      <c r="AA34" s="933">
        <f t="shared" si="15"/>
        <v>1</v>
      </c>
      <c r="AB34" s="933">
        <f t="shared" si="16"/>
        <v>1</v>
      </c>
      <c r="AC34" s="933">
        <f t="shared" si="17"/>
        <v>1</v>
      </c>
    </row>
    <row r="35" spans="1:29" ht="15">
      <c r="A35" s="280"/>
      <c r="B35" s="2866" t="s">
        <v>1611</v>
      </c>
      <c r="C35" s="2903"/>
      <c r="D35" s="2967">
        <v>100</v>
      </c>
      <c r="E35" s="2946"/>
      <c r="F35" s="3842">
        <f>SUMIF(107:107,E35,108:108)-SUMIF(107:107,C35,108:108)+100</f>
        <v>100</v>
      </c>
      <c r="G35" s="2903"/>
      <c r="H35" s="3839">
        <f>SUMIF(107:107,G35,108:108)-SUMIF(107:107,C35,108:108)+100</f>
        <v>100</v>
      </c>
      <c r="I35" s="2946"/>
      <c r="J35" s="3839">
        <f>SUMIF(107:107,I35,108:108)-SUMIF(107:107,C35,108:108)+100</f>
        <v>100</v>
      </c>
      <c r="K35" s="2880"/>
      <c r="L35" s="2013"/>
      <c r="M35" s="2008"/>
      <c r="N35" s="2008"/>
      <c r="O35" s="2008"/>
      <c r="P35" s="4601"/>
      <c r="Q35" s="1533" t="str">
        <f t="shared" si="11"/>
        <v>建筑品质</v>
      </c>
      <c r="R35" s="3849" t="s">
        <v>16</v>
      </c>
      <c r="S35" s="3263">
        <f t="shared" si="12"/>
        <v>100</v>
      </c>
      <c r="T35" s="3849" t="s">
        <v>16</v>
      </c>
      <c r="U35" s="3263">
        <f t="shared" si="13"/>
        <v>100</v>
      </c>
      <c r="V35" s="3849" t="s">
        <v>16</v>
      </c>
      <c r="W35" s="3263">
        <f t="shared" si="14"/>
        <v>100</v>
      </c>
      <c r="X35" s="935"/>
      <c r="Y35" s="4603"/>
      <c r="Z35" s="933" t="str">
        <f t="shared" si="18"/>
        <v>建筑品质</v>
      </c>
      <c r="AA35" s="933">
        <f t="shared" si="15"/>
        <v>1</v>
      </c>
      <c r="AB35" s="933">
        <f t="shared" si="16"/>
        <v>1</v>
      </c>
      <c r="AC35" s="933">
        <f t="shared" si="17"/>
        <v>1</v>
      </c>
    </row>
    <row r="36" spans="1:29" ht="15">
      <c r="A36" s="280"/>
      <c r="B36" s="2866" t="s">
        <v>1612</v>
      </c>
      <c r="C36" s="2903"/>
      <c r="D36" s="2967">
        <v>100</v>
      </c>
      <c r="E36" s="2946"/>
      <c r="F36" s="3842">
        <f>SUMIF(109:109,E36,110:110)-SUMIF(109:109,C36,110:110)+100</f>
        <v>100</v>
      </c>
      <c r="G36" s="2903"/>
      <c r="H36" s="3839">
        <f>SUMIF(109:109,G36,110:110)-SUMIF(109:109,C36,110:110)+100</f>
        <v>100</v>
      </c>
      <c r="I36" s="2946"/>
      <c r="J36" s="3839">
        <f>SUMIF(109:109,I36,110:110)-SUMIF(109:109,C36,110:110)+100</f>
        <v>100</v>
      </c>
      <c r="K36" s="2880"/>
      <c r="L36" s="2013"/>
      <c r="M36" s="2008"/>
      <c r="N36" s="2008"/>
      <c r="O36" s="2008"/>
      <c r="P36" s="4601"/>
      <c r="Q36" s="1533" t="str">
        <f t="shared" si="11"/>
        <v>公共部分装修</v>
      </c>
      <c r="R36" s="3849" t="s">
        <v>16</v>
      </c>
      <c r="S36" s="3263">
        <f t="shared" si="12"/>
        <v>100</v>
      </c>
      <c r="T36" s="3849" t="s">
        <v>16</v>
      </c>
      <c r="U36" s="3263">
        <f t="shared" si="13"/>
        <v>100</v>
      </c>
      <c r="V36" s="3849" t="s">
        <v>16</v>
      </c>
      <c r="W36" s="3263">
        <f t="shared" si="14"/>
        <v>100</v>
      </c>
      <c r="X36" s="935"/>
      <c r="Y36" s="4603"/>
      <c r="Z36" s="933" t="str">
        <f t="shared" si="18"/>
        <v>公共部分装修</v>
      </c>
      <c r="AA36" s="933">
        <f t="shared" si="15"/>
        <v>1</v>
      </c>
      <c r="AB36" s="933">
        <f t="shared" si="16"/>
        <v>1</v>
      </c>
      <c r="AC36" s="933">
        <f t="shared" si="17"/>
        <v>1</v>
      </c>
    </row>
    <row r="37" spans="1:29" s="46" customFormat="1" ht="15">
      <c r="A37" s="281"/>
      <c r="B37" s="2866" t="s">
        <v>1613</v>
      </c>
      <c r="C37" s="2904"/>
      <c r="D37" s="2965">
        <v>100</v>
      </c>
      <c r="E37" s="2904"/>
      <c r="F37" s="3833" t="e">
        <f>LOOKUP(E37,112:112,113:113)-LOOKUP(C37,112:112,113:113)+100</f>
        <v>#N/A</v>
      </c>
      <c r="G37" s="2952"/>
      <c r="H37" s="3845" t="e">
        <f>LOOKUP(G37,112:112,113:113)-LOOKUP(C37,112:112,113:113)+100</f>
        <v>#N/A</v>
      </c>
      <c r="I37" s="2953"/>
      <c r="J37" s="3845" t="e">
        <f>LOOKUP(I37,112:112,113:113)-LOOKUP(C37,112:112,113:113)+100</f>
        <v>#N/A</v>
      </c>
      <c r="K37" s="2880"/>
      <c r="L37" s="2009"/>
      <c r="M37" s="1962"/>
      <c r="N37" s="1962"/>
      <c r="O37" s="1962"/>
      <c r="P37" s="4601"/>
      <c r="Q37" s="1731" t="str">
        <f t="shared" si="11"/>
        <v>成新度</v>
      </c>
      <c r="R37" s="3748" t="s">
        <v>16</v>
      </c>
      <c r="S37" s="3262" t="e">
        <f t="shared" si="12"/>
        <v>#N/A</v>
      </c>
      <c r="T37" s="3748" t="s">
        <v>16</v>
      </c>
      <c r="U37" s="3262" t="e">
        <f t="shared" si="13"/>
        <v>#N/A</v>
      </c>
      <c r="V37" s="3748" t="s">
        <v>16</v>
      </c>
      <c r="W37" s="3262" t="e">
        <f t="shared" si="14"/>
        <v>#N/A</v>
      </c>
      <c r="X37" s="482"/>
      <c r="Y37" s="4603"/>
      <c r="Z37" s="28" t="str">
        <f t="shared" si="18"/>
        <v>成新度</v>
      </c>
      <c r="AA37" s="28" t="e">
        <f t="shared" si="15"/>
        <v>#N/A</v>
      </c>
      <c r="AB37" s="28" t="e">
        <f t="shared" si="16"/>
        <v>#N/A</v>
      </c>
      <c r="AC37" s="28" t="e">
        <f t="shared" si="17"/>
        <v>#N/A</v>
      </c>
    </row>
    <row r="38" spans="1:29" ht="15">
      <c r="A38" s="280"/>
      <c r="B38" s="2866" t="s">
        <v>1614</v>
      </c>
      <c r="C38" s="2903"/>
      <c r="D38" s="2967">
        <v>100</v>
      </c>
      <c r="E38" s="2946"/>
      <c r="F38" s="3842">
        <f>SUMIF(114:114,E38,115:115)-SUMIF(114:114,C38,115:115)+100</f>
        <v>100</v>
      </c>
      <c r="G38" s="2903"/>
      <c r="H38" s="3839">
        <f>SUMIF(114:114,G38,115:115)-SUMIF(114:114,C38,115:115)+100</f>
        <v>100</v>
      </c>
      <c r="I38" s="2946"/>
      <c r="J38" s="3839">
        <f>SUMIF(114:114,I38,115:115)-SUMIF(114:114,C38,115:115)+100</f>
        <v>100</v>
      </c>
      <c r="K38" s="2880"/>
      <c r="L38" s="2013"/>
      <c r="M38" s="2008"/>
      <c r="N38" s="2008"/>
      <c r="O38" s="2008"/>
      <c r="P38" s="4601" t="s">
        <v>1608</v>
      </c>
      <c r="Q38" s="1533" t="str">
        <f t="shared" si="11"/>
        <v>物业管理</v>
      </c>
      <c r="R38" s="3849" t="s">
        <v>16</v>
      </c>
      <c r="S38" s="3263">
        <f t="shared" si="12"/>
        <v>100</v>
      </c>
      <c r="T38" s="3849" t="s">
        <v>16</v>
      </c>
      <c r="U38" s="3263">
        <f t="shared" si="13"/>
        <v>100</v>
      </c>
      <c r="V38" s="3849" t="s">
        <v>16</v>
      </c>
      <c r="W38" s="3263">
        <f t="shared" si="14"/>
        <v>100</v>
      </c>
      <c r="X38" s="935"/>
      <c r="Y38" s="4603" t="s">
        <v>1608</v>
      </c>
      <c r="Z38" s="933" t="str">
        <f t="shared" si="18"/>
        <v>物业管理</v>
      </c>
      <c r="AA38" s="933">
        <f t="shared" si="15"/>
        <v>1</v>
      </c>
      <c r="AB38" s="933">
        <f t="shared" si="16"/>
        <v>1</v>
      </c>
      <c r="AC38" s="933">
        <f t="shared" si="17"/>
        <v>1</v>
      </c>
    </row>
    <row r="39" spans="1:29" ht="15">
      <c r="A39" s="280"/>
      <c r="B39" s="2866" t="s">
        <v>1615</v>
      </c>
      <c r="C39" s="2903"/>
      <c r="D39" s="2967">
        <v>100</v>
      </c>
      <c r="E39" s="2946"/>
      <c r="F39" s="3842">
        <f>SUMIF(116:116,E39,117:117)-SUMIF(116:116,C39,117:117)+100</f>
        <v>100</v>
      </c>
      <c r="G39" s="2903"/>
      <c r="H39" s="3839">
        <f>SUMIF(116:116,G39,117:117)-SUMIF(116:116,C39,117:117)+100</f>
        <v>100</v>
      </c>
      <c r="I39" s="2946"/>
      <c r="J39" s="3839">
        <f>SUMIF(116:116,I39,117:117)-SUMIF(116:116,C39,117:117)+100</f>
        <v>100</v>
      </c>
      <c r="K39" s="2880"/>
      <c r="L39" s="2013"/>
      <c r="M39" s="2008"/>
      <c r="N39" s="2008"/>
      <c r="O39" s="2008"/>
      <c r="P39" s="4601"/>
      <c r="Q39" s="1533" t="str">
        <f t="shared" si="11"/>
        <v>市政基础设施</v>
      </c>
      <c r="R39" s="3849" t="s">
        <v>16</v>
      </c>
      <c r="S39" s="3263">
        <f t="shared" si="12"/>
        <v>100</v>
      </c>
      <c r="T39" s="3849" t="s">
        <v>16</v>
      </c>
      <c r="U39" s="3263">
        <f t="shared" si="13"/>
        <v>100</v>
      </c>
      <c r="V39" s="3849" t="s">
        <v>16</v>
      </c>
      <c r="W39" s="3263">
        <f t="shared" si="14"/>
        <v>100</v>
      </c>
      <c r="X39" s="935"/>
      <c r="Y39" s="4603"/>
      <c r="Z39" s="933" t="str">
        <f t="shared" si="18"/>
        <v>市政基础设施</v>
      </c>
      <c r="AA39" s="933">
        <f t="shared" si="15"/>
        <v>1</v>
      </c>
      <c r="AB39" s="933">
        <f t="shared" si="16"/>
        <v>1</v>
      </c>
      <c r="AC39" s="933">
        <f t="shared" si="17"/>
        <v>1</v>
      </c>
    </row>
    <row r="40" spans="1:29" ht="15">
      <c r="A40" s="280"/>
      <c r="B40" s="2866" t="s">
        <v>1616</v>
      </c>
      <c r="C40" s="2903"/>
      <c r="D40" s="2967">
        <v>100</v>
      </c>
      <c r="E40" s="2946"/>
      <c r="F40" s="3842">
        <f>SUMIF(118:118,E40,119:119)-SUMIF(118:118,C40,119:119)+100</f>
        <v>100</v>
      </c>
      <c r="G40" s="2903"/>
      <c r="H40" s="3839">
        <f>SUMIF(118:118,G40,119:119)-SUMIF(118:118,C40,119:119)+100</f>
        <v>100</v>
      </c>
      <c r="I40" s="2946"/>
      <c r="J40" s="3839">
        <f>SUMIF(118:118,I40,119:119)-SUMIF(118:118,C40,119:119)+100</f>
        <v>100</v>
      </c>
      <c r="K40" s="2880"/>
      <c r="L40" s="2013"/>
      <c r="M40" s="2008"/>
      <c r="N40" s="2008"/>
      <c r="O40" s="2008"/>
      <c r="P40" s="4601"/>
      <c r="Q40" s="1533" t="str">
        <f t="shared" si="11"/>
        <v>房型</v>
      </c>
      <c r="R40" s="3849" t="s">
        <v>16</v>
      </c>
      <c r="S40" s="3263">
        <f t="shared" si="12"/>
        <v>100</v>
      </c>
      <c r="T40" s="3849" t="s">
        <v>16</v>
      </c>
      <c r="U40" s="3263">
        <f t="shared" si="13"/>
        <v>100</v>
      </c>
      <c r="V40" s="3849" t="s">
        <v>16</v>
      </c>
      <c r="W40" s="3263">
        <f t="shared" si="14"/>
        <v>100</v>
      </c>
      <c r="X40" s="935"/>
      <c r="Y40" s="4603"/>
      <c r="Z40" s="933" t="str">
        <f t="shared" si="18"/>
        <v>房型</v>
      </c>
      <c r="AA40" s="933">
        <f t="shared" si="15"/>
        <v>1</v>
      </c>
      <c r="AB40" s="933">
        <f t="shared" si="16"/>
        <v>1</v>
      </c>
      <c r="AC40" s="933">
        <f t="shared" si="17"/>
        <v>1</v>
      </c>
    </row>
    <row r="41" spans="1:29" s="279" customFormat="1" ht="28.5">
      <c r="A41" s="277"/>
      <c r="B41" s="2866" t="s">
        <v>1617</v>
      </c>
      <c r="C41" s="2959"/>
      <c r="D41" s="2965">
        <v>100</v>
      </c>
      <c r="E41" s="2919"/>
      <c r="F41" s="3833">
        <f>SUMIF(120:120,E41,121:121)-SUMIF(120:120,C41,121:121)+100</f>
        <v>100</v>
      </c>
      <c r="G41" s="2891"/>
      <c r="H41" s="3845">
        <f>SUMIF(120:120,G41,121:121)-SUMIF(120:120,C41,121:121)+100</f>
        <v>100</v>
      </c>
      <c r="I41" s="2960"/>
      <c r="J41" s="3839">
        <f>SUMIF(120:120,I41,121:121)-SUMIF(120:120,C41,121:121)+100</f>
        <v>100</v>
      </c>
      <c r="K41" s="2881"/>
      <c r="L41" s="2012"/>
      <c r="M41" s="2014"/>
      <c r="N41" s="2014"/>
      <c r="O41" s="2014"/>
      <c r="P41" s="4601"/>
      <c r="Q41" s="2941" t="str">
        <f t="shared" si="11"/>
        <v>单套/主力户型建筑面积</v>
      </c>
      <c r="R41" s="3850" t="s">
        <v>16</v>
      </c>
      <c r="S41" s="3264">
        <f t="shared" si="12"/>
        <v>100</v>
      </c>
      <c r="T41" s="3850" t="s">
        <v>16</v>
      </c>
      <c r="U41" s="3264">
        <f t="shared" si="13"/>
        <v>100</v>
      </c>
      <c r="V41" s="3850" t="s">
        <v>16</v>
      </c>
      <c r="W41" s="3264">
        <f t="shared" si="14"/>
        <v>100</v>
      </c>
      <c r="X41" s="484"/>
      <c r="Y41" s="4603"/>
      <c r="Z41" s="485" t="str">
        <f t="shared" si="18"/>
        <v>单套/主力户型建筑面积</v>
      </c>
      <c r="AA41" s="933">
        <f t="shared" si="15"/>
        <v>1</v>
      </c>
      <c r="AB41" s="933">
        <f t="shared" si="16"/>
        <v>1</v>
      </c>
      <c r="AC41" s="933">
        <f t="shared" si="17"/>
        <v>1</v>
      </c>
    </row>
    <row r="42" spans="1:29" ht="15">
      <c r="A42" s="280"/>
      <c r="B42" s="2866" t="s">
        <v>1618</v>
      </c>
      <c r="C42" s="2903"/>
      <c r="D42" s="2967">
        <v>100</v>
      </c>
      <c r="E42" s="2946"/>
      <c r="F42" s="3842">
        <f>SUMIF(122:122,E42,123:123)-SUMIF(122:122,C42,123:123)+100</f>
        <v>100</v>
      </c>
      <c r="G42" s="2903"/>
      <c r="H42" s="3839">
        <f>SUMIF(122:122,G42,123:123)-SUMIF(122:122,C42,123:123)+100</f>
        <v>100</v>
      </c>
      <c r="I42" s="2946"/>
      <c r="J42" s="3839">
        <f>SUMIF(122:122,I42,123:123)-SUMIF(122:122,C42,123:123)+100</f>
        <v>100</v>
      </c>
      <c r="K42" s="2880"/>
      <c r="L42" s="2013"/>
      <c r="M42" s="2008"/>
      <c r="N42" s="2008"/>
      <c r="O42" s="2008"/>
      <c r="P42" s="4601"/>
      <c r="Q42" s="1533" t="str">
        <f t="shared" si="11"/>
        <v>内部装修</v>
      </c>
      <c r="R42" s="3849" t="s">
        <v>16</v>
      </c>
      <c r="S42" s="3263">
        <f t="shared" si="12"/>
        <v>100</v>
      </c>
      <c r="T42" s="3849" t="s">
        <v>16</v>
      </c>
      <c r="U42" s="3263">
        <f t="shared" si="13"/>
        <v>100</v>
      </c>
      <c r="V42" s="3849" t="s">
        <v>16</v>
      </c>
      <c r="W42" s="3263">
        <f t="shared" si="14"/>
        <v>100</v>
      </c>
      <c r="X42" s="935"/>
      <c r="Y42" s="4603"/>
      <c r="Z42" s="933" t="str">
        <f t="shared" si="18"/>
        <v>内部装修</v>
      </c>
      <c r="AA42" s="933">
        <f t="shared" si="15"/>
        <v>1</v>
      </c>
      <c r="AB42" s="933">
        <f t="shared" si="16"/>
        <v>1</v>
      </c>
      <c r="AC42" s="933">
        <f t="shared" si="17"/>
        <v>1</v>
      </c>
    </row>
    <row r="43" spans="1:29" ht="15">
      <c r="A43" s="280"/>
      <c r="B43" s="2866" t="s">
        <v>1619</v>
      </c>
      <c r="C43" s="2903"/>
      <c r="D43" s="2967">
        <v>100</v>
      </c>
      <c r="E43" s="2946"/>
      <c r="F43" s="3842">
        <f>SUMIF(124:124,E43,125:125)-SUMIF(124:124,C43,125:125)+100</f>
        <v>100</v>
      </c>
      <c r="G43" s="2903"/>
      <c r="H43" s="3839">
        <f>SUMIF(124:124,G43,125:125)-SUMIF(124:124,C43,125:125)+100</f>
        <v>100</v>
      </c>
      <c r="I43" s="2946"/>
      <c r="J43" s="3839">
        <f>SUMIF(124:124,I43,125:125)-SUMIF(124:124,C43,125:125)+100</f>
        <v>100</v>
      </c>
      <c r="K43" s="2880"/>
      <c r="L43" s="2013"/>
      <c r="M43" s="2008"/>
      <c r="N43" s="2008"/>
      <c r="O43" s="2008"/>
      <c r="P43" s="4601"/>
      <c r="Q43" s="1533" t="str">
        <f t="shared" si="11"/>
        <v>内部装修维护情况</v>
      </c>
      <c r="R43" s="3849" t="s">
        <v>16</v>
      </c>
      <c r="S43" s="3263">
        <f t="shared" si="12"/>
        <v>100</v>
      </c>
      <c r="T43" s="3849" t="s">
        <v>16</v>
      </c>
      <c r="U43" s="3263">
        <f t="shared" si="13"/>
        <v>100</v>
      </c>
      <c r="V43" s="3849" t="s">
        <v>16</v>
      </c>
      <c r="W43" s="3263">
        <f t="shared" si="14"/>
        <v>100</v>
      </c>
      <c r="X43" s="935"/>
      <c r="Y43" s="4603"/>
      <c r="Z43" s="933" t="str">
        <f t="shared" si="18"/>
        <v>内部装修维护情况</v>
      </c>
      <c r="AA43" s="933">
        <f t="shared" si="15"/>
        <v>1</v>
      </c>
      <c r="AB43" s="933">
        <f t="shared" si="16"/>
        <v>1</v>
      </c>
      <c r="AC43" s="933">
        <f t="shared" si="17"/>
        <v>1</v>
      </c>
    </row>
    <row r="44" spans="1:29" s="46" customFormat="1" ht="15">
      <c r="A44" s="281"/>
      <c r="B44" s="2877">
        <v>111</v>
      </c>
      <c r="C44" s="2902"/>
      <c r="D44" s="2965">
        <v>100</v>
      </c>
      <c r="E44" s="2902"/>
      <c r="F44" s="3833">
        <f>SUMIF(126:126,E44,127:127)-SUMIF(126:126,C44,127:127)+100</f>
        <v>100</v>
      </c>
      <c r="G44" s="2902"/>
      <c r="H44" s="3845">
        <f>SUMIF(126:126,G44,127:127)-SUMIF(126:126,C44,127:127)+100</f>
        <v>100</v>
      </c>
      <c r="I44" s="2902"/>
      <c r="J44" s="3845">
        <f>SUMIF(126:126,I44,127:127)-SUMIF(126:126,C44,127:127)+100</f>
        <v>100</v>
      </c>
      <c r="K44" s="2881"/>
      <c r="L44" s="2009"/>
      <c r="M44" s="1962"/>
      <c r="N44" s="1962"/>
      <c r="O44" s="1962"/>
      <c r="P44" s="4601"/>
      <c r="Q44" s="1731">
        <f t="shared" si="11"/>
        <v>111</v>
      </c>
      <c r="R44" s="3748" t="s">
        <v>16</v>
      </c>
      <c r="S44" s="3262">
        <f t="shared" si="12"/>
        <v>100</v>
      </c>
      <c r="T44" s="3748" t="s">
        <v>16</v>
      </c>
      <c r="U44" s="3262">
        <f t="shared" si="13"/>
        <v>100</v>
      </c>
      <c r="V44" s="3748" t="s">
        <v>16</v>
      </c>
      <c r="W44" s="3262">
        <f t="shared" si="14"/>
        <v>100</v>
      </c>
      <c r="X44" s="482"/>
      <c r="Y44" s="4603"/>
      <c r="Z44" s="28">
        <f t="shared" si="18"/>
        <v>111</v>
      </c>
      <c r="AA44" s="28">
        <f t="shared" si="15"/>
        <v>1</v>
      </c>
      <c r="AB44" s="28">
        <f t="shared" si="16"/>
        <v>1</v>
      </c>
      <c r="AC44" s="28">
        <f t="shared" si="17"/>
        <v>1</v>
      </c>
    </row>
    <row r="45" spans="1:29" ht="15">
      <c r="A45" s="280"/>
      <c r="B45" s="2877">
        <v>111</v>
      </c>
      <c r="C45" s="2894"/>
      <c r="D45" s="2967">
        <v>100</v>
      </c>
      <c r="E45" s="2894"/>
      <c r="F45" s="3842">
        <f>SUMIF(128:128,E45,129:129)-SUMIF(128:128,C45,129:129)+100</f>
        <v>100</v>
      </c>
      <c r="G45" s="2894"/>
      <c r="H45" s="3839">
        <f>SUMIF(128:128,G45,129:129)-SUMIF(128:128,C45,129:129)+100</f>
        <v>100</v>
      </c>
      <c r="I45" s="2894"/>
      <c r="J45" s="3839">
        <f>SUMIF(128:128,I45,129:129)-SUMIF(128:128,C45,129:129)+100</f>
        <v>100</v>
      </c>
      <c r="K45" s="2881"/>
      <c r="L45" s="2013"/>
      <c r="M45" s="2008"/>
      <c r="N45" s="2008"/>
      <c r="O45" s="2008"/>
      <c r="P45" s="4601"/>
      <c r="Q45" s="1533">
        <f t="shared" si="11"/>
        <v>111</v>
      </c>
      <c r="R45" s="3849" t="s">
        <v>16</v>
      </c>
      <c r="S45" s="3263">
        <f t="shared" si="12"/>
        <v>100</v>
      </c>
      <c r="T45" s="3849" t="s">
        <v>16</v>
      </c>
      <c r="U45" s="3263">
        <f t="shared" si="13"/>
        <v>100</v>
      </c>
      <c r="V45" s="3849" t="s">
        <v>16</v>
      </c>
      <c r="W45" s="3263">
        <f t="shared" si="14"/>
        <v>100</v>
      </c>
      <c r="X45" s="935"/>
      <c r="Y45" s="4603"/>
      <c r="Z45" s="933">
        <f t="shared" si="18"/>
        <v>111</v>
      </c>
      <c r="AA45" s="933">
        <f t="shared" si="15"/>
        <v>1</v>
      </c>
      <c r="AB45" s="933">
        <f t="shared" si="16"/>
        <v>1</v>
      </c>
      <c r="AC45" s="933">
        <f t="shared" si="17"/>
        <v>1</v>
      </c>
    </row>
    <row r="46" spans="1:29" ht="15.75" thickBot="1">
      <c r="A46" s="285"/>
      <c r="B46" s="2871">
        <v>111</v>
      </c>
      <c r="C46" s="2895"/>
      <c r="D46" s="2968">
        <v>100</v>
      </c>
      <c r="E46" s="2895"/>
      <c r="F46" s="3834">
        <f>SUMIF(130:130,E46,131:131)-SUMIF(130:130,C46,131:131)+100</f>
        <v>100</v>
      </c>
      <c r="G46" s="2895"/>
      <c r="H46" s="3841">
        <f>SUMIF(130:130,G46,131:131)-SUMIF(130:130,C46,131:131)+100</f>
        <v>100</v>
      </c>
      <c r="I46" s="2895"/>
      <c r="J46" s="3841">
        <f>SUMIF(130:130,I46,131:131)-SUMIF(130:130,C46,131:131)+100</f>
        <v>100</v>
      </c>
      <c r="K46" s="2881"/>
      <c r="L46" s="2013"/>
      <c r="M46" s="2008"/>
      <c r="N46" s="2008"/>
      <c r="O46" s="2008"/>
      <c r="P46" s="4602"/>
      <c r="Q46" s="1533">
        <f t="shared" si="11"/>
        <v>111</v>
      </c>
      <c r="R46" s="3849" t="s">
        <v>15</v>
      </c>
      <c r="S46" s="3263">
        <f t="shared" si="12"/>
        <v>100</v>
      </c>
      <c r="T46" s="3849" t="s">
        <v>15</v>
      </c>
      <c r="U46" s="3263">
        <f t="shared" si="13"/>
        <v>100</v>
      </c>
      <c r="V46" s="3849" t="s">
        <v>15</v>
      </c>
      <c r="W46" s="3263">
        <f t="shared" si="14"/>
        <v>100</v>
      </c>
      <c r="X46" s="935"/>
      <c r="Y46" s="4604"/>
      <c r="Z46" s="933">
        <f t="shared" si="18"/>
        <v>111</v>
      </c>
      <c r="AA46" s="933">
        <f t="shared" si="15"/>
        <v>1</v>
      </c>
      <c r="AB46" s="933">
        <f t="shared" si="16"/>
        <v>1</v>
      </c>
      <c r="AC46" s="933">
        <f t="shared" si="17"/>
        <v>1</v>
      </c>
    </row>
    <row r="47" spans="1:29" ht="15">
      <c r="A47" s="286" t="s">
        <v>1620</v>
      </c>
      <c r="B47" s="287"/>
      <c r="C47" s="787" t="s">
        <v>14</v>
      </c>
      <c r="D47" s="288"/>
      <c r="E47" s="3311"/>
      <c r="F47" s="788"/>
      <c r="G47" s="3312"/>
      <c r="H47" s="789"/>
      <c r="I47" s="3311"/>
      <c r="J47" s="789"/>
      <c r="K47" s="2885"/>
      <c r="L47" s="2015"/>
      <c r="M47" s="2008"/>
      <c r="N47" s="2008"/>
      <c r="O47" s="2008"/>
      <c r="P47" s="4605" t="str">
        <f>A47</f>
        <v>成交单价（元/平方米）</v>
      </c>
      <c r="Q47" s="4605"/>
      <c r="R47" s="4606">
        <f>E47</f>
        <v>0</v>
      </c>
      <c r="S47" s="4606"/>
      <c r="T47" s="4606">
        <f>G47</f>
        <v>0</v>
      </c>
      <c r="U47" s="4606"/>
      <c r="V47" s="4606">
        <f>I47</f>
        <v>0</v>
      </c>
      <c r="W47" s="4606"/>
      <c r="X47" s="265"/>
      <c r="Y47" s="486"/>
      <c r="Z47" s="265"/>
      <c r="AA47" s="265"/>
      <c r="AB47" s="265"/>
      <c r="AC47" s="265"/>
    </row>
    <row r="48" spans="1:29" ht="15.75" thickBot="1">
      <c r="A48" s="289" t="s">
        <v>1621</v>
      </c>
      <c r="B48" s="290"/>
      <c r="C48" s="3847" t="e">
        <f>R49</f>
        <v>#DIV/0!</v>
      </c>
      <c r="D48" s="3960" t="s">
        <v>2047</v>
      </c>
      <c r="E48" s="2962" t="e">
        <f>R48</f>
        <v>#DIV/0!</v>
      </c>
      <c r="F48" s="2878"/>
      <c r="G48" s="2961" t="e">
        <f>T48</f>
        <v>#DIV/0!</v>
      </c>
      <c r="H48" s="2878"/>
      <c r="I48" s="2962" t="e">
        <f>V48</f>
        <v>#DIV/0!</v>
      </c>
      <c r="J48" s="2878"/>
      <c r="K48" s="2932">
        <f>F48+H48+J48</f>
        <v>0</v>
      </c>
      <c r="L48" s="2015"/>
      <c r="M48" s="2008"/>
      <c r="N48" s="2008"/>
      <c r="O48" s="2008"/>
      <c r="P48" s="4605" t="str">
        <f>A48</f>
        <v>比较价值（元/平方米）</v>
      </c>
      <c r="Q48" s="4605"/>
      <c r="R48" s="4606" t="e">
        <f>IF(F1="售价",ROUND(PRODUCT(R47,AA7:AA46),0),ROUND(PRODUCT(R47,AA7:AA46),1))</f>
        <v>#DIV/0!</v>
      </c>
      <c r="S48" s="4606"/>
      <c r="T48" s="4606" t="e">
        <f>IF(F1="售价",ROUND(PRODUCT(T47,AB7:AB46),0),ROUND(PRODUCT(T47,AB7:AB46),1))</f>
        <v>#DIV/0!</v>
      </c>
      <c r="U48" s="4606"/>
      <c r="V48" s="4606" t="e">
        <f>IF(F1="售价",ROUND(PRODUCT(V47,AC7:AC46),0),ROUND(PRODUCT(V47,AC7:AC46),1))</f>
        <v>#DIV/0!</v>
      </c>
      <c r="W48" s="4606"/>
      <c r="X48" s="265"/>
      <c r="Y48" s="265"/>
      <c r="Z48" s="265"/>
      <c r="AA48" s="265"/>
      <c r="AB48" s="265"/>
      <c r="AC48" s="265"/>
    </row>
    <row r="49" spans="1:29" ht="15.75" thickBot="1">
      <c r="A49" s="291" t="s">
        <v>1622</v>
      </c>
      <c r="B49" s="292"/>
      <c r="C49" s="3848" t="e">
        <f>R49</f>
        <v>#DIV/0!</v>
      </c>
      <c r="D49" s="241"/>
      <c r="E49" s="241"/>
      <c r="F49" s="241"/>
      <c r="G49" s="241"/>
      <c r="H49" s="241"/>
      <c r="I49" s="241"/>
      <c r="J49" s="241"/>
      <c r="K49" s="1398"/>
      <c r="L49" s="2015"/>
      <c r="M49" s="2008"/>
      <c r="N49" s="2008"/>
      <c r="O49" s="2008"/>
      <c r="P49" s="4688" t="str">
        <f>A49</f>
        <v>估价对象XX用房的比较价值（楼面单价，元/平方米）</v>
      </c>
      <c r="Q49" s="4689"/>
      <c r="R49" s="4690" t="e">
        <f>IF(F1="售价",ROUND(IF(D48="简单平均",AVERAGE(R48:V48),R48*F48+T48*H48+V48*J48),0),ROUND(IF(D48="简单平均",AVERAGE(R48:V48),R48*F48+T48*H48+V48*J48),1))</f>
        <v>#DIV/0!</v>
      </c>
      <c r="S49" s="4690"/>
      <c r="T49" s="4690"/>
      <c r="U49" s="4690"/>
      <c r="V49" s="4690"/>
      <c r="W49" s="4690"/>
      <c r="X49" s="265"/>
      <c r="Y49" s="265"/>
      <c r="Z49" s="265"/>
      <c r="AA49" s="265"/>
      <c r="AB49" s="265"/>
      <c r="AC49" s="265"/>
    </row>
    <row r="50" spans="1:29">
      <c r="A50" s="2008"/>
      <c r="B50" s="2008"/>
      <c r="C50" s="2008"/>
      <c r="D50" s="2008"/>
      <c r="E50" s="2008"/>
      <c r="F50" s="2008"/>
      <c r="G50" s="2019"/>
      <c r="H50" s="2008"/>
      <c r="I50" s="2008"/>
      <c r="J50" s="2008"/>
      <c r="K50" s="2020"/>
      <c r="L50" s="2016"/>
      <c r="M50" s="2008"/>
      <c r="N50" s="2008"/>
      <c r="O50" s="2008"/>
    </row>
    <row r="51" spans="1:29">
      <c r="A51" s="2008"/>
      <c r="B51" s="2008"/>
      <c r="C51" s="2008"/>
      <c r="D51" s="2008"/>
      <c r="E51" s="2008"/>
      <c r="F51" s="2008"/>
      <c r="G51" s="2008"/>
      <c r="H51" s="2008"/>
      <c r="I51" s="2008"/>
      <c r="J51" s="2008"/>
      <c r="K51" s="2020"/>
      <c r="L51" s="2016"/>
      <c r="M51" s="2008"/>
      <c r="N51" s="2008"/>
      <c r="O51" s="2008"/>
    </row>
    <row r="52" spans="1:29" ht="13.5" customHeight="1">
      <c r="A52" s="2008"/>
      <c r="B52" s="2008"/>
      <c r="C52" s="296" t="s">
        <v>1623</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20"/>
      <c r="L52" s="2016"/>
      <c r="M52" s="2008"/>
      <c r="N52" s="2008"/>
      <c r="O52" s="2008"/>
    </row>
    <row r="53" spans="1:29" ht="13.5" customHeight="1">
      <c r="A53" s="2008"/>
      <c r="B53" s="2008"/>
      <c r="C53" s="296" t="s">
        <v>1624</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20"/>
      <c r="L53" s="2016"/>
      <c r="M53" s="2008"/>
      <c r="N53" s="2008"/>
      <c r="O53" s="2008"/>
    </row>
    <row r="54" spans="1:29" s="301" customFormat="1" ht="13.5" customHeight="1">
      <c r="A54" s="2018"/>
      <c r="B54" s="2018"/>
      <c r="C54" s="296" t="s">
        <v>1625</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3"/>
      <c r="L54" s="2017"/>
      <c r="M54" s="2018"/>
      <c r="N54" s="2018"/>
      <c r="O54" s="2018"/>
      <c r="P54" s="1400"/>
    </row>
    <row r="55" spans="1:29" s="301" customFormat="1">
      <c r="A55" s="2018"/>
      <c r="B55" s="2021"/>
      <c r="C55" s="2022"/>
      <c r="D55" s="2018"/>
      <c r="E55" s="2018"/>
      <c r="F55" s="2018"/>
      <c r="G55" s="2018"/>
      <c r="H55" s="2018"/>
      <c r="I55" s="2018"/>
      <c r="J55" s="2018"/>
      <c r="K55" s="2023"/>
      <c r="L55" s="2017"/>
      <c r="M55" s="2018"/>
      <c r="N55" s="2018"/>
      <c r="O55" s="2018"/>
      <c r="P55" s="1400"/>
    </row>
    <row r="56" spans="1:29">
      <c r="A56" s="2008"/>
      <c r="B56" s="2021"/>
      <c r="C56" s="2022"/>
      <c r="D56" s="2008"/>
      <c r="E56" s="2008"/>
      <c r="F56" s="2008"/>
      <c r="G56" s="2008"/>
      <c r="H56" s="2008"/>
      <c r="I56" s="2008"/>
      <c r="J56" s="2008"/>
      <c r="K56" s="2020"/>
      <c r="L56" s="2016"/>
      <c r="M56" s="2008"/>
      <c r="N56" s="2008"/>
      <c r="O56" s="2008"/>
    </row>
    <row r="57" spans="1:29" ht="21.75" thickBot="1">
      <c r="A57" s="476" t="s">
        <v>1626</v>
      </c>
      <c r="B57" s="265"/>
      <c r="C57" s="477"/>
      <c r="D57" s="477"/>
      <c r="E57" s="477"/>
      <c r="F57" s="478"/>
      <c r="G57" s="478"/>
      <c r="H57" s="477"/>
      <c r="I57" s="477"/>
      <c r="J57" s="477"/>
      <c r="K57" s="637"/>
      <c r="L57" s="638"/>
      <c r="M57" s="636"/>
      <c r="N57" s="636"/>
      <c r="O57" s="636"/>
      <c r="P57" s="1401"/>
      <c r="Q57" s="302"/>
    </row>
    <row r="58" spans="1:29" s="305" customFormat="1" ht="15">
      <c r="A58" s="303" t="s">
        <v>1627</v>
      </c>
      <c r="B58" s="304"/>
      <c r="C58" s="805" t="str">
        <f>YEAR(C7)&amp;"-"&amp;MONTH(C7)</f>
        <v>2026-1</v>
      </c>
      <c r="D58" s="804">
        <f>EDATE(C58,-1)</f>
        <v>45992</v>
      </c>
      <c r="E58" s="804">
        <f>EDATE(D58,-1)</f>
        <v>45962</v>
      </c>
      <c r="F58" s="804">
        <f t="shared" ref="F58:O58" si="19">EDATE(E58,-1)</f>
        <v>45931</v>
      </c>
      <c r="G58" s="804">
        <f t="shared" si="19"/>
        <v>45901</v>
      </c>
      <c r="H58" s="804">
        <f t="shared" si="19"/>
        <v>45870</v>
      </c>
      <c r="I58" s="804">
        <f t="shared" si="19"/>
        <v>45839</v>
      </c>
      <c r="J58" s="804">
        <f t="shared" si="19"/>
        <v>45809</v>
      </c>
      <c r="K58" s="804">
        <f t="shared" si="19"/>
        <v>45778</v>
      </c>
      <c r="L58" s="804">
        <f t="shared" si="19"/>
        <v>45748</v>
      </c>
      <c r="M58" s="804">
        <f t="shared" si="19"/>
        <v>45717</v>
      </c>
      <c r="N58" s="804">
        <f t="shared" si="19"/>
        <v>45689</v>
      </c>
      <c r="O58" s="804">
        <f t="shared" si="19"/>
        <v>45658</v>
      </c>
      <c r="P58" s="800"/>
    </row>
    <row r="59" spans="1:29" s="46" customFormat="1" ht="15">
      <c r="A59" s="306"/>
      <c r="B59" s="1402"/>
      <c r="C59" s="802">
        <v>100</v>
      </c>
      <c r="D59" s="308"/>
      <c r="E59" s="309"/>
      <c r="F59" s="309"/>
      <c r="G59" s="309"/>
      <c r="H59" s="309"/>
      <c r="I59" s="309"/>
      <c r="J59" s="309"/>
      <c r="K59" s="309"/>
      <c r="L59" s="309"/>
      <c r="M59" s="310"/>
      <c r="N59" s="309"/>
      <c r="O59" s="310"/>
      <c r="P59" s="1403"/>
    </row>
    <row r="60" spans="1:29" s="46" customFormat="1" ht="15.75" thickBot="1">
      <c r="A60" s="312" t="s">
        <v>1628</v>
      </c>
      <c r="B60" s="313"/>
      <c r="C60" s="314"/>
      <c r="D60" s="315"/>
      <c r="E60" s="315"/>
      <c r="F60" s="315"/>
      <c r="G60" s="315"/>
      <c r="H60" s="315"/>
      <c r="I60" s="315"/>
      <c r="J60" s="315"/>
      <c r="K60" s="315"/>
      <c r="L60" s="315"/>
      <c r="M60" s="316"/>
      <c r="N60" s="315"/>
      <c r="O60" s="316"/>
      <c r="P60" s="1403"/>
      <c r="Q60" s="302"/>
    </row>
    <row r="61" spans="1:29" s="46" customFormat="1" ht="15">
      <c r="A61" s="318" t="s">
        <v>1629</v>
      </c>
      <c r="B61" s="307"/>
      <c r="C61" s="319" t="s">
        <v>1630</v>
      </c>
      <c r="D61" s="20"/>
      <c r="E61" s="20"/>
      <c r="F61" s="20"/>
      <c r="G61" s="20"/>
      <c r="H61" s="20"/>
      <c r="I61" s="20"/>
      <c r="J61" s="20"/>
      <c r="K61" s="20"/>
      <c r="L61" s="320"/>
      <c r="M61" s="321"/>
      <c r="N61" s="628"/>
      <c r="O61" s="628"/>
      <c r="P61" s="1404"/>
      <c r="Q61" s="302"/>
    </row>
    <row r="62" spans="1:29" s="46" customFormat="1" ht="15.75" thickBot="1">
      <c r="A62" s="318"/>
      <c r="B62" s="307"/>
      <c r="C62" s="308">
        <v>100</v>
      </c>
      <c r="D62" s="309"/>
      <c r="E62" s="309"/>
      <c r="F62" s="309"/>
      <c r="G62" s="309"/>
      <c r="H62" s="309"/>
      <c r="I62" s="309"/>
      <c r="J62" s="309"/>
      <c r="K62" s="309"/>
      <c r="L62" s="309"/>
      <c r="M62" s="311"/>
      <c r="N62" s="628"/>
      <c r="O62" s="628"/>
      <c r="P62" s="1403"/>
      <c r="Q62" s="302"/>
    </row>
    <row r="63" spans="1:29">
      <c r="A63" s="262" t="s">
        <v>1631</v>
      </c>
      <c r="B63" s="322" t="s">
        <v>1597</v>
      </c>
      <c r="C63" s="323">
        <f>C9</f>
        <v>0</v>
      </c>
      <c r="D63" s="324"/>
      <c r="E63" s="324"/>
      <c r="F63" s="324"/>
      <c r="G63" s="324"/>
      <c r="H63" s="324"/>
      <c r="I63" s="324"/>
      <c r="J63" s="324"/>
      <c r="K63" s="325"/>
      <c r="L63" s="326"/>
      <c r="M63" s="327"/>
      <c r="N63" s="629"/>
      <c r="O63" s="629"/>
      <c r="P63" s="1405"/>
      <c r="Q63" s="302"/>
    </row>
    <row r="64" spans="1:29" ht="15.75" thickBot="1">
      <c r="A64" s="254"/>
      <c r="B64" s="328"/>
      <c r="C64" s="329">
        <v>100</v>
      </c>
      <c r="D64" s="329"/>
      <c r="E64" s="329"/>
      <c r="F64" s="329"/>
      <c r="G64" s="329"/>
      <c r="H64" s="329"/>
      <c r="I64" s="329"/>
      <c r="J64" s="329"/>
      <c r="K64" s="329"/>
      <c r="L64" s="329"/>
      <c r="M64" s="330"/>
      <c r="N64" s="630"/>
      <c r="O64" s="630"/>
      <c r="P64" s="1405"/>
      <c r="Q64" s="302"/>
    </row>
    <row r="65" spans="1:17" ht="27.75" thickTop="1">
      <c r="A65" s="254"/>
      <c r="B65" s="331" t="s">
        <v>1600</v>
      </c>
      <c r="C65" s="372"/>
      <c r="D65" s="372"/>
      <c r="E65" s="372"/>
      <c r="F65" s="372"/>
      <c r="G65" s="372"/>
      <c r="H65" s="372"/>
      <c r="I65" s="372"/>
      <c r="J65" s="372"/>
      <c r="K65" s="372"/>
      <c r="L65" s="372"/>
      <c r="M65" s="372"/>
      <c r="N65" s="630"/>
      <c r="O65" s="630"/>
      <c r="P65" s="1405"/>
      <c r="Q65" s="302"/>
    </row>
    <row r="66" spans="1:17" ht="15.75" thickBot="1">
      <c r="A66" s="254"/>
      <c r="B66" s="336" t="s">
        <v>3881</v>
      </c>
      <c r="C66" s="329"/>
      <c r="D66" s="329"/>
      <c r="E66" s="329"/>
      <c r="F66" s="329"/>
      <c r="G66" s="329"/>
      <c r="H66" s="329"/>
      <c r="I66" s="329"/>
      <c r="J66" s="329"/>
      <c r="K66" s="329"/>
      <c r="L66" s="329"/>
      <c r="M66" s="330"/>
      <c r="N66" s="630"/>
      <c r="O66" s="630"/>
      <c r="P66" s="1405"/>
      <c r="Q66" s="302"/>
    </row>
    <row r="67" spans="1:17" ht="15.75" thickTop="1">
      <c r="A67" s="254"/>
      <c r="B67" s="339" t="s">
        <v>1601</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30"/>
      <c r="O67" s="630"/>
      <c r="P67" s="1405"/>
      <c r="Q67" s="302"/>
    </row>
    <row r="68" spans="1:17" ht="15">
      <c r="A68" s="254"/>
      <c r="B68" s="341"/>
      <c r="C68" s="342">
        <v>0</v>
      </c>
      <c r="D68" s="342">
        <v>0.5</v>
      </c>
      <c r="E68" s="342">
        <v>1</v>
      </c>
      <c r="F68" s="342">
        <v>1.5</v>
      </c>
      <c r="G68" s="342">
        <v>2</v>
      </c>
      <c r="H68" s="342"/>
      <c r="I68" s="342"/>
      <c r="J68" s="342"/>
      <c r="K68" s="343"/>
      <c r="L68" s="344"/>
      <c r="M68" s="345"/>
      <c r="N68" s="629"/>
      <c r="O68" s="629"/>
      <c r="P68" s="1405"/>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30"/>
      <c r="O69" s="630"/>
      <c r="P69" s="1405"/>
      <c r="Q69" s="302"/>
    </row>
    <row r="70" spans="1:17" s="279" customFormat="1" ht="15.75" thickTop="1">
      <c r="A70" s="346"/>
      <c r="B70" s="331">
        <f>B12</f>
        <v>111</v>
      </c>
      <c r="C70" s="347"/>
      <c r="D70" s="347"/>
      <c r="E70" s="347"/>
      <c r="F70" s="347"/>
      <c r="G70" s="347"/>
      <c r="H70" s="348"/>
      <c r="I70" s="348"/>
      <c r="J70" s="348"/>
      <c r="K70" s="348"/>
      <c r="L70" s="349"/>
      <c r="M70" s="350"/>
      <c r="N70" s="631"/>
      <c r="O70" s="631"/>
      <c r="P70" s="1406"/>
      <c r="Q70" s="351"/>
    </row>
    <row r="71" spans="1:17" s="279" customFormat="1" ht="15.75" thickBot="1">
      <c r="A71" s="346"/>
      <c r="B71" s="336"/>
      <c r="C71" s="352"/>
      <c r="D71" s="329"/>
      <c r="E71" s="329"/>
      <c r="F71" s="329"/>
      <c r="G71" s="329"/>
      <c r="H71" s="329"/>
      <c r="I71" s="329"/>
      <c r="J71" s="329"/>
      <c r="K71" s="329"/>
      <c r="L71" s="329"/>
      <c r="M71" s="330"/>
      <c r="N71" s="630"/>
      <c r="O71" s="630"/>
      <c r="P71" s="1406"/>
      <c r="Q71" s="351"/>
    </row>
    <row r="72" spans="1:17" s="279" customFormat="1" ht="15.75" thickTop="1">
      <c r="A72" s="346"/>
      <c r="B72" s="331">
        <f>B13</f>
        <v>111</v>
      </c>
      <c r="C72" s="347"/>
      <c r="D72" s="347"/>
      <c r="E72" s="347"/>
      <c r="F72" s="347"/>
      <c r="G72" s="347"/>
      <c r="H72" s="348"/>
      <c r="I72" s="348"/>
      <c r="J72" s="348"/>
      <c r="K72" s="348"/>
      <c r="L72" s="349"/>
      <c r="M72" s="350"/>
      <c r="N72" s="631"/>
      <c r="O72" s="631"/>
      <c r="P72" s="1407"/>
      <c r="Q72" s="353"/>
    </row>
    <row r="73" spans="1:17" s="279" customFormat="1" ht="15.75" thickBot="1">
      <c r="A73" s="346"/>
      <c r="B73" s="336"/>
      <c r="C73" s="352"/>
      <c r="D73" s="352"/>
      <c r="E73" s="352"/>
      <c r="F73" s="352"/>
      <c r="G73" s="352"/>
      <c r="H73" s="354"/>
      <c r="I73" s="354"/>
      <c r="J73" s="354"/>
      <c r="K73" s="354"/>
      <c r="L73" s="354"/>
      <c r="M73" s="355"/>
      <c r="N73" s="631"/>
      <c r="O73" s="631"/>
      <c r="P73" s="1406"/>
      <c r="Q73" s="351"/>
    </row>
    <row r="74" spans="1:17" s="279" customFormat="1" ht="15.75" thickTop="1">
      <c r="A74" s="346"/>
      <c r="B74" s="339">
        <f>B14</f>
        <v>111</v>
      </c>
      <c r="C74" s="347"/>
      <c r="D74" s="347"/>
      <c r="E74" s="347"/>
      <c r="F74" s="347"/>
      <c r="G74" s="20"/>
      <c r="H74" s="356"/>
      <c r="I74" s="356"/>
      <c r="J74" s="356"/>
      <c r="K74" s="356"/>
      <c r="L74" s="357"/>
      <c r="M74" s="358"/>
      <c r="N74" s="631"/>
      <c r="O74" s="631"/>
      <c r="P74" s="1408"/>
      <c r="Q74" s="351"/>
    </row>
    <row r="75" spans="1:17" s="279" customFormat="1" ht="15.75" thickBot="1">
      <c r="A75" s="359"/>
      <c r="B75" s="360"/>
      <c r="C75" s="361"/>
      <c r="D75" s="361"/>
      <c r="E75" s="361"/>
      <c r="F75" s="361"/>
      <c r="G75" s="361"/>
      <c r="H75" s="362"/>
      <c r="I75" s="362"/>
      <c r="J75" s="362"/>
      <c r="K75" s="362"/>
      <c r="L75" s="362"/>
      <c r="M75" s="363"/>
      <c r="N75" s="631"/>
      <c r="O75" s="631"/>
      <c r="P75" s="1406"/>
      <c r="Q75" s="351"/>
    </row>
    <row r="76" spans="1:17">
      <c r="A76" s="262" t="s">
        <v>1602</v>
      </c>
      <c r="B76" s="322" t="s">
        <v>1632</v>
      </c>
      <c r="C76" s="364" t="s">
        <v>1633</v>
      </c>
      <c r="D76" s="364" t="s">
        <v>1634</v>
      </c>
      <c r="E76" s="364" t="s">
        <v>1635</v>
      </c>
      <c r="F76" s="364" t="s">
        <v>1636</v>
      </c>
      <c r="G76" s="364" t="s">
        <v>1637</v>
      </c>
      <c r="H76" s="323"/>
      <c r="I76" s="323"/>
      <c r="J76" s="323"/>
      <c r="K76" s="365"/>
      <c r="L76" s="366"/>
      <c r="M76" s="367"/>
      <c r="N76" s="629"/>
      <c r="O76" s="629"/>
      <c r="P76" s="1409"/>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30"/>
      <c r="O77" s="630"/>
      <c r="P77" s="1405"/>
      <c r="Q77" s="302"/>
    </row>
    <row r="78" spans="1:17" ht="15.75" thickTop="1">
      <c r="A78" s="254"/>
      <c r="B78" s="331" t="s">
        <v>1638</v>
      </c>
      <c r="C78" s="368" t="s">
        <v>1633</v>
      </c>
      <c r="D78" s="368" t="s">
        <v>1634</v>
      </c>
      <c r="E78" s="368" t="s">
        <v>1635</v>
      </c>
      <c r="F78" s="368" t="s">
        <v>1636</v>
      </c>
      <c r="G78" s="368" t="s">
        <v>1637</v>
      </c>
      <c r="H78" s="332"/>
      <c r="I78" s="332"/>
      <c r="J78" s="332"/>
      <c r="K78" s="333"/>
      <c r="L78" s="334"/>
      <c r="M78" s="335"/>
      <c r="N78" s="629"/>
      <c r="O78" s="629"/>
      <c r="P78" s="1405"/>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30"/>
      <c r="O79" s="630"/>
      <c r="P79" s="1405"/>
      <c r="Q79" s="302"/>
    </row>
    <row r="80" spans="1:17" ht="15.75" thickTop="1">
      <c r="A80" s="254"/>
      <c r="B80" s="331" t="s">
        <v>1639</v>
      </c>
      <c r="C80" s="368" t="s">
        <v>1633</v>
      </c>
      <c r="D80" s="368" t="s">
        <v>1634</v>
      </c>
      <c r="E80" s="368" t="s">
        <v>1635</v>
      </c>
      <c r="F80" s="368" t="s">
        <v>1636</v>
      </c>
      <c r="G80" s="368" t="s">
        <v>1637</v>
      </c>
      <c r="H80" s="332"/>
      <c r="I80" s="332"/>
      <c r="J80" s="332"/>
      <c r="K80" s="333"/>
      <c r="L80" s="334"/>
      <c r="M80" s="335"/>
      <c r="N80" s="629"/>
      <c r="O80" s="629"/>
      <c r="P80" s="1405"/>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30"/>
      <c r="O81" s="630"/>
      <c r="P81" s="1405"/>
      <c r="Q81" s="302"/>
    </row>
    <row r="82" spans="1:17" ht="15.75" thickTop="1">
      <c r="A82" s="254"/>
      <c r="B82" s="339" t="s">
        <v>1240</v>
      </c>
      <c r="C82" s="332" t="s">
        <v>1640</v>
      </c>
      <c r="D82" s="332" t="s">
        <v>1641</v>
      </c>
      <c r="E82" s="332" t="s">
        <v>1642</v>
      </c>
      <c r="F82" s="332" t="s">
        <v>1643</v>
      </c>
      <c r="G82" s="332" t="s">
        <v>1644</v>
      </c>
      <c r="H82" s="332"/>
      <c r="I82" s="332"/>
      <c r="J82" s="332"/>
      <c r="K82" s="332"/>
      <c r="L82" s="332"/>
      <c r="M82" s="779"/>
      <c r="N82" s="630"/>
      <c r="O82" s="630"/>
      <c r="P82" s="1405"/>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30"/>
      <c r="O83" s="630"/>
      <c r="P83" s="1405"/>
      <c r="Q83" s="302"/>
    </row>
    <row r="84" spans="1:17" ht="15.75" thickTop="1">
      <c r="A84" s="254"/>
      <c r="B84" s="331" t="s">
        <v>1645</v>
      </c>
      <c r="C84" s="368" t="s">
        <v>1633</v>
      </c>
      <c r="D84" s="368" t="s">
        <v>1634</v>
      </c>
      <c r="E84" s="368" t="s">
        <v>1635</v>
      </c>
      <c r="F84" s="368" t="s">
        <v>1636</v>
      </c>
      <c r="G84" s="368" t="s">
        <v>1637</v>
      </c>
      <c r="H84" s="332"/>
      <c r="I84" s="332"/>
      <c r="J84" s="332"/>
      <c r="K84" s="333"/>
      <c r="L84" s="334"/>
      <c r="M84" s="335"/>
      <c r="N84" s="629"/>
      <c r="O84" s="629"/>
      <c r="P84" s="1405"/>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30"/>
      <c r="O85" s="630"/>
      <c r="P85" s="1405"/>
      <c r="Q85" s="302"/>
    </row>
    <row r="86" spans="1:17" s="46" customFormat="1" ht="15.75" thickTop="1">
      <c r="A86" s="257"/>
      <c r="B86" s="331" t="s">
        <v>1646</v>
      </c>
      <c r="C86" s="347"/>
      <c r="D86" s="347"/>
      <c r="E86" s="347"/>
      <c r="F86" s="347"/>
      <c r="G86" s="347"/>
      <c r="H86" s="347"/>
      <c r="I86" s="347"/>
      <c r="J86" s="347"/>
      <c r="K86" s="347"/>
      <c r="L86" s="369"/>
      <c r="M86" s="370"/>
      <c r="N86" s="628"/>
      <c r="O86" s="628"/>
      <c r="P86" s="1405"/>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30"/>
      <c r="O87" s="630"/>
      <c r="P87" s="1405"/>
      <c r="Q87" s="302"/>
    </row>
    <row r="88" spans="1:17" s="46" customFormat="1" ht="15.75" thickTop="1">
      <c r="A88" s="257"/>
      <c r="B88" s="331" t="s">
        <v>1647</v>
      </c>
      <c r="C88" s="347"/>
      <c r="D88" s="347"/>
      <c r="E88" s="347"/>
      <c r="F88" s="1410"/>
      <c r="G88" s="347"/>
      <c r="H88" s="347"/>
      <c r="I88" s="347"/>
      <c r="J88" s="347"/>
      <c r="K88" s="347"/>
      <c r="L88" s="347"/>
      <c r="M88" s="370"/>
      <c r="N88" s="628"/>
      <c r="O88" s="628"/>
      <c r="P88" s="1405"/>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30"/>
      <c r="O89" s="630"/>
      <c r="P89" s="1405"/>
      <c r="Q89" s="302"/>
    </row>
    <row r="90" spans="1:17" s="279" customFormat="1" ht="15.75" thickTop="1">
      <c r="A90" s="346"/>
      <c r="B90" s="331">
        <f>B27</f>
        <v>111</v>
      </c>
      <c r="C90" s="347"/>
      <c r="D90" s="347"/>
      <c r="E90" s="347"/>
      <c r="F90" s="347"/>
      <c r="G90" s="347"/>
      <c r="H90" s="348"/>
      <c r="I90" s="348"/>
      <c r="J90" s="348"/>
      <c r="K90" s="348"/>
      <c r="L90" s="349"/>
      <c r="M90" s="350"/>
      <c r="N90" s="631"/>
      <c r="O90" s="631"/>
      <c r="P90" s="1406"/>
      <c r="Q90" s="351"/>
    </row>
    <row r="91" spans="1:17" s="279" customFormat="1" ht="15.75" thickBot="1">
      <c r="A91" s="346"/>
      <c r="B91" s="336"/>
      <c r="C91" s="352"/>
      <c r="D91" s="352"/>
      <c r="E91" s="352"/>
      <c r="F91" s="352"/>
      <c r="G91" s="352"/>
      <c r="H91" s="354"/>
      <c r="I91" s="354"/>
      <c r="J91" s="354"/>
      <c r="K91" s="354"/>
      <c r="L91" s="354"/>
      <c r="M91" s="355"/>
      <c r="N91" s="631"/>
      <c r="O91" s="631"/>
      <c r="P91" s="1406"/>
      <c r="Q91" s="351"/>
    </row>
    <row r="92" spans="1:17" ht="15.75" thickTop="1">
      <c r="A92" s="254"/>
      <c r="B92" s="331">
        <f>B28</f>
        <v>111</v>
      </c>
      <c r="C92" s="347"/>
      <c r="D92" s="347"/>
      <c r="E92" s="347"/>
      <c r="F92" s="347"/>
      <c r="G92" s="372"/>
      <c r="H92" s="372"/>
      <c r="I92" s="372"/>
      <c r="J92" s="372"/>
      <c r="K92" s="373"/>
      <c r="L92" s="374"/>
      <c r="M92" s="375"/>
      <c r="N92" s="629"/>
      <c r="O92" s="629"/>
      <c r="P92" s="1405"/>
      <c r="Q92" s="302"/>
    </row>
    <row r="93" spans="1:17" ht="15.75" thickBot="1">
      <c r="A93" s="254"/>
      <c r="B93" s="336"/>
      <c r="C93" s="352"/>
      <c r="D93" s="329"/>
      <c r="E93" s="329"/>
      <c r="F93" s="329"/>
      <c r="G93" s="329"/>
      <c r="H93" s="329"/>
      <c r="I93" s="329"/>
      <c r="J93" s="329"/>
      <c r="K93" s="329"/>
      <c r="L93" s="329"/>
      <c r="M93" s="330"/>
      <c r="N93" s="630"/>
      <c r="O93" s="630"/>
      <c r="P93" s="1405"/>
      <c r="Q93" s="302"/>
    </row>
    <row r="94" spans="1:17" ht="15.75" thickTop="1">
      <c r="A94" s="254"/>
      <c r="B94" s="331">
        <f>B29</f>
        <v>111</v>
      </c>
      <c r="C94" s="347"/>
      <c r="D94" s="347"/>
      <c r="E94" s="347"/>
      <c r="F94" s="347"/>
      <c r="G94" s="372"/>
      <c r="H94" s="372"/>
      <c r="I94" s="372"/>
      <c r="J94" s="372"/>
      <c r="K94" s="373"/>
      <c r="L94" s="374"/>
      <c r="M94" s="375"/>
      <c r="N94" s="629"/>
      <c r="O94" s="629"/>
      <c r="P94" s="1405"/>
      <c r="Q94" s="302"/>
    </row>
    <row r="95" spans="1:17" ht="15.75" thickBot="1">
      <c r="A95" s="254"/>
      <c r="B95" s="336"/>
      <c r="C95" s="352"/>
      <c r="D95" s="352"/>
      <c r="E95" s="352"/>
      <c r="F95" s="352"/>
      <c r="G95" s="329"/>
      <c r="H95" s="329"/>
      <c r="I95" s="329"/>
      <c r="J95" s="329"/>
      <c r="K95" s="329"/>
      <c r="L95" s="329"/>
      <c r="M95" s="330"/>
      <c r="N95" s="630"/>
      <c r="O95" s="630"/>
      <c r="P95" s="1405"/>
      <c r="Q95" s="302"/>
    </row>
    <row r="96" spans="1:17" ht="15.75" thickTop="1">
      <c r="A96" s="254"/>
      <c r="B96" s="331">
        <f>B30</f>
        <v>111</v>
      </c>
      <c r="C96" s="347"/>
      <c r="D96" s="347"/>
      <c r="E96" s="347"/>
      <c r="F96" s="347"/>
      <c r="G96" s="372"/>
      <c r="H96" s="372"/>
      <c r="I96" s="372"/>
      <c r="J96" s="372"/>
      <c r="K96" s="373"/>
      <c r="L96" s="374"/>
      <c r="M96" s="375"/>
      <c r="N96" s="629"/>
      <c r="O96" s="629"/>
      <c r="P96" s="1405"/>
      <c r="Q96" s="302"/>
    </row>
    <row r="97" spans="1:17" ht="15.75" thickBot="1">
      <c r="A97" s="254"/>
      <c r="B97" s="336"/>
      <c r="C97" s="361"/>
      <c r="D97" s="361"/>
      <c r="E97" s="361"/>
      <c r="F97" s="361"/>
      <c r="G97" s="329"/>
      <c r="H97" s="329"/>
      <c r="I97" s="329"/>
      <c r="J97" s="329"/>
      <c r="K97" s="329"/>
      <c r="L97" s="329"/>
      <c r="M97" s="330"/>
      <c r="N97" s="630"/>
      <c r="O97" s="630"/>
      <c r="P97" s="1405"/>
      <c r="Q97" s="302"/>
    </row>
    <row r="98" spans="1:17" ht="15.75" thickTop="1">
      <c r="A98" s="254"/>
      <c r="B98" s="339">
        <f>B31</f>
        <v>111</v>
      </c>
      <c r="C98" s="376"/>
      <c r="D98" s="376"/>
      <c r="E98" s="376"/>
      <c r="F98" s="376"/>
      <c r="G98" s="376"/>
      <c r="H98" s="376"/>
      <c r="I98" s="376"/>
      <c r="J98" s="376"/>
      <c r="K98" s="377"/>
      <c r="L98" s="378"/>
      <c r="M98" s="379"/>
      <c r="N98" s="629"/>
      <c r="O98" s="629"/>
      <c r="P98" s="1405"/>
      <c r="Q98" s="302"/>
    </row>
    <row r="99" spans="1:17" ht="15.75" thickBot="1">
      <c r="A99" s="260"/>
      <c r="B99" s="360"/>
      <c r="C99" s="380"/>
      <c r="D99" s="380"/>
      <c r="E99" s="380"/>
      <c r="F99" s="380"/>
      <c r="G99" s="380"/>
      <c r="H99" s="380"/>
      <c r="I99" s="380"/>
      <c r="J99" s="380"/>
      <c r="K99" s="380"/>
      <c r="L99" s="380"/>
      <c r="M99" s="381"/>
      <c r="N99" s="630"/>
      <c r="O99" s="630"/>
      <c r="P99" s="1405"/>
      <c r="Q99" s="302"/>
    </row>
    <row r="100" spans="1:17">
      <c r="A100" s="262" t="s">
        <v>1606</v>
      </c>
      <c r="B100" s="322" t="s">
        <v>1648</v>
      </c>
      <c r="C100" s="324"/>
      <c r="D100" s="324"/>
      <c r="E100" s="324"/>
      <c r="F100" s="324"/>
      <c r="G100" s="324"/>
      <c r="H100" s="324"/>
      <c r="I100" s="324"/>
      <c r="J100" s="324"/>
      <c r="K100" s="325"/>
      <c r="L100" s="326"/>
      <c r="M100" s="327"/>
      <c r="N100" s="629"/>
      <c r="O100" s="629"/>
      <c r="P100" s="1405"/>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30"/>
      <c r="O101" s="630"/>
      <c r="P101" s="1405"/>
      <c r="Q101" s="302"/>
    </row>
    <row r="102" spans="1:17" ht="15.75" thickTop="1">
      <c r="A102" s="254"/>
      <c r="B102" s="331" t="s">
        <v>1649</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28"/>
      <c r="O102" s="628"/>
      <c r="P102" s="1405"/>
      <c r="Q102" s="302"/>
    </row>
    <row r="103" spans="1:17" s="279" customFormat="1">
      <c r="A103" s="277"/>
      <c r="B103" s="382"/>
      <c r="C103" s="5"/>
      <c r="D103" s="5"/>
      <c r="E103" s="5"/>
      <c r="F103" s="5"/>
      <c r="G103" s="5"/>
      <c r="H103" s="5"/>
      <c r="I103" s="5"/>
      <c r="J103" s="383"/>
      <c r="K103" s="383"/>
      <c r="L103" s="384"/>
      <c r="M103" s="385"/>
      <c r="N103" s="631"/>
      <c r="O103" s="631"/>
      <c r="P103" s="1406"/>
      <c r="Q103" s="351"/>
    </row>
    <row r="104" spans="1:17" s="279" customFormat="1" ht="15.75" thickBot="1">
      <c r="A104" s="346"/>
      <c r="B104" s="336"/>
      <c r="C104" s="352"/>
      <c r="D104" s="329"/>
      <c r="E104" s="329"/>
      <c r="F104" s="329"/>
      <c r="G104" s="329"/>
      <c r="H104" s="329"/>
      <c r="I104" s="329"/>
      <c r="J104" s="329"/>
      <c r="K104" s="329"/>
      <c r="L104" s="329"/>
      <c r="M104" s="329"/>
      <c r="N104" s="630"/>
      <c r="O104" s="630"/>
      <c r="P104" s="1406"/>
      <c r="Q104" s="351"/>
    </row>
    <row r="105" spans="1:17" ht="15" thickTop="1">
      <c r="A105" s="280"/>
      <c r="B105" s="331" t="s">
        <v>1650</v>
      </c>
      <c r="C105" s="347"/>
      <c r="D105" s="347"/>
      <c r="E105" s="372"/>
      <c r="F105" s="372"/>
      <c r="G105" s="372"/>
      <c r="H105" s="372"/>
      <c r="I105" s="372"/>
      <c r="J105" s="372"/>
      <c r="K105" s="373"/>
      <c r="L105" s="374"/>
      <c r="M105" s="375"/>
      <c r="N105" s="629"/>
      <c r="O105" s="629"/>
      <c r="P105" s="1405"/>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30"/>
      <c r="O106" s="630"/>
      <c r="P106" s="1405"/>
      <c r="Q106" s="302"/>
    </row>
    <row r="107" spans="1:17" ht="15" thickTop="1">
      <c r="A107" s="280"/>
      <c r="B107" s="331" t="s">
        <v>1651</v>
      </c>
      <c r="C107" s="372"/>
      <c r="D107" s="372"/>
      <c r="E107" s="372"/>
      <c r="F107" s="372"/>
      <c r="G107" s="372"/>
      <c r="H107" s="372"/>
      <c r="I107" s="372"/>
      <c r="J107" s="372"/>
      <c r="K107" s="373"/>
      <c r="L107" s="374"/>
      <c r="M107" s="375"/>
      <c r="N107" s="629"/>
      <c r="O107" s="629"/>
      <c r="P107" s="1405"/>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30"/>
      <c r="O108" s="630"/>
      <c r="P108" s="1405"/>
      <c r="Q108" s="302"/>
    </row>
    <row r="109" spans="1:17" ht="15" thickTop="1">
      <c r="A109" s="280"/>
      <c r="B109" s="331" t="s">
        <v>1652</v>
      </c>
      <c r="C109" s="347"/>
      <c r="D109" s="347"/>
      <c r="E109" s="347"/>
      <c r="F109" s="372"/>
      <c r="G109" s="372"/>
      <c r="H109" s="372"/>
      <c r="I109" s="372"/>
      <c r="J109" s="372"/>
      <c r="K109" s="373"/>
      <c r="L109" s="374"/>
      <c r="M109" s="375"/>
      <c r="N109" s="629"/>
      <c r="O109" s="629"/>
      <c r="P109" s="1405"/>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30"/>
      <c r="O110" s="630"/>
      <c r="P110" s="1405"/>
      <c r="Q110" s="302"/>
    </row>
    <row r="111" spans="1:17" s="279" customFormat="1" ht="15" thickTop="1">
      <c r="A111" s="277"/>
      <c r="B111" s="331" t="s">
        <v>1174</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31"/>
      <c r="O111" s="631"/>
      <c r="P111" s="1406"/>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31"/>
      <c r="O112" s="631"/>
      <c r="P112" s="1406"/>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31"/>
      <c r="O113" s="631"/>
      <c r="P113" s="1406"/>
      <c r="Q113" s="351"/>
    </row>
    <row r="114" spans="1:17" ht="15" thickTop="1">
      <c r="A114" s="280"/>
      <c r="B114" s="331" t="s">
        <v>1653</v>
      </c>
      <c r="C114" s="347"/>
      <c r="D114" s="347"/>
      <c r="E114" s="372"/>
      <c r="F114" s="372"/>
      <c r="G114" s="372"/>
      <c r="H114" s="372"/>
      <c r="I114" s="372"/>
      <c r="J114" s="372"/>
      <c r="K114" s="373"/>
      <c r="L114" s="374"/>
      <c r="M114" s="375"/>
      <c r="N114" s="629"/>
      <c r="O114" s="629"/>
      <c r="P114" s="1405"/>
      <c r="Q114" s="302"/>
    </row>
    <row r="115" spans="1:17" ht="15.75"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30"/>
      <c r="O115" s="630"/>
      <c r="P115" s="1405"/>
      <c r="Q115" s="302"/>
    </row>
    <row r="116" spans="1:17" ht="15" thickTop="1">
      <c r="A116" s="280"/>
      <c r="B116" s="331" t="s">
        <v>1654</v>
      </c>
      <c r="C116" s="347"/>
      <c r="D116" s="347"/>
      <c r="E116" s="347"/>
      <c r="F116" s="347"/>
      <c r="G116" s="347"/>
      <c r="H116" s="372"/>
      <c r="I116" s="372"/>
      <c r="J116" s="372"/>
      <c r="K116" s="373"/>
      <c r="L116" s="374"/>
      <c r="M116" s="375"/>
      <c r="N116" s="629"/>
      <c r="O116" s="629"/>
      <c r="P116" s="1405"/>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30"/>
      <c r="O117" s="630"/>
      <c r="P117" s="1405"/>
      <c r="Q117" s="302"/>
    </row>
    <row r="118" spans="1:17" ht="15" thickTop="1">
      <c r="A118" s="280"/>
      <c r="B118" s="331" t="s">
        <v>1655</v>
      </c>
      <c r="C118" s="372"/>
      <c r="D118" s="372"/>
      <c r="E118" s="372"/>
      <c r="F118" s="372"/>
      <c r="G118" s="372"/>
      <c r="H118" s="372"/>
      <c r="I118" s="372"/>
      <c r="J118" s="372"/>
      <c r="K118" s="373"/>
      <c r="L118" s="374"/>
      <c r="M118" s="375"/>
      <c r="N118" s="629"/>
      <c r="O118" s="629"/>
      <c r="P118" s="1405"/>
      <c r="Q118" s="302"/>
    </row>
    <row r="119" spans="1:17" ht="15.75"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30"/>
      <c r="O119" s="630"/>
      <c r="P119" s="1405"/>
      <c r="Q119" s="302"/>
    </row>
    <row r="120" spans="1:17" s="279" customFormat="1" ht="28.5" thickTop="1">
      <c r="A120" s="277"/>
      <c r="B120" s="331" t="s">
        <v>1617</v>
      </c>
      <c r="C120" s="347"/>
      <c r="D120" s="347"/>
      <c r="E120" s="347"/>
      <c r="F120" s="347"/>
      <c r="G120" s="347"/>
      <c r="H120" s="347"/>
      <c r="I120" s="347"/>
      <c r="J120" s="347"/>
      <c r="K120" s="347"/>
      <c r="L120" s="369"/>
      <c r="M120" s="370"/>
      <c r="N120" s="631"/>
      <c r="O120" s="631"/>
      <c r="P120" s="1406"/>
      <c r="Q120" s="351"/>
    </row>
    <row r="121" spans="1:17" s="279" customFormat="1" ht="15.75" thickBot="1">
      <c r="A121" s="346"/>
      <c r="B121" s="328"/>
      <c r="C121" s="352"/>
      <c r="D121" s="329"/>
      <c r="E121" s="329"/>
      <c r="F121" s="329"/>
      <c r="G121" s="329"/>
      <c r="H121" s="329"/>
      <c r="I121" s="329"/>
      <c r="J121" s="329"/>
      <c r="K121" s="329"/>
      <c r="L121" s="329"/>
      <c r="M121" s="329"/>
      <c r="N121" s="631"/>
      <c r="O121" s="631"/>
      <c r="P121" s="1406"/>
      <c r="Q121" s="351"/>
    </row>
    <row r="122" spans="1:17" ht="15" thickTop="1">
      <c r="A122" s="280"/>
      <c r="B122" s="331" t="s">
        <v>1656</v>
      </c>
      <c r="C122" s="347"/>
      <c r="D122" s="347"/>
      <c r="E122" s="347"/>
      <c r="F122" s="372"/>
      <c r="G122" s="372"/>
      <c r="H122" s="372"/>
      <c r="I122" s="372"/>
      <c r="J122" s="372"/>
      <c r="K122" s="373"/>
      <c r="L122" s="374"/>
      <c r="M122" s="375"/>
      <c r="N122" s="629"/>
      <c r="O122" s="629"/>
      <c r="P122" s="1405"/>
      <c r="Q122" s="302"/>
    </row>
    <row r="123" spans="1:17" ht="15.75"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30"/>
      <c r="O123" s="630"/>
      <c r="P123" s="1405"/>
      <c r="Q123" s="302"/>
    </row>
    <row r="124" spans="1:17" ht="15" thickTop="1">
      <c r="A124" s="280"/>
      <c r="B124" s="331" t="s">
        <v>1657</v>
      </c>
      <c r="C124" s="368" t="s">
        <v>1633</v>
      </c>
      <c r="D124" s="368" t="s">
        <v>1634</v>
      </c>
      <c r="E124" s="368" t="s">
        <v>1635</v>
      </c>
      <c r="F124" s="368" t="s">
        <v>1636</v>
      </c>
      <c r="G124" s="368" t="s">
        <v>1637</v>
      </c>
      <c r="H124" s="332"/>
      <c r="I124" s="332"/>
      <c r="J124" s="332"/>
      <c r="K124" s="333"/>
      <c r="L124" s="334"/>
      <c r="M124" s="335"/>
      <c r="N124" s="629"/>
      <c r="O124" s="629"/>
      <c r="P124" s="1406"/>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30"/>
      <c r="O125" s="630"/>
      <c r="P125" s="1405"/>
      <c r="Q125" s="302"/>
    </row>
    <row r="126" spans="1:17" s="279" customFormat="1" ht="15" thickTop="1">
      <c r="A126" s="277"/>
      <c r="B126" s="331">
        <f>B44</f>
        <v>111</v>
      </c>
      <c r="C126" s="347"/>
      <c r="D126" s="347"/>
      <c r="E126" s="347"/>
      <c r="F126" s="347"/>
      <c r="G126" s="347"/>
      <c r="H126" s="348"/>
      <c r="I126" s="348"/>
      <c r="J126" s="348"/>
      <c r="K126" s="348"/>
      <c r="L126" s="349"/>
      <c r="M126" s="350"/>
      <c r="N126" s="631"/>
      <c r="O126" s="631"/>
      <c r="P126" s="1406"/>
      <c r="Q126" s="351"/>
    </row>
    <row r="127" spans="1:17" s="279" customFormat="1" ht="15.75" thickBot="1">
      <c r="A127" s="346"/>
      <c r="B127" s="336"/>
      <c r="C127" s="352"/>
      <c r="D127" s="329"/>
      <c r="E127" s="329"/>
      <c r="F127" s="329"/>
      <c r="G127" s="352"/>
      <c r="H127" s="354"/>
      <c r="I127" s="354"/>
      <c r="J127" s="354"/>
      <c r="K127" s="354"/>
      <c r="L127" s="354"/>
      <c r="M127" s="355"/>
      <c r="N127" s="631"/>
      <c r="O127" s="631"/>
      <c r="P127" s="1406"/>
      <c r="Q127" s="351"/>
    </row>
    <row r="128" spans="1:17" ht="15" thickTop="1">
      <c r="A128" s="280"/>
      <c r="B128" s="331">
        <f>B45</f>
        <v>111</v>
      </c>
      <c r="C128" s="347"/>
      <c r="D128" s="347"/>
      <c r="E128" s="347"/>
      <c r="F128" s="347"/>
      <c r="G128" s="372"/>
      <c r="H128" s="372"/>
      <c r="I128" s="372"/>
      <c r="J128" s="372"/>
      <c r="K128" s="373"/>
      <c r="L128" s="374"/>
      <c r="M128" s="375"/>
      <c r="N128" s="629"/>
      <c r="O128" s="629"/>
      <c r="P128" s="1405"/>
      <c r="Q128" s="302"/>
    </row>
    <row r="129" spans="1:17" ht="15.75" thickBot="1">
      <c r="A129" s="254"/>
      <c r="B129" s="336"/>
      <c r="C129" s="352"/>
      <c r="D129" s="352"/>
      <c r="E129" s="352"/>
      <c r="F129" s="352"/>
      <c r="G129" s="329"/>
      <c r="H129" s="329"/>
      <c r="I129" s="329"/>
      <c r="J129" s="329"/>
      <c r="K129" s="329"/>
      <c r="L129" s="329"/>
      <c r="M129" s="330"/>
      <c r="N129" s="630"/>
      <c r="O129" s="630"/>
      <c r="P129" s="1405"/>
      <c r="Q129" s="302"/>
    </row>
    <row r="130" spans="1:17" ht="15" thickTop="1">
      <c r="A130" s="280"/>
      <c r="B130" s="339">
        <f>B46</f>
        <v>111</v>
      </c>
      <c r="C130" s="347"/>
      <c r="D130" s="347"/>
      <c r="E130" s="347"/>
      <c r="F130" s="347"/>
      <c r="G130" s="376"/>
      <c r="H130" s="376"/>
      <c r="I130" s="376"/>
      <c r="J130" s="376"/>
      <c r="K130" s="20"/>
      <c r="L130" s="320"/>
      <c r="M130" s="379"/>
      <c r="N130" s="629"/>
      <c r="O130" s="629"/>
      <c r="P130" s="1405"/>
      <c r="Q130" s="302"/>
    </row>
    <row r="131" spans="1:17" ht="15.75" thickBot="1">
      <c r="A131" s="260"/>
      <c r="B131" s="360"/>
      <c r="C131" s="361"/>
      <c r="D131" s="361"/>
      <c r="E131" s="361"/>
      <c r="F131" s="361"/>
      <c r="G131" s="380"/>
      <c r="H131" s="380"/>
      <c r="I131" s="380"/>
      <c r="J131" s="380"/>
      <c r="K131" s="380"/>
      <c r="L131" s="380"/>
      <c r="M131" s="381"/>
      <c r="N131" s="630"/>
      <c r="O131" s="630"/>
      <c r="P131" s="1405"/>
      <c r="Q131" s="302"/>
    </row>
    <row r="136" spans="1:17" ht="15" thickBot="1">
      <c r="B136" s="1411" t="s">
        <v>1658</v>
      </c>
    </row>
    <row r="137" spans="1:17" ht="15">
      <c r="B137" s="1412" t="s">
        <v>1659</v>
      </c>
      <c r="C137" s="1413"/>
      <c r="D137" s="1413"/>
      <c r="E137" s="1413"/>
      <c r="F137" s="1413"/>
      <c r="G137" s="1414"/>
      <c r="H137" s="1415"/>
      <c r="I137" s="1416" t="s">
        <v>1660</v>
      </c>
      <c r="J137" s="1413"/>
      <c r="K137" s="1417"/>
    </row>
    <row r="138" spans="1:17" ht="15">
      <c r="B138" s="1418"/>
      <c r="C138" s="51" t="s">
        <v>1661</v>
      </c>
      <c r="D138" s="51" t="s">
        <v>1662</v>
      </c>
      <c r="E138" s="1419" t="s">
        <v>1663</v>
      </c>
      <c r="F138" s="1420" t="s">
        <v>1664</v>
      </c>
      <c r="G138" s="51" t="s">
        <v>1662</v>
      </c>
      <c r="H138" s="52" t="s">
        <v>1663</v>
      </c>
      <c r="I138" s="1421"/>
      <c r="J138" s="51" t="s">
        <v>1665</v>
      </c>
      <c r="K138" s="52" t="s">
        <v>1666</v>
      </c>
    </row>
    <row r="139" spans="1:17" ht="15">
      <c r="B139" s="573">
        <v>6</v>
      </c>
      <c r="C139" s="574">
        <v>96</v>
      </c>
      <c r="D139" s="1422" t="s">
        <v>1667</v>
      </c>
      <c r="E139" s="575">
        <v>100</v>
      </c>
      <c r="F139" s="576">
        <v>102.5</v>
      </c>
      <c r="G139" s="1422" t="s">
        <v>1667</v>
      </c>
      <c r="H139" s="577">
        <v>105</v>
      </c>
      <c r="I139" s="1423" t="s">
        <v>1668</v>
      </c>
      <c r="J139" s="574">
        <v>20</v>
      </c>
      <c r="K139" s="578">
        <f>C145/(J139-2)</f>
        <v>4.0555555555555553E-3</v>
      </c>
    </row>
    <row r="140" spans="1:17" ht="15">
      <c r="B140" s="579">
        <v>5</v>
      </c>
      <c r="C140" s="580">
        <v>100</v>
      </c>
      <c r="D140" s="580"/>
      <c r="E140" s="581"/>
      <c r="F140" s="582">
        <v>102</v>
      </c>
      <c r="G140" s="580"/>
      <c r="H140" s="583"/>
      <c r="I140" s="1424" t="s">
        <v>1669</v>
      </c>
      <c r="J140" s="166">
        <f>ROUNDUP((J139-1)/2,0)</f>
        <v>10</v>
      </c>
      <c r="K140" s="584">
        <v>100</v>
      </c>
    </row>
    <row r="141" spans="1:17" ht="15">
      <c r="B141" s="579">
        <v>4</v>
      </c>
      <c r="C141" s="580">
        <v>102</v>
      </c>
      <c r="D141" s="580"/>
      <c r="E141" s="581"/>
      <c r="F141" s="582">
        <v>101.5</v>
      </c>
      <c r="G141" s="580"/>
      <c r="H141" s="583"/>
      <c r="I141" s="1424" t="s">
        <v>1670</v>
      </c>
      <c r="J141" s="166">
        <v>1</v>
      </c>
      <c r="K141" s="585">
        <f>ROUND(100+(J141-J140)*K139*100,1)</f>
        <v>96.4</v>
      </c>
    </row>
    <row r="142" spans="1:17" ht="15">
      <c r="B142" s="579">
        <v>3</v>
      </c>
      <c r="C142" s="580">
        <v>103</v>
      </c>
      <c r="D142" s="580"/>
      <c r="E142" s="581"/>
      <c r="F142" s="582">
        <v>101</v>
      </c>
      <c r="G142" s="580"/>
      <c r="H142" s="583"/>
      <c r="I142" s="1424" t="s">
        <v>1671</v>
      </c>
      <c r="J142" s="166">
        <f>J139</f>
        <v>20</v>
      </c>
      <c r="K142" s="586">
        <v>95</v>
      </c>
    </row>
    <row r="143" spans="1:17" ht="15">
      <c r="B143" s="579">
        <v>2</v>
      </c>
      <c r="C143" s="580">
        <v>100</v>
      </c>
      <c r="D143" s="580"/>
      <c r="E143" s="581"/>
      <c r="F143" s="582">
        <v>100.5</v>
      </c>
      <c r="G143" s="580"/>
      <c r="H143" s="583"/>
      <c r="I143" s="1424" t="s">
        <v>1672</v>
      </c>
      <c r="J143" s="580">
        <v>15</v>
      </c>
      <c r="K143" s="585">
        <f>ROUND(100+(J143-J140)*K139*100,1)</f>
        <v>102</v>
      </c>
    </row>
    <row r="144" spans="1:17" ht="15">
      <c r="B144" s="579">
        <v>1</v>
      </c>
      <c r="C144" s="580">
        <v>98</v>
      </c>
      <c r="D144" s="1425" t="s">
        <v>1673</v>
      </c>
      <c r="E144" s="581">
        <v>102</v>
      </c>
      <c r="F144" s="587">
        <v>100</v>
      </c>
      <c r="G144" s="1425" t="s">
        <v>1673</v>
      </c>
      <c r="H144" s="583">
        <v>105</v>
      </c>
      <c r="I144" s="1424" t="s">
        <v>1672</v>
      </c>
      <c r="J144" s="580">
        <v>18</v>
      </c>
      <c r="K144" s="585">
        <f>ROUND(100+(J144-J140)*K139*100,1)</f>
        <v>103.2</v>
      </c>
    </row>
    <row r="145" spans="2:11" ht="15.75" thickBot="1">
      <c r="B145" s="1426" t="s">
        <v>1674</v>
      </c>
      <c r="C145" s="588">
        <f>ROUND(MAX(C139:C144)/MIN(C139:C144)-1,3)</f>
        <v>7.2999999999999995E-2</v>
      </c>
      <c r="D145" s="589"/>
      <c r="E145" s="589"/>
      <c r="F145" s="1427" t="s">
        <v>1675</v>
      </c>
      <c r="G145" s="1428"/>
      <c r="H145" s="1429"/>
      <c r="I145" s="1430" t="s">
        <v>1672</v>
      </c>
      <c r="J145" s="590">
        <v>8</v>
      </c>
      <c r="K145" s="591">
        <f>ROUND(100+(J145-J140)*K139*100,1)</f>
        <v>99.2</v>
      </c>
    </row>
    <row r="147" spans="2:11">
      <c r="B147" s="1411" t="s">
        <v>1676</v>
      </c>
    </row>
    <row r="148" spans="2:11">
      <c r="B148" s="1411" t="s">
        <v>1677</v>
      </c>
    </row>
  </sheetData>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D1"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99"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2911" t="s">
        <v>1678</v>
      </c>
      <c r="C1" s="851" t="s">
        <v>1574</v>
      </c>
      <c r="D1" s="838"/>
      <c r="E1" s="2537"/>
      <c r="F1" s="1379"/>
      <c r="G1" s="848" t="s">
        <v>1679</v>
      </c>
      <c r="H1" s="847"/>
      <c r="I1" s="847"/>
      <c r="J1" s="847"/>
      <c r="K1" s="849"/>
      <c r="L1" s="850"/>
      <c r="M1" s="851"/>
      <c r="N1" s="851"/>
      <c r="O1" s="851"/>
      <c r="P1" s="1431"/>
      <c r="Q1" s="1432"/>
      <c r="R1" s="1432"/>
      <c r="S1" s="1432"/>
      <c r="T1" s="1432"/>
      <c r="U1" s="1432"/>
      <c r="V1" s="1432"/>
      <c r="W1" s="1432"/>
      <c r="X1" s="1432"/>
      <c r="Y1" s="1432"/>
      <c r="Z1" s="1432"/>
      <c r="AA1" s="1432"/>
      <c r="AB1" s="1432"/>
      <c r="AC1" s="1433"/>
    </row>
    <row r="2" spans="1:29" s="233" customFormat="1" ht="28.5" customHeight="1" thickTop="1" thickBot="1">
      <c r="A2" s="834" t="s">
        <v>1433</v>
      </c>
      <c r="B2" s="3828">
        <f>IF(C2="含税",D2,ROUND(D2/(1+F3),0))</f>
        <v>0</v>
      </c>
      <c r="C2" s="2861"/>
      <c r="D2" s="3851" t="b">
        <f>IF(E1="项目模式",IF(E2="——",ROUND(C49*D3/10000,0),ROUND(C49*D3/10000,0)-F2),IF(E1="单套模式",IF(E2="——",ROUND(C49*D3/10000,4),ROUND(C49*D3/10000,4)-F2)))</f>
        <v>0</v>
      </c>
      <c r="E2" s="1381"/>
      <c r="F2" s="3852" t="e">
        <f ca="1">IF(E1="项目模式",SUMIF(INDIRECT("'"&amp;H2&amp;"'"&amp;"!A:A"),"承租人权益价值",INDIRECT("'"&amp;H2&amp;"'"&amp;"!c:c")),SUMIF(INDIRECT("'"&amp;H2&amp;"'"&amp;"!A:A"),"承租人权益价值（单套）",INDIRECT("'"&amp;H2&amp;"'"&amp;"!c:c")))</f>
        <v>#REF!</v>
      </c>
      <c r="G2" s="1382" t="s">
        <v>1434</v>
      </c>
      <c r="H2" s="1383"/>
      <c r="I2" s="605"/>
      <c r="J2" s="605"/>
      <c r="K2" s="605"/>
      <c r="L2" s="2024"/>
      <c r="M2" s="2025"/>
      <c r="N2" s="2025"/>
      <c r="O2" s="2025"/>
      <c r="P2" s="1434"/>
      <c r="Q2" s="609"/>
      <c r="R2" s="609"/>
      <c r="S2" s="609"/>
      <c r="T2" s="609"/>
      <c r="U2" s="609"/>
      <c r="V2" s="609"/>
      <c r="W2" s="609"/>
      <c r="X2" s="609"/>
      <c r="Y2" s="609"/>
      <c r="Z2" s="609"/>
      <c r="AA2" s="609"/>
      <c r="AB2" s="609"/>
      <c r="AC2" s="1435"/>
    </row>
    <row r="3" spans="1:29" s="233" customFormat="1" ht="28.5" customHeight="1" thickBot="1">
      <c r="A3" s="98" t="s">
        <v>1435</v>
      </c>
      <c r="B3" s="2957">
        <f>IF(E2="——",C49,ROUND(B2*10000/D3,0))</f>
        <v>0</v>
      </c>
      <c r="C3" s="234" t="s">
        <v>1680</v>
      </c>
      <c r="D3" s="2957">
        <f>IF(D1="",'数据-汇总表'!E3,SUMIF('数据-汇总表'!$C19:$C33,D1,'数据-汇总表'!$E19:$E33))</f>
        <v>57408.26</v>
      </c>
      <c r="E3" s="3961" t="s">
        <v>3478</v>
      </c>
      <c r="F3" s="3962">
        <v>0.09</v>
      </c>
      <c r="G3" s="605"/>
      <c r="H3" s="605"/>
      <c r="I3" s="605"/>
      <c r="J3" s="605"/>
      <c r="K3" s="607"/>
      <c r="L3" s="2024"/>
      <c r="M3" s="2025"/>
      <c r="N3" s="2025"/>
      <c r="O3" s="2025"/>
      <c r="P3" s="1434"/>
      <c r="Q3" s="609"/>
      <c r="R3" s="609"/>
      <c r="S3" s="609"/>
      <c r="T3" s="609"/>
      <c r="U3" s="609"/>
      <c r="V3" s="609"/>
      <c r="W3" s="609"/>
      <c r="X3" s="609"/>
      <c r="Y3" s="609"/>
      <c r="Z3" s="609"/>
      <c r="AA3" s="609"/>
      <c r="AB3" s="609"/>
      <c r="AC3" s="1435"/>
    </row>
    <row r="4" spans="1:29" ht="15">
      <c r="A4" s="235" t="s">
        <v>1681</v>
      </c>
      <c r="B4" s="236"/>
      <c r="C4" s="4677" t="s">
        <v>1682</v>
      </c>
      <c r="D4" s="4678"/>
      <c r="E4" s="4679" t="s">
        <v>1683</v>
      </c>
      <c r="F4" s="4680"/>
      <c r="G4" s="4677" t="s">
        <v>1684</v>
      </c>
      <c r="H4" s="4678"/>
      <c r="I4" s="4677" t="s">
        <v>1685</v>
      </c>
      <c r="J4" s="4678"/>
      <c r="K4" s="2940" t="s">
        <v>1686</v>
      </c>
      <c r="L4" s="2007"/>
      <c r="M4" s="2008"/>
      <c r="N4" s="2008"/>
      <c r="O4" s="2008"/>
      <c r="P4" s="4681" t="s">
        <v>1687</v>
      </c>
      <c r="Q4" s="4682"/>
      <c r="R4" s="4667" t="s">
        <v>1683</v>
      </c>
      <c r="S4" s="4668"/>
      <c r="T4" s="4667" t="s">
        <v>1684</v>
      </c>
      <c r="U4" s="4668"/>
      <c r="V4" s="4586" t="s">
        <v>1685</v>
      </c>
      <c r="W4" s="4586"/>
      <c r="X4" s="935"/>
      <c r="Y4" s="4686" t="s">
        <v>1687</v>
      </c>
      <c r="Z4" s="4687"/>
      <c r="AA4" s="4666" t="s">
        <v>1683</v>
      </c>
      <c r="AB4" s="4691" t="s">
        <v>1684</v>
      </c>
      <c r="AC4" s="4666" t="s">
        <v>1685</v>
      </c>
    </row>
    <row r="5" spans="1:29" ht="15">
      <c r="A5" s="238"/>
      <c r="B5" s="239"/>
      <c r="C5" s="4671" t="s">
        <v>1585</v>
      </c>
      <c r="D5" s="4672"/>
      <c r="E5" s="4669" t="s">
        <v>1586</v>
      </c>
      <c r="F5" s="4670"/>
      <c r="G5" s="4671" t="s">
        <v>1587</v>
      </c>
      <c r="H5" s="4672"/>
      <c r="I5" s="4671" t="s">
        <v>1588</v>
      </c>
      <c r="J5" s="4672"/>
      <c r="K5" s="2940"/>
      <c r="L5" s="2007"/>
      <c r="M5" s="2008"/>
      <c r="N5" s="2008"/>
      <c r="O5" s="2008"/>
      <c r="P5" s="4683"/>
      <c r="Q5" s="4580"/>
      <c r="R5" s="4557"/>
      <c r="S5" s="4558"/>
      <c r="T5" s="4557"/>
      <c r="U5" s="4558"/>
      <c r="V5" s="4586"/>
      <c r="W5" s="4586"/>
      <c r="X5" s="935"/>
      <c r="Y5" s="4591"/>
      <c r="Z5" s="4592"/>
      <c r="AA5" s="4551"/>
      <c r="AB5" s="4691"/>
      <c r="AC5" s="4551"/>
    </row>
    <row r="6" spans="1:29" ht="15.75" thickBot="1">
      <c r="A6" s="240"/>
      <c r="B6" s="241"/>
      <c r="C6" s="4673" t="s">
        <v>1589</v>
      </c>
      <c r="D6" s="4674"/>
      <c r="E6" s="4675" t="s">
        <v>1589</v>
      </c>
      <c r="F6" s="4676"/>
      <c r="G6" s="4673" t="s">
        <v>1589</v>
      </c>
      <c r="H6" s="4674"/>
      <c r="I6" s="4673" t="s">
        <v>1589</v>
      </c>
      <c r="J6" s="4674"/>
      <c r="K6" s="2940" t="s">
        <v>1590</v>
      </c>
      <c r="L6" s="2007"/>
      <c r="M6" s="2008"/>
      <c r="N6" s="2008"/>
      <c r="O6" s="2008"/>
      <c r="P6" s="4684"/>
      <c r="Q6" s="4582"/>
      <c r="R6" s="4557"/>
      <c r="S6" s="4558"/>
      <c r="T6" s="4583"/>
      <c r="U6" s="4584"/>
      <c r="V6" s="4586"/>
      <c r="W6" s="4586"/>
      <c r="X6" s="935"/>
      <c r="Y6" s="4593"/>
      <c r="Z6" s="4594"/>
      <c r="AA6" s="4552"/>
      <c r="AB6" s="4691"/>
      <c r="AC6" s="4552"/>
    </row>
    <row r="7" spans="1:29" s="46" customFormat="1" ht="15.75" thickBot="1">
      <c r="A7" s="242" t="s">
        <v>1591</v>
      </c>
      <c r="B7" s="243"/>
      <c r="C7" s="244">
        <f>'数据-取费表'!B2</f>
        <v>46049</v>
      </c>
      <c r="D7" s="2963">
        <v>100</v>
      </c>
      <c r="E7" s="2917"/>
      <c r="F7" s="3831">
        <f>SUMIF(58:58,YEAR(E7)&amp;"-"&amp;MONTH(E7),59:59)</f>
        <v>0</v>
      </c>
      <c r="G7" s="2917"/>
      <c r="H7" s="3843">
        <f>SUMIF(58:58,YEAR(G7)&amp;"-"&amp;MONTH(G7),59:59)</f>
        <v>0</v>
      </c>
      <c r="I7" s="2917"/>
      <c r="J7" s="3843">
        <f>SUMIF(58:58,YEAR(I7)&amp;"-"&amp;MONTH(I7),59:59)</f>
        <v>0</v>
      </c>
      <c r="K7" s="2933"/>
      <c r="L7" s="2009"/>
      <c r="M7" s="1962"/>
      <c r="N7" s="1962"/>
      <c r="O7" s="1962"/>
      <c r="P7" s="4685" t="s">
        <v>1592</v>
      </c>
      <c r="Q7" s="4595"/>
      <c r="R7" s="3748" t="s">
        <v>13</v>
      </c>
      <c r="S7" s="3262">
        <f t="shared" ref="S7:S15" si="0">F7</f>
        <v>0</v>
      </c>
      <c r="T7" s="3748" t="s">
        <v>13</v>
      </c>
      <c r="U7" s="3262">
        <f t="shared" ref="U7:U15" si="1">H7</f>
        <v>0</v>
      </c>
      <c r="V7" s="3748" t="s">
        <v>13</v>
      </c>
      <c r="W7" s="3262">
        <f t="shared" ref="W7:W15" si="2">J7</f>
        <v>0</v>
      </c>
      <c r="X7" s="482"/>
      <c r="Y7" s="4553" t="s">
        <v>1592</v>
      </c>
      <c r="Z7" s="4554"/>
      <c r="AA7" s="28" t="e">
        <f>D7/F7</f>
        <v>#DIV/0!</v>
      </c>
      <c r="AB7" s="28" t="e">
        <f>D7/H7</f>
        <v>#DIV/0!</v>
      </c>
      <c r="AC7" s="28" t="e">
        <f>D7/J7</f>
        <v>#DIV/0!</v>
      </c>
    </row>
    <row r="8" spans="1:29" s="46" customFormat="1" ht="15.75" thickBot="1">
      <c r="A8" s="242" t="s">
        <v>1593</v>
      </c>
      <c r="B8" s="243"/>
      <c r="C8" s="246"/>
      <c r="D8" s="2963">
        <v>100</v>
      </c>
      <c r="E8" s="2889"/>
      <c r="F8" s="3831">
        <f>SUMIF(61:61,E8,62:62)-SUMIF(61:61,C8,62:62)+100</f>
        <v>100</v>
      </c>
      <c r="G8" s="2889"/>
      <c r="H8" s="3843">
        <f>SUMIF(61:61,G8,62:62)-SUMIF(61:61,C8,62:62)+100</f>
        <v>100</v>
      </c>
      <c r="I8" s="2889"/>
      <c r="J8" s="3843">
        <f>SUMIF(61:61,I8,62:62)-SUMIF(61:61,C8,62:62)+100</f>
        <v>100</v>
      </c>
      <c r="K8" s="2933"/>
      <c r="L8" s="2009"/>
      <c r="M8" s="1962"/>
      <c r="N8" s="1962"/>
      <c r="O8" s="1962"/>
      <c r="P8" s="4685" t="s">
        <v>1595</v>
      </c>
      <c r="Q8" s="4588"/>
      <c r="R8" s="3748" t="s">
        <v>13</v>
      </c>
      <c r="S8" s="3262">
        <f t="shared" si="0"/>
        <v>100</v>
      </c>
      <c r="T8" s="3748" t="s">
        <v>13</v>
      </c>
      <c r="U8" s="3262">
        <f t="shared" si="1"/>
        <v>100</v>
      </c>
      <c r="V8" s="3748" t="s">
        <v>13</v>
      </c>
      <c r="W8" s="3262">
        <f t="shared" si="2"/>
        <v>100</v>
      </c>
      <c r="X8" s="482"/>
      <c r="Y8" s="4553" t="s">
        <v>1595</v>
      </c>
      <c r="Z8" s="4554"/>
      <c r="AA8" s="28">
        <f t="shared" ref="AA8:AA46" si="3">D8/F8</f>
        <v>1</v>
      </c>
      <c r="AB8" s="28">
        <f t="shared" ref="AB8:AB46" si="4">D8/H8</f>
        <v>1</v>
      </c>
      <c r="AC8" s="28">
        <f t="shared" ref="AC8:AC46" si="5">D8/J8</f>
        <v>1</v>
      </c>
    </row>
    <row r="9" spans="1:29" s="46" customFormat="1">
      <c r="A9" s="247" t="s">
        <v>1596</v>
      </c>
      <c r="B9" s="2869" t="s">
        <v>1597</v>
      </c>
      <c r="C9" s="2890"/>
      <c r="D9" s="2964">
        <v>100</v>
      </c>
      <c r="E9" s="2918"/>
      <c r="F9" s="3832">
        <f>SUMIF(63:63,E9,64:64)-SUMIF(63:63,C9,64:64)+100</f>
        <v>100</v>
      </c>
      <c r="G9" s="2918"/>
      <c r="H9" s="3844">
        <f>SUMIF(63:63,G9,64:64)-SUMIF(63:63,C9,64:64)+100</f>
        <v>100</v>
      </c>
      <c r="I9" s="2918"/>
      <c r="J9" s="3844">
        <f>SUMIF(63:63,I9,64:64)-SUMIF(63:63,C9,64:64)+100</f>
        <v>100</v>
      </c>
      <c r="K9" s="2933"/>
      <c r="L9" s="2009"/>
      <c r="M9" s="1962"/>
      <c r="N9" s="1962"/>
      <c r="O9" s="1962"/>
      <c r="P9" s="4568" t="s">
        <v>1598</v>
      </c>
      <c r="Q9" s="1731" t="str">
        <f t="shared" ref="Q9:Q15" si="6">B9</f>
        <v>用途</v>
      </c>
      <c r="R9" s="3748" t="s">
        <v>13</v>
      </c>
      <c r="S9" s="3262">
        <f t="shared" si="0"/>
        <v>100</v>
      </c>
      <c r="T9" s="3748" t="s">
        <v>13</v>
      </c>
      <c r="U9" s="3262">
        <f t="shared" si="1"/>
        <v>100</v>
      </c>
      <c r="V9" s="3748" t="s">
        <v>13</v>
      </c>
      <c r="W9" s="3262">
        <f t="shared" si="2"/>
        <v>100</v>
      </c>
      <c r="X9" s="482"/>
      <c r="Y9" s="4569" t="s">
        <v>1599</v>
      </c>
      <c r="Z9" s="28" t="str">
        <f t="shared" ref="Z9:Z15" si="7">Q9</f>
        <v>用途</v>
      </c>
      <c r="AA9" s="28">
        <f t="shared" si="3"/>
        <v>1</v>
      </c>
      <c r="AB9" s="28">
        <f t="shared" si="4"/>
        <v>1</v>
      </c>
      <c r="AC9" s="28">
        <f t="shared" si="5"/>
        <v>1</v>
      </c>
    </row>
    <row r="10" spans="1:29" s="253" customFormat="1" ht="27">
      <c r="A10" s="251"/>
      <c r="B10" s="2866" t="s">
        <v>1600</v>
      </c>
      <c r="C10" s="2891"/>
      <c r="D10" s="2965">
        <v>100</v>
      </c>
      <c r="E10" s="2919"/>
      <c r="F10" s="3833">
        <f>SUMIF(65:65,E10,66:66)-SUMIF(65:65,C10,66:66)+100</f>
        <v>100</v>
      </c>
      <c r="G10" s="2891"/>
      <c r="H10" s="3845">
        <f>SUMIF(65:65,G10,66:66)-SUMIF(65:65,C10,66:66)+100</f>
        <v>100</v>
      </c>
      <c r="I10" s="2891"/>
      <c r="J10" s="3845">
        <f>SUMIF(65:65,I10,66:66)-SUMIF(65:65,C10,66:66)+100</f>
        <v>100</v>
      </c>
      <c r="K10" s="2933"/>
      <c r="L10" s="2010"/>
      <c r="M10" s="2011"/>
      <c r="N10" s="2011"/>
      <c r="O10" s="2011"/>
      <c r="P10" s="4568"/>
      <c r="Q10" s="1731" t="str">
        <f t="shared" si="6"/>
        <v>土地使用年限（年）</v>
      </c>
      <c r="R10" s="3748" t="s">
        <v>13</v>
      </c>
      <c r="S10" s="3262">
        <f t="shared" si="0"/>
        <v>100</v>
      </c>
      <c r="T10" s="3748" t="s">
        <v>13</v>
      </c>
      <c r="U10" s="3262">
        <f t="shared" si="1"/>
        <v>100</v>
      </c>
      <c r="V10" s="3748" t="s">
        <v>13</v>
      </c>
      <c r="W10" s="3262">
        <f t="shared" si="2"/>
        <v>100</v>
      </c>
      <c r="X10" s="482"/>
      <c r="Y10" s="4569"/>
      <c r="Z10" s="28" t="str">
        <f t="shared" si="7"/>
        <v>土地使用年限（年）</v>
      </c>
      <c r="AA10" s="28">
        <f t="shared" si="3"/>
        <v>1</v>
      </c>
      <c r="AB10" s="28">
        <f t="shared" si="4"/>
        <v>1</v>
      </c>
      <c r="AC10" s="28">
        <f t="shared" si="5"/>
        <v>1</v>
      </c>
    </row>
    <row r="11" spans="1:29" ht="15">
      <c r="A11" s="254"/>
      <c r="B11" s="2866" t="s">
        <v>1601</v>
      </c>
      <c r="C11" s="2892"/>
      <c r="D11" s="2965">
        <v>100</v>
      </c>
      <c r="E11" s="2920"/>
      <c r="F11" s="3833">
        <f>LOOKUP(E11,68:68,69:69)-LOOKUP(C11,68:68,69:69)+100</f>
        <v>100</v>
      </c>
      <c r="G11" s="2892"/>
      <c r="H11" s="3845">
        <f>LOOKUP(G11,68:68,69:69)-LOOKUP(C11,68:68,69:69)+100</f>
        <v>100</v>
      </c>
      <c r="I11" s="2892"/>
      <c r="J11" s="3845">
        <f>LOOKUP(I11,68:68,69:69)-LOOKUP(C11,68:68,69:69)+100</f>
        <v>100</v>
      </c>
      <c r="K11" s="2934"/>
      <c r="L11" s="2012"/>
      <c r="M11" s="2008"/>
      <c r="N11" s="2008"/>
      <c r="O11" s="2008"/>
      <c r="P11" s="4568"/>
      <c r="Q11" s="1731" t="str">
        <f t="shared" si="6"/>
        <v>容积率</v>
      </c>
      <c r="R11" s="3748" t="s">
        <v>13</v>
      </c>
      <c r="S11" s="3262">
        <f t="shared" si="0"/>
        <v>100</v>
      </c>
      <c r="T11" s="3748" t="s">
        <v>13</v>
      </c>
      <c r="U11" s="3262">
        <f t="shared" si="1"/>
        <v>100</v>
      </c>
      <c r="V11" s="3748" t="s">
        <v>13</v>
      </c>
      <c r="W11" s="3262">
        <f t="shared" si="2"/>
        <v>100</v>
      </c>
      <c r="X11" s="482"/>
      <c r="Y11" s="4569"/>
      <c r="Z11" s="28" t="str">
        <f t="shared" si="7"/>
        <v>容积率</v>
      </c>
      <c r="AA11" s="28">
        <f t="shared" si="3"/>
        <v>1</v>
      </c>
      <c r="AB11" s="28">
        <f t="shared" si="4"/>
        <v>1</v>
      </c>
      <c r="AC11" s="28">
        <f t="shared" si="5"/>
        <v>1</v>
      </c>
    </row>
    <row r="12" spans="1:29" s="46" customFormat="1" ht="15">
      <c r="A12" s="257"/>
      <c r="B12" s="2870">
        <v>111</v>
      </c>
      <c r="C12" s="2893"/>
      <c r="D12" s="2966">
        <v>100</v>
      </c>
      <c r="E12" s="2894"/>
      <c r="F12" s="3833">
        <f>SUMIF(70:70,E12,71:71)-SUMIF(70:70,C12,71:71)+100</f>
        <v>100</v>
      </c>
      <c r="G12" s="2894"/>
      <c r="H12" s="3845">
        <f>SUMIF(70:70,G12,71:71)-SUMIF(70:70,C12,71:71)+100</f>
        <v>100</v>
      </c>
      <c r="I12" s="2894"/>
      <c r="J12" s="3845">
        <f>SUMIF(70:70,I12,71:71)-SUMIF(70:70,C12,71:71)+100</f>
        <v>100</v>
      </c>
      <c r="K12" s="2935"/>
      <c r="L12" s="2009"/>
      <c r="M12" s="1962"/>
      <c r="N12" s="1962"/>
      <c r="O12" s="1962"/>
      <c r="P12" s="4568"/>
      <c r="Q12" s="1731">
        <f t="shared" si="6"/>
        <v>111</v>
      </c>
      <c r="R12" s="3748" t="s">
        <v>13</v>
      </c>
      <c r="S12" s="3262">
        <f t="shared" si="0"/>
        <v>100</v>
      </c>
      <c r="T12" s="3748" t="s">
        <v>13</v>
      </c>
      <c r="U12" s="3262">
        <f t="shared" si="1"/>
        <v>100</v>
      </c>
      <c r="V12" s="3748" t="s">
        <v>13</v>
      </c>
      <c r="W12" s="3262">
        <f t="shared" si="2"/>
        <v>100</v>
      </c>
      <c r="X12" s="482"/>
      <c r="Y12" s="4569"/>
      <c r="Z12" s="28">
        <f t="shared" si="7"/>
        <v>111</v>
      </c>
      <c r="AA12" s="28">
        <f>D12/F12</f>
        <v>1</v>
      </c>
      <c r="AB12" s="28">
        <f>D12/H12</f>
        <v>1</v>
      </c>
      <c r="AC12" s="28">
        <f>D12/J12</f>
        <v>1</v>
      </c>
    </row>
    <row r="13" spans="1:29" ht="15">
      <c r="A13" s="254"/>
      <c r="B13" s="2870">
        <v>111</v>
      </c>
      <c r="C13" s="2894"/>
      <c r="D13" s="2967">
        <v>100</v>
      </c>
      <c r="E13" s="2894"/>
      <c r="F13" s="3833">
        <f>SUMIF(72:72,E13,73:73)-SUMIF(72:72,C13,73:73)+100</f>
        <v>100</v>
      </c>
      <c r="G13" s="2894"/>
      <c r="H13" s="3839">
        <f>SUMIF(72:72,G13,73:73)-SUMIF(72:72,C13,73:73)+100</f>
        <v>100</v>
      </c>
      <c r="I13" s="2894"/>
      <c r="J13" s="3839">
        <f>SUMIF(72:72,I13,73:73)-SUMIF(72:72,C13,73:73)+100</f>
        <v>100</v>
      </c>
      <c r="K13" s="2935"/>
      <c r="L13" s="2013"/>
      <c r="M13" s="2008"/>
      <c r="N13" s="2008"/>
      <c r="O13" s="2008"/>
      <c r="P13" s="4568"/>
      <c r="Q13" s="1731">
        <f t="shared" si="6"/>
        <v>111</v>
      </c>
      <c r="R13" s="3748" t="s">
        <v>13</v>
      </c>
      <c r="S13" s="3262">
        <f t="shared" si="0"/>
        <v>100</v>
      </c>
      <c r="T13" s="3748" t="s">
        <v>13</v>
      </c>
      <c r="U13" s="3262">
        <f t="shared" si="1"/>
        <v>100</v>
      </c>
      <c r="V13" s="3748" t="s">
        <v>13</v>
      </c>
      <c r="W13" s="3262">
        <f t="shared" si="2"/>
        <v>100</v>
      </c>
      <c r="X13" s="482"/>
      <c r="Y13" s="4569"/>
      <c r="Z13" s="28">
        <f t="shared" si="7"/>
        <v>111</v>
      </c>
      <c r="AA13" s="28">
        <f t="shared" si="3"/>
        <v>1</v>
      </c>
      <c r="AB13" s="28">
        <f t="shared" si="4"/>
        <v>1</v>
      </c>
      <c r="AC13" s="28">
        <f t="shared" si="5"/>
        <v>1</v>
      </c>
    </row>
    <row r="14" spans="1:29" ht="15.75" thickBot="1">
      <c r="A14" s="260"/>
      <c r="B14" s="2871">
        <v>111</v>
      </c>
      <c r="C14" s="2895"/>
      <c r="D14" s="2968">
        <v>100</v>
      </c>
      <c r="E14" s="2894"/>
      <c r="F14" s="3834">
        <f>SUMIF(74:74,E14,75:75)-SUMIF(74:74,C14,75:75)+100</f>
        <v>100</v>
      </c>
      <c r="G14" s="2894"/>
      <c r="H14" s="3841">
        <f>SUMIF(74:74,G14,75:75)-SUMIF(74:74,C14,75:75)+100</f>
        <v>100</v>
      </c>
      <c r="I14" s="2894"/>
      <c r="J14" s="3841">
        <f>SUMIF(74:74,I14,75:75)-SUMIF(74:74,C14,75:75)+100</f>
        <v>100</v>
      </c>
      <c r="K14" s="2935"/>
      <c r="L14" s="2013"/>
      <c r="M14" s="2008"/>
      <c r="N14" s="2008"/>
      <c r="O14" s="2008"/>
      <c r="P14" s="4568"/>
      <c r="Q14" s="1731">
        <f t="shared" si="6"/>
        <v>111</v>
      </c>
      <c r="R14" s="3748" t="s">
        <v>13</v>
      </c>
      <c r="S14" s="3262">
        <f t="shared" si="0"/>
        <v>100</v>
      </c>
      <c r="T14" s="3748" t="s">
        <v>13</v>
      </c>
      <c r="U14" s="3262">
        <f t="shared" si="1"/>
        <v>100</v>
      </c>
      <c r="V14" s="3748" t="s">
        <v>13</v>
      </c>
      <c r="W14" s="3262">
        <f t="shared" si="2"/>
        <v>100</v>
      </c>
      <c r="X14" s="482"/>
      <c r="Y14" s="4569"/>
      <c r="Z14" s="28">
        <f t="shared" si="7"/>
        <v>111</v>
      </c>
      <c r="AA14" s="28">
        <f t="shared" si="3"/>
        <v>1</v>
      </c>
      <c r="AB14" s="28">
        <f t="shared" si="4"/>
        <v>1</v>
      </c>
      <c r="AC14" s="28">
        <f t="shared" si="5"/>
        <v>1</v>
      </c>
    </row>
    <row r="15" spans="1:29" ht="15">
      <c r="A15" s="262" t="s">
        <v>1602</v>
      </c>
      <c r="B15" s="2872" t="s">
        <v>1689</v>
      </c>
      <c r="C15" s="2896">
        <f>估价对象房地状况!C4</f>
        <v>0</v>
      </c>
      <c r="D15" s="2969">
        <v>100</v>
      </c>
      <c r="E15" s="2921"/>
      <c r="F15" s="3853">
        <f>SUMIF(76:76,E16,77:77)-SUMIF(76:76,C16,77:77)+100</f>
        <v>100</v>
      </c>
      <c r="G15" s="2927"/>
      <c r="H15" s="3835">
        <f>SUMIF(76:76,G16,77:77)-SUMIF(76:76,C16,77:77)+100</f>
        <v>100</v>
      </c>
      <c r="I15" s="2921"/>
      <c r="J15" s="3835">
        <f>SUMIF(76:76,I16,77:77)-SUMIF(76:76,C16,77:77)+100</f>
        <v>100</v>
      </c>
      <c r="K15" s="2936"/>
      <c r="L15" s="2013"/>
      <c r="M15" s="2008"/>
      <c r="N15" s="2008"/>
      <c r="O15" s="2008"/>
      <c r="P15" s="4596" t="s">
        <v>1603</v>
      </c>
      <c r="Q15" s="1533" t="str">
        <f t="shared" si="6"/>
        <v>商业繁华度</v>
      </c>
      <c r="R15" s="3849" t="s">
        <v>13</v>
      </c>
      <c r="S15" s="3263">
        <f t="shared" si="0"/>
        <v>100</v>
      </c>
      <c r="T15" s="3849" t="s">
        <v>13</v>
      </c>
      <c r="U15" s="3263">
        <f t="shared" si="1"/>
        <v>100</v>
      </c>
      <c r="V15" s="3849" t="s">
        <v>13</v>
      </c>
      <c r="W15" s="3263">
        <f t="shared" si="2"/>
        <v>100</v>
      </c>
      <c r="X15" s="935"/>
      <c r="Y15" s="4598" t="s">
        <v>1603</v>
      </c>
      <c r="Z15" s="933" t="str">
        <f t="shared" si="7"/>
        <v>商业繁华度</v>
      </c>
      <c r="AA15" s="933">
        <f t="shared" si="3"/>
        <v>1</v>
      </c>
      <c r="AB15" s="933">
        <f t="shared" si="4"/>
        <v>1</v>
      </c>
      <c r="AC15" s="933">
        <f t="shared" si="5"/>
        <v>1</v>
      </c>
    </row>
    <row r="16" spans="1:29" ht="15">
      <c r="A16" s="254"/>
      <c r="B16" s="2873"/>
      <c r="C16" s="2897"/>
      <c r="D16" s="2970"/>
      <c r="E16" s="2897"/>
      <c r="F16" s="3854"/>
      <c r="G16" s="2897"/>
      <c r="H16" s="3837"/>
      <c r="I16" s="2897"/>
      <c r="J16" s="3836"/>
      <c r="K16" s="2937"/>
      <c r="L16" s="2013"/>
      <c r="M16" s="2008"/>
      <c r="N16" s="2008"/>
      <c r="O16" s="2008"/>
      <c r="P16" s="4597"/>
      <c r="Q16" s="1533"/>
      <c r="R16" s="3849"/>
      <c r="S16" s="3263"/>
      <c r="T16" s="3849"/>
      <c r="U16" s="3263"/>
      <c r="V16" s="3849"/>
      <c r="W16" s="3263"/>
      <c r="X16" s="935"/>
      <c r="Y16" s="4599"/>
      <c r="Z16" s="933"/>
      <c r="AA16" s="933">
        <v>1</v>
      </c>
      <c r="AB16" s="933">
        <v>1</v>
      </c>
      <c r="AC16" s="933">
        <v>1</v>
      </c>
    </row>
    <row r="17" spans="1:29" ht="15">
      <c r="A17" s="254"/>
      <c r="B17" s="2874" t="s">
        <v>1239</v>
      </c>
      <c r="C17" s="2898">
        <f>估价对象房地状况!C6</f>
        <v>0</v>
      </c>
      <c r="D17" s="2971">
        <v>100</v>
      </c>
      <c r="E17" s="2922"/>
      <c r="F17" s="3855">
        <f>SUMIF(78:78,E18,79:79)-SUMIF(78:78,C18,79:79)+100</f>
        <v>100</v>
      </c>
      <c r="G17" s="2928"/>
      <c r="H17" s="3838">
        <f>SUMIF(78:78,G18,79:79)-SUMIF(78:78,C18,79:79)+100</f>
        <v>100</v>
      </c>
      <c r="I17" s="2922"/>
      <c r="J17" s="3838">
        <f>SUMIF(78:78,I18,79:79)-SUMIF(78:78,C18,79:79)+100</f>
        <v>100</v>
      </c>
      <c r="K17" s="2936"/>
      <c r="L17" s="2013"/>
      <c r="M17" s="2008"/>
      <c r="N17" s="2008"/>
      <c r="O17" s="2008"/>
      <c r="P17" s="4597"/>
      <c r="Q17" s="1533" t="str">
        <f>B17</f>
        <v>交通便捷度</v>
      </c>
      <c r="R17" s="3849" t="s">
        <v>13</v>
      </c>
      <c r="S17" s="3263">
        <f>F17</f>
        <v>100</v>
      </c>
      <c r="T17" s="3849" t="s">
        <v>13</v>
      </c>
      <c r="U17" s="3263">
        <f>H17</f>
        <v>100</v>
      </c>
      <c r="V17" s="3849" t="s">
        <v>13</v>
      </c>
      <c r="W17" s="3263">
        <f>J17</f>
        <v>100</v>
      </c>
      <c r="X17" s="935"/>
      <c r="Y17" s="4599"/>
      <c r="Z17" s="933" t="str">
        <f>Q17</f>
        <v>交通便捷度</v>
      </c>
      <c r="AA17" s="933">
        <f t="shared" si="3"/>
        <v>1</v>
      </c>
      <c r="AB17" s="933">
        <f t="shared" si="4"/>
        <v>1</v>
      </c>
      <c r="AC17" s="933">
        <f t="shared" si="5"/>
        <v>1</v>
      </c>
    </row>
    <row r="18" spans="1:29" ht="15">
      <c r="A18" s="254"/>
      <c r="B18" s="2875"/>
      <c r="C18" s="2899"/>
      <c r="D18" s="2971"/>
      <c r="E18" s="2923"/>
      <c r="F18" s="3855"/>
      <c r="G18" s="2929"/>
      <c r="H18" s="3836"/>
      <c r="I18" s="2923"/>
      <c r="J18" s="3836"/>
      <c r="K18" s="2937"/>
      <c r="L18" s="2013"/>
      <c r="M18" s="2008"/>
      <c r="N18" s="2008"/>
      <c r="O18" s="2008"/>
      <c r="P18" s="4597"/>
      <c r="Q18" s="1533"/>
      <c r="R18" s="3849"/>
      <c r="S18" s="3263"/>
      <c r="T18" s="3849"/>
      <c r="U18" s="3263"/>
      <c r="V18" s="3849"/>
      <c r="W18" s="3263"/>
      <c r="X18" s="935"/>
      <c r="Y18" s="4599"/>
      <c r="Z18" s="933"/>
      <c r="AA18" s="933">
        <v>1</v>
      </c>
      <c r="AB18" s="933">
        <v>1</v>
      </c>
      <c r="AC18" s="933">
        <v>1</v>
      </c>
    </row>
    <row r="19" spans="1:29" ht="15">
      <c r="A19" s="254"/>
      <c r="B19" s="2874" t="s">
        <v>1690</v>
      </c>
      <c r="C19" s="2898">
        <f>估价对象房地状况!C7</f>
        <v>0</v>
      </c>
      <c r="D19" s="2972">
        <v>100</v>
      </c>
      <c r="E19" s="2924"/>
      <c r="F19" s="3856">
        <f>SUMIF(80:80,E20,81:81)-SUMIF(80:80,C20,81:81)+100</f>
        <v>100</v>
      </c>
      <c r="G19" s="2930"/>
      <c r="H19" s="3837">
        <f>SUMIF(80:80,G20,81:81)-SUMIF(80:80,C20,81:81)+100</f>
        <v>100</v>
      </c>
      <c r="I19" s="2924"/>
      <c r="J19" s="3837">
        <f>SUMIF(80:80,I20,81:81)-SUMIF(80:80,C20,81:81)+100</f>
        <v>100</v>
      </c>
      <c r="K19" s="2936"/>
      <c r="L19" s="2013"/>
      <c r="M19" s="2008"/>
      <c r="N19" s="2008"/>
      <c r="O19" s="2008"/>
      <c r="P19" s="4597"/>
      <c r="Q19" s="1533" t="str">
        <f>B19</f>
        <v>公共配套设施</v>
      </c>
      <c r="R19" s="3849" t="s">
        <v>13</v>
      </c>
      <c r="S19" s="3263">
        <f>F19</f>
        <v>100</v>
      </c>
      <c r="T19" s="3849" t="s">
        <v>13</v>
      </c>
      <c r="U19" s="3263">
        <f>H19</f>
        <v>100</v>
      </c>
      <c r="V19" s="3849" t="s">
        <v>13</v>
      </c>
      <c r="W19" s="3263">
        <f>J19</f>
        <v>100</v>
      </c>
      <c r="X19" s="935"/>
      <c r="Y19" s="4599"/>
      <c r="Z19" s="933" t="str">
        <f>Q19</f>
        <v>公共配套设施</v>
      </c>
      <c r="AA19" s="933">
        <f t="shared" si="3"/>
        <v>1</v>
      </c>
      <c r="AB19" s="933">
        <f t="shared" si="4"/>
        <v>1</v>
      </c>
      <c r="AC19" s="933">
        <f t="shared" si="5"/>
        <v>1</v>
      </c>
    </row>
    <row r="20" spans="1:29" ht="15">
      <c r="A20" s="254"/>
      <c r="B20" s="2875"/>
      <c r="C20" s="2897"/>
      <c r="D20" s="2970"/>
      <c r="E20" s="2925"/>
      <c r="F20" s="3854"/>
      <c r="G20" s="2931"/>
      <c r="H20" s="3836"/>
      <c r="I20" s="2925"/>
      <c r="J20" s="3836"/>
      <c r="K20" s="2937"/>
      <c r="L20" s="2013"/>
      <c r="M20" s="2008"/>
      <c r="N20" s="2008"/>
      <c r="O20" s="2008"/>
      <c r="P20" s="4597"/>
      <c r="Q20" s="1533"/>
      <c r="R20" s="3849"/>
      <c r="S20" s="3263"/>
      <c r="T20" s="3849"/>
      <c r="U20" s="3263"/>
      <c r="V20" s="3849"/>
      <c r="W20" s="3263"/>
      <c r="X20" s="935"/>
      <c r="Y20" s="4599"/>
      <c r="Z20" s="933"/>
      <c r="AA20" s="933">
        <v>1</v>
      </c>
      <c r="AB20" s="933">
        <v>1</v>
      </c>
      <c r="AC20" s="933">
        <v>1</v>
      </c>
    </row>
    <row r="21" spans="1:29" ht="15">
      <c r="A21" s="254"/>
      <c r="B21" s="2876" t="s">
        <v>1691</v>
      </c>
      <c r="C21" s="2898">
        <f>估价对象房地状况!C8</f>
        <v>0</v>
      </c>
      <c r="D21" s="2972">
        <v>100</v>
      </c>
      <c r="E21" s="2924"/>
      <c r="F21" s="3856">
        <f>SUMIF(82:82,E22,83:83)-SUMIF(82:82,C22,83:83)+100</f>
        <v>100</v>
      </c>
      <c r="G21" s="2930"/>
      <c r="H21" s="3837">
        <f>SUMIF(82:82,G22,83:83)-SUMIF(82:82,C22,83:83)+100</f>
        <v>100</v>
      </c>
      <c r="I21" s="2924"/>
      <c r="J21" s="3837">
        <f>SUMIF(82:82,I22,83:83)-SUMIF(82:82,C22,83:83)+100</f>
        <v>100</v>
      </c>
      <c r="K21" s="2936"/>
      <c r="L21" s="2013"/>
      <c r="M21" s="2008"/>
      <c r="N21" s="2008"/>
      <c r="O21" s="2008"/>
      <c r="P21" s="4597"/>
      <c r="Q21" s="1533" t="str">
        <f>B21</f>
        <v>基础设施水平</v>
      </c>
      <c r="R21" s="3849" t="s">
        <v>13</v>
      </c>
      <c r="S21" s="3263">
        <f>F21</f>
        <v>100</v>
      </c>
      <c r="T21" s="3849" t="s">
        <v>13</v>
      </c>
      <c r="U21" s="3263">
        <f>H21</f>
        <v>100</v>
      </c>
      <c r="V21" s="3849" t="s">
        <v>13</v>
      </c>
      <c r="W21" s="3263">
        <f>J21</f>
        <v>100</v>
      </c>
      <c r="X21" s="935"/>
      <c r="Y21" s="4599"/>
      <c r="Z21" s="933" t="str">
        <f>Q21</f>
        <v>基础设施水平</v>
      </c>
      <c r="AA21" s="933">
        <f t="shared" ref="AA21" si="8">D21/F21</f>
        <v>1</v>
      </c>
      <c r="AB21" s="933">
        <f t="shared" ref="AB21" si="9">D21/H21</f>
        <v>1</v>
      </c>
      <c r="AC21" s="933">
        <f t="shared" ref="AC21" si="10">D21/J21</f>
        <v>1</v>
      </c>
    </row>
    <row r="22" spans="1:29" ht="15">
      <c r="A22" s="254"/>
      <c r="B22" s="2876"/>
      <c r="C22" s="2899"/>
      <c r="D22" s="2970"/>
      <c r="E22" s="2897"/>
      <c r="F22" s="3854"/>
      <c r="G22" s="2897"/>
      <c r="H22" s="3836"/>
      <c r="I22" s="2897"/>
      <c r="J22" s="3836"/>
      <c r="K22" s="2938"/>
      <c r="L22" s="2013"/>
      <c r="M22" s="2008"/>
      <c r="N22" s="2008"/>
      <c r="O22" s="2008"/>
      <c r="P22" s="4597"/>
      <c r="Q22" s="1533"/>
      <c r="R22" s="3849"/>
      <c r="S22" s="3263"/>
      <c r="T22" s="3849"/>
      <c r="U22" s="3263"/>
      <c r="V22" s="3849"/>
      <c r="W22" s="3263"/>
      <c r="X22" s="935"/>
      <c r="Y22" s="4599"/>
      <c r="Z22" s="933"/>
      <c r="AA22" s="933">
        <v>1</v>
      </c>
      <c r="AB22" s="933">
        <v>1</v>
      </c>
      <c r="AC22" s="933">
        <v>1</v>
      </c>
    </row>
    <row r="23" spans="1:29" ht="15">
      <c r="A23" s="254"/>
      <c r="B23" s="2874" t="s">
        <v>1241</v>
      </c>
      <c r="C23" s="2912">
        <f>估价对象房地状况!C9</f>
        <v>0</v>
      </c>
      <c r="D23" s="2971">
        <v>100</v>
      </c>
      <c r="E23" s="2922"/>
      <c r="F23" s="3855">
        <f>SUMIF(84:84,E24,85:85)-SUMIF(84:84,C24,85:85)+100</f>
        <v>100</v>
      </c>
      <c r="G23" s="2928"/>
      <c r="H23" s="3837">
        <f>SUMIF(84:84,G24,85:85)-SUMIF(84:84,C24,85:85)+100</f>
        <v>100</v>
      </c>
      <c r="I23" s="2922"/>
      <c r="J23" s="3837">
        <f>SUMIF(84:84,I24,85:85)-SUMIF(84:84,C24,85:85)+100</f>
        <v>100</v>
      </c>
      <c r="K23" s="2936"/>
      <c r="L23" s="2013"/>
      <c r="M23" s="2008"/>
      <c r="N23" s="2008"/>
      <c r="O23" s="2008"/>
      <c r="P23" s="4597"/>
      <c r="Q23" s="1533" t="str">
        <f>B23</f>
        <v>自然及人文环境</v>
      </c>
      <c r="R23" s="3849" t="s">
        <v>13</v>
      </c>
      <c r="S23" s="3263">
        <f>F23</f>
        <v>100</v>
      </c>
      <c r="T23" s="3849" t="s">
        <v>13</v>
      </c>
      <c r="U23" s="3263">
        <f>H23</f>
        <v>100</v>
      </c>
      <c r="V23" s="3849" t="s">
        <v>13</v>
      </c>
      <c r="W23" s="3263">
        <f>J23</f>
        <v>100</v>
      </c>
      <c r="X23" s="935"/>
      <c r="Y23" s="4599"/>
      <c r="Z23" s="933" t="str">
        <f>Q23</f>
        <v>自然及人文环境</v>
      </c>
      <c r="AA23" s="933">
        <f t="shared" si="3"/>
        <v>1</v>
      </c>
      <c r="AB23" s="933">
        <f t="shared" si="4"/>
        <v>1</v>
      </c>
      <c r="AC23" s="933">
        <f t="shared" si="5"/>
        <v>1</v>
      </c>
    </row>
    <row r="24" spans="1:29" ht="15">
      <c r="A24" s="254"/>
      <c r="B24" s="2875"/>
      <c r="C24" s="2897"/>
      <c r="D24" s="2970"/>
      <c r="E24" s="2925"/>
      <c r="F24" s="3854"/>
      <c r="G24" s="2931"/>
      <c r="H24" s="3836"/>
      <c r="I24" s="2925"/>
      <c r="J24" s="3836"/>
      <c r="K24" s="2937"/>
      <c r="L24" s="2013"/>
      <c r="M24" s="2008"/>
      <c r="N24" s="2008"/>
      <c r="O24" s="2008"/>
      <c r="P24" s="4597"/>
      <c r="Q24" s="1533"/>
      <c r="R24" s="3849"/>
      <c r="S24" s="3263"/>
      <c r="T24" s="3849"/>
      <c r="U24" s="3263"/>
      <c r="V24" s="3849"/>
      <c r="W24" s="3263"/>
      <c r="X24" s="935"/>
      <c r="Y24" s="4599"/>
      <c r="Z24" s="933"/>
      <c r="AA24" s="933">
        <v>1</v>
      </c>
      <c r="AB24" s="933">
        <v>1</v>
      </c>
      <c r="AC24" s="933">
        <v>1</v>
      </c>
    </row>
    <row r="25" spans="1:29" ht="15">
      <c r="A25" s="254"/>
      <c r="B25" s="2866" t="s">
        <v>1692</v>
      </c>
      <c r="C25" s="2913"/>
      <c r="D25" s="2967">
        <v>100</v>
      </c>
      <c r="E25" s="2913"/>
      <c r="F25" s="3842">
        <f>SUMIF(86:86,E25,87:87)-SUMIF(86:86,C25,87:87)+100</f>
        <v>100</v>
      </c>
      <c r="G25" s="2913"/>
      <c r="H25" s="3839">
        <f>SUMIF(86:86,G25,87:87)-SUMIF(86:86,C25,87:87)+100</f>
        <v>100</v>
      </c>
      <c r="I25" s="2913"/>
      <c r="J25" s="3839">
        <f>SUMIF(86:86,I25,87:87)-SUMIF(86:86,C25,87:87)+100</f>
        <v>100</v>
      </c>
      <c r="K25" s="2934"/>
      <c r="L25" s="2013"/>
      <c r="M25" s="2008"/>
      <c r="N25" s="2008"/>
      <c r="O25" s="2008"/>
      <c r="P25" s="4597"/>
      <c r="Q25" s="1533" t="str">
        <f t="shared" ref="Q25:Q46" si="11">B25</f>
        <v>临街状况</v>
      </c>
      <c r="R25" s="3849" t="s">
        <v>13</v>
      </c>
      <c r="S25" s="3263">
        <f>F25</f>
        <v>100</v>
      </c>
      <c r="T25" s="3849" t="s">
        <v>13</v>
      </c>
      <c r="U25" s="3263">
        <f>H25</f>
        <v>100</v>
      </c>
      <c r="V25" s="3849" t="s">
        <v>13</v>
      </c>
      <c r="W25" s="3263">
        <f>J25</f>
        <v>100</v>
      </c>
      <c r="X25" s="935"/>
      <c r="Y25" s="4599"/>
      <c r="Z25" s="933" t="str">
        <f>Q25</f>
        <v>临街状况</v>
      </c>
      <c r="AA25" s="933">
        <f t="shared" si="3"/>
        <v>1</v>
      </c>
      <c r="AB25" s="933">
        <f t="shared" si="4"/>
        <v>1</v>
      </c>
      <c r="AC25" s="933">
        <f t="shared" si="5"/>
        <v>1</v>
      </c>
    </row>
    <row r="26" spans="1:29" ht="15">
      <c r="A26" s="254"/>
      <c r="B26" s="2877" t="s">
        <v>1693</v>
      </c>
      <c r="C26" s="2894"/>
      <c r="D26" s="2967">
        <v>100</v>
      </c>
      <c r="E26" s="2894"/>
      <c r="F26" s="3842">
        <f>SUMIF(88:88,E26,89:89)-SUMIF(88:88,C26,89:89)+100</f>
        <v>100</v>
      </c>
      <c r="G26" s="2894"/>
      <c r="H26" s="3839">
        <f>SUMIF(88:88,G26,89:89)-SUMIF(88:88,C26,89:89)+100</f>
        <v>100</v>
      </c>
      <c r="I26" s="2894"/>
      <c r="J26" s="3839">
        <f>SUMIF(88:88,I26,89:89)-SUMIF(88:88,C26,89:89)+100</f>
        <v>100</v>
      </c>
      <c r="K26" s="2935"/>
      <c r="L26" s="2013"/>
      <c r="M26" s="2008"/>
      <c r="N26" s="2008"/>
      <c r="O26" s="2008"/>
      <c r="P26" s="4597"/>
      <c r="Q26" s="1533" t="str">
        <f t="shared" si="11"/>
        <v>平面位置/可视性</v>
      </c>
      <c r="R26" s="3849" t="s">
        <v>13</v>
      </c>
      <c r="S26" s="3263">
        <f>F26</f>
        <v>100</v>
      </c>
      <c r="T26" s="3849" t="s">
        <v>13</v>
      </c>
      <c r="U26" s="3263">
        <f>H26</f>
        <v>100</v>
      </c>
      <c r="V26" s="3849" t="s">
        <v>13</v>
      </c>
      <c r="W26" s="3263">
        <f>J26</f>
        <v>100</v>
      </c>
      <c r="X26" s="935"/>
      <c r="Y26" s="4599"/>
      <c r="Z26" s="933" t="str">
        <f>Q26</f>
        <v>平面位置/可视性</v>
      </c>
      <c r="AA26" s="933">
        <f t="shared" si="3"/>
        <v>1</v>
      </c>
      <c r="AB26" s="933">
        <f t="shared" si="4"/>
        <v>1</v>
      </c>
      <c r="AC26" s="933">
        <f t="shared" si="5"/>
        <v>1</v>
      </c>
    </row>
    <row r="27" spans="1:29" s="46" customFormat="1" ht="15">
      <c r="A27" s="257"/>
      <c r="B27" s="2874" t="s">
        <v>1694</v>
      </c>
      <c r="C27" s="2914"/>
      <c r="D27" s="2973">
        <v>100</v>
      </c>
      <c r="E27" s="2914"/>
      <c r="F27" s="3857">
        <f>SUMIF(90:90,E27,91:91)-SUMIF(90:90,C27,91:91)+100</f>
        <v>100</v>
      </c>
      <c r="G27" s="2914"/>
      <c r="H27" s="3840">
        <f>SUMIF(90:90,G27,91:91)-SUMIF(90:90,C27,91:91)+100</f>
        <v>100</v>
      </c>
      <c r="I27" s="2914"/>
      <c r="J27" s="3840">
        <f>SUMIF(90:90,I27,91:91)-SUMIF(90:90,C27,91:91)+100</f>
        <v>100</v>
      </c>
      <c r="K27" s="2934"/>
      <c r="L27" s="2009"/>
      <c r="M27" s="1962"/>
      <c r="N27" s="1962"/>
      <c r="O27" s="1962"/>
      <c r="P27" s="4597"/>
      <c r="Q27" s="1731" t="str">
        <f t="shared" si="11"/>
        <v>人流量</v>
      </c>
      <c r="R27" s="3748" t="s">
        <v>13</v>
      </c>
      <c r="S27" s="3262">
        <f>F27</f>
        <v>100</v>
      </c>
      <c r="T27" s="3748" t="s">
        <v>13</v>
      </c>
      <c r="U27" s="3262">
        <f>H27</f>
        <v>100</v>
      </c>
      <c r="V27" s="3748" t="s">
        <v>13</v>
      </c>
      <c r="W27" s="3262">
        <f>J27</f>
        <v>100</v>
      </c>
      <c r="X27" s="482"/>
      <c r="Y27" s="4599"/>
      <c r="Z27" s="28" t="str">
        <f>Q27</f>
        <v>人流量</v>
      </c>
      <c r="AA27" s="933">
        <f>D27/F27</f>
        <v>1</v>
      </c>
      <c r="AB27" s="933">
        <f>D27/H27</f>
        <v>1</v>
      </c>
      <c r="AC27" s="933">
        <f>D27/J27</f>
        <v>1</v>
      </c>
    </row>
    <row r="28" spans="1:29" ht="15">
      <c r="A28" s="254"/>
      <c r="B28" s="2866" t="s">
        <v>1695</v>
      </c>
      <c r="C28" s="2913"/>
      <c r="D28" s="2967">
        <v>100</v>
      </c>
      <c r="E28" s="2913"/>
      <c r="F28" s="3842">
        <f>SUMIF(92:92,E28,93:93)-SUMIF(92:92,C28,93:93)+100</f>
        <v>100</v>
      </c>
      <c r="G28" s="2913"/>
      <c r="H28" s="3839">
        <f>SUMIF(92:92,G28,93:93)-SUMIF(92:92,C28,93:93)+100</f>
        <v>100</v>
      </c>
      <c r="I28" s="2913"/>
      <c r="J28" s="3839">
        <f>SUMIF(92:92,I28,93:93)-SUMIF(92:92,C28,93:93)+100</f>
        <v>100</v>
      </c>
      <c r="K28" s="2935"/>
      <c r="L28" s="2013"/>
      <c r="M28" s="2008"/>
      <c r="N28" s="2008"/>
      <c r="O28" s="2008"/>
      <c r="P28" s="4597"/>
      <c r="Q28" s="1533" t="str">
        <f t="shared" si="11"/>
        <v>楼层</v>
      </c>
      <c r="R28" s="3849" t="s">
        <v>13</v>
      </c>
      <c r="S28" s="3263">
        <f t="shared" ref="S28:S46" si="12">F28</f>
        <v>100</v>
      </c>
      <c r="T28" s="3849" t="s">
        <v>13</v>
      </c>
      <c r="U28" s="3263">
        <f t="shared" ref="U28:U46" si="13">H28</f>
        <v>100</v>
      </c>
      <c r="V28" s="3849" t="s">
        <v>13</v>
      </c>
      <c r="W28" s="3263">
        <f t="shared" ref="W28:W46" si="14">J28</f>
        <v>100</v>
      </c>
      <c r="X28" s="935"/>
      <c r="Y28" s="4599"/>
      <c r="Z28" s="933" t="str">
        <f t="shared" ref="Z28:Z46" si="15">Q28</f>
        <v>楼层</v>
      </c>
      <c r="AA28" s="933">
        <f t="shared" si="3"/>
        <v>1</v>
      </c>
      <c r="AB28" s="933">
        <f t="shared" si="4"/>
        <v>1</v>
      </c>
      <c r="AC28" s="933">
        <f t="shared" si="5"/>
        <v>1</v>
      </c>
    </row>
    <row r="29" spans="1:29" ht="15">
      <c r="A29" s="254"/>
      <c r="B29" s="2877">
        <v>111</v>
      </c>
      <c r="C29" s="2894"/>
      <c r="D29" s="2967">
        <v>100</v>
      </c>
      <c r="E29" s="2894"/>
      <c r="F29" s="3842">
        <f>SUMIF(94:94,E29,95:95)-SUMIF(94:94,C29,95:95)+100</f>
        <v>100</v>
      </c>
      <c r="G29" s="2894"/>
      <c r="H29" s="3839">
        <f>SUMIF(94:94,G29,95:95)-SUMIF(94:94,C29,95:95)+100</f>
        <v>100</v>
      </c>
      <c r="I29" s="2894"/>
      <c r="J29" s="3839">
        <f>SUMIF(94:94,I29,95:95)-SUMIF(94:94,C29,95:95)+100</f>
        <v>100</v>
      </c>
      <c r="K29" s="2935"/>
      <c r="L29" s="2013"/>
      <c r="M29" s="2008"/>
      <c r="N29" s="2008"/>
      <c r="O29" s="2008"/>
      <c r="P29" s="4597"/>
      <c r="Q29" s="1533">
        <f t="shared" si="11"/>
        <v>111</v>
      </c>
      <c r="R29" s="3849" t="s">
        <v>13</v>
      </c>
      <c r="S29" s="3263">
        <f t="shared" si="12"/>
        <v>100</v>
      </c>
      <c r="T29" s="3849" t="s">
        <v>13</v>
      </c>
      <c r="U29" s="3263">
        <f t="shared" si="13"/>
        <v>100</v>
      </c>
      <c r="V29" s="3849" t="s">
        <v>13</v>
      </c>
      <c r="W29" s="3263">
        <f t="shared" si="14"/>
        <v>100</v>
      </c>
      <c r="X29" s="935"/>
      <c r="Y29" s="4599"/>
      <c r="Z29" s="933">
        <f t="shared" si="15"/>
        <v>111</v>
      </c>
      <c r="AA29" s="933">
        <f t="shared" si="3"/>
        <v>1</v>
      </c>
      <c r="AB29" s="933">
        <f t="shared" si="4"/>
        <v>1</v>
      </c>
      <c r="AC29" s="933">
        <f t="shared" si="5"/>
        <v>1</v>
      </c>
    </row>
    <row r="30" spans="1:29" ht="15">
      <c r="A30" s="254"/>
      <c r="B30" s="2877">
        <v>111</v>
      </c>
      <c r="C30" s="2894"/>
      <c r="D30" s="2967">
        <v>100</v>
      </c>
      <c r="E30" s="2894"/>
      <c r="F30" s="3842">
        <f>SUMIF(96:96,E30,97:97)-SUMIF(96:96,C30,97:97)+100</f>
        <v>100</v>
      </c>
      <c r="G30" s="2894"/>
      <c r="H30" s="3839">
        <f>SUMIF(96:96,G30,97:97)-SUMIF(96:96,C30,97:97)+100</f>
        <v>100</v>
      </c>
      <c r="I30" s="2894"/>
      <c r="J30" s="3839">
        <f>SUMIF(96:96,I30,97:97)-SUMIF(96:96,C30,97:97)+100</f>
        <v>100</v>
      </c>
      <c r="K30" s="2935"/>
      <c r="L30" s="2013"/>
      <c r="M30" s="2008"/>
      <c r="N30" s="2008"/>
      <c r="O30" s="2008"/>
      <c r="P30" s="4597"/>
      <c r="Q30" s="1533">
        <f t="shared" si="11"/>
        <v>111</v>
      </c>
      <c r="R30" s="3849" t="s">
        <v>13</v>
      </c>
      <c r="S30" s="3263">
        <f t="shared" si="12"/>
        <v>100</v>
      </c>
      <c r="T30" s="3849" t="s">
        <v>13</v>
      </c>
      <c r="U30" s="3263">
        <f t="shared" si="13"/>
        <v>100</v>
      </c>
      <c r="V30" s="3849" t="s">
        <v>13</v>
      </c>
      <c r="W30" s="3263">
        <f t="shared" si="14"/>
        <v>100</v>
      </c>
      <c r="X30" s="935"/>
      <c r="Y30" s="4599"/>
      <c r="Z30" s="933">
        <f t="shared" si="15"/>
        <v>111</v>
      </c>
      <c r="AA30" s="933">
        <f t="shared" si="3"/>
        <v>1</v>
      </c>
      <c r="AB30" s="933">
        <f t="shared" si="4"/>
        <v>1</v>
      </c>
      <c r="AC30" s="933">
        <f t="shared" si="5"/>
        <v>1</v>
      </c>
    </row>
    <row r="31" spans="1:29" ht="15.75" thickBot="1">
      <c r="A31" s="260"/>
      <c r="B31" s="2877">
        <v>111</v>
      </c>
      <c r="C31" s="2895"/>
      <c r="D31" s="2968">
        <v>100</v>
      </c>
      <c r="E31" s="2894"/>
      <c r="F31" s="3834">
        <f>SUMIF(98:98,E31,99:99)-SUMIF(98:98,C31,99:99)+100</f>
        <v>100</v>
      </c>
      <c r="G31" s="2894"/>
      <c r="H31" s="3841">
        <f>SUMIF(98:98,G31,99:99)-SUMIF(98:98,C31,99:99)+100</f>
        <v>100</v>
      </c>
      <c r="I31" s="2894"/>
      <c r="J31" s="3841">
        <f>SUMIF(98:98,I31,99:99)-SUMIF(98:98,C31,99:99)+100</f>
        <v>100</v>
      </c>
      <c r="K31" s="2935"/>
      <c r="L31" s="2013"/>
      <c r="M31" s="2008"/>
      <c r="N31" s="2008"/>
      <c r="O31" s="2008"/>
      <c r="P31" s="4597"/>
      <c r="Q31" s="1533">
        <f t="shared" si="11"/>
        <v>111</v>
      </c>
      <c r="R31" s="3849" t="s">
        <v>13</v>
      </c>
      <c r="S31" s="3263">
        <f t="shared" si="12"/>
        <v>100</v>
      </c>
      <c r="T31" s="3849" t="s">
        <v>13</v>
      </c>
      <c r="U31" s="3263">
        <f t="shared" si="13"/>
        <v>100</v>
      </c>
      <c r="V31" s="3849" t="s">
        <v>13</v>
      </c>
      <c r="W31" s="3263">
        <f t="shared" si="14"/>
        <v>100</v>
      </c>
      <c r="X31" s="935"/>
      <c r="Y31" s="4599"/>
      <c r="Z31" s="933">
        <f t="shared" si="15"/>
        <v>111</v>
      </c>
      <c r="AA31" s="933">
        <f t="shared" si="3"/>
        <v>1</v>
      </c>
      <c r="AB31" s="933">
        <f t="shared" si="4"/>
        <v>1</v>
      </c>
      <c r="AC31" s="933">
        <f t="shared" si="5"/>
        <v>1</v>
      </c>
    </row>
    <row r="32" spans="1:29" ht="15">
      <c r="A32" s="262" t="s">
        <v>1606</v>
      </c>
      <c r="B32" s="2869" t="s">
        <v>1696</v>
      </c>
      <c r="C32" s="2901"/>
      <c r="D32" s="2974">
        <v>100</v>
      </c>
      <c r="E32" s="2901"/>
      <c r="F32" s="3842">
        <f>SUMIF(100:100,E32,101:101)-SUMIF(100:100,C32,101:101)+100</f>
        <v>100</v>
      </c>
      <c r="G32" s="2901"/>
      <c r="H32" s="3839">
        <f>SUMIF(100:100,G32,101:101)-SUMIF(100:100,C32,101:101)+100</f>
        <v>100</v>
      </c>
      <c r="I32" s="2901"/>
      <c r="J32" s="3846">
        <f>SUMIF(100:100,I32,101:101)-SUMIF(100:100,C32,101:101)+100</f>
        <v>100</v>
      </c>
      <c r="K32" s="2934"/>
      <c r="L32" s="2013"/>
      <c r="M32" s="2008"/>
      <c r="N32" s="2008"/>
      <c r="O32" s="2008"/>
      <c r="P32" s="4600" t="s">
        <v>1608</v>
      </c>
      <c r="Q32" s="1533" t="str">
        <f t="shared" si="11"/>
        <v>商业类型</v>
      </c>
      <c r="R32" s="3849" t="s">
        <v>13</v>
      </c>
      <c r="S32" s="3263">
        <f t="shared" si="12"/>
        <v>100</v>
      </c>
      <c r="T32" s="3849" t="s">
        <v>13</v>
      </c>
      <c r="U32" s="3263">
        <f t="shared" si="13"/>
        <v>100</v>
      </c>
      <c r="V32" s="3849" t="s">
        <v>13</v>
      </c>
      <c r="W32" s="3263">
        <f t="shared" si="14"/>
        <v>100</v>
      </c>
      <c r="X32" s="935"/>
      <c r="Y32" s="4603" t="s">
        <v>1608</v>
      </c>
      <c r="Z32" s="933" t="str">
        <f t="shared" si="15"/>
        <v>商业类型</v>
      </c>
      <c r="AA32" s="933">
        <f t="shared" si="3"/>
        <v>1</v>
      </c>
      <c r="AB32" s="933">
        <f t="shared" si="4"/>
        <v>1</v>
      </c>
      <c r="AC32" s="933">
        <f t="shared" si="5"/>
        <v>1</v>
      </c>
    </row>
    <row r="33" spans="1:29" s="279" customFormat="1" ht="15">
      <c r="A33" s="277"/>
      <c r="B33" s="2866" t="s">
        <v>1609</v>
      </c>
      <c r="C33" s="2902"/>
      <c r="D33" s="2965">
        <v>100</v>
      </c>
      <c r="E33" s="2920"/>
      <c r="F33" s="3833" t="e">
        <f>LOOKUP(E33,103:103,104:104)-LOOKUP(C33,103:103,104:104)+100</f>
        <v>#N/A</v>
      </c>
      <c r="G33" s="2892"/>
      <c r="H33" s="3845" t="e">
        <f>LOOKUP(G33,103:103,104:104)-LOOKUP(C33,103:103,104:104)+100</f>
        <v>#N/A</v>
      </c>
      <c r="I33" s="2892"/>
      <c r="J33" s="3845" t="e">
        <f>LOOKUP(I33,103:103,104:104)-LOOKUP(C33,103:103,104:104)+100</f>
        <v>#N/A</v>
      </c>
      <c r="K33" s="2935"/>
      <c r="L33" s="2012"/>
      <c r="M33" s="2014"/>
      <c r="N33" s="2014"/>
      <c r="O33" s="2014"/>
      <c r="P33" s="4601"/>
      <c r="Q33" s="2941" t="str">
        <f t="shared" si="11"/>
        <v>项目建筑规模</v>
      </c>
      <c r="R33" s="3850" t="s">
        <v>13</v>
      </c>
      <c r="S33" s="3264" t="e">
        <f t="shared" si="12"/>
        <v>#N/A</v>
      </c>
      <c r="T33" s="3850" t="s">
        <v>13</v>
      </c>
      <c r="U33" s="3264" t="e">
        <f t="shared" si="13"/>
        <v>#N/A</v>
      </c>
      <c r="V33" s="3850" t="s">
        <v>13</v>
      </c>
      <c r="W33" s="3264" t="e">
        <f t="shared" si="14"/>
        <v>#N/A</v>
      </c>
      <c r="X33" s="484"/>
      <c r="Y33" s="4603"/>
      <c r="Z33" s="485" t="str">
        <f t="shared" si="15"/>
        <v>项目建筑规模</v>
      </c>
      <c r="AA33" s="933" t="e">
        <f t="shared" si="3"/>
        <v>#N/A</v>
      </c>
      <c r="AB33" s="933" t="e">
        <f t="shared" si="4"/>
        <v>#N/A</v>
      </c>
      <c r="AC33" s="933" t="e">
        <f t="shared" si="5"/>
        <v>#N/A</v>
      </c>
    </row>
    <row r="34" spans="1:29" ht="15">
      <c r="A34" s="280"/>
      <c r="B34" s="2866" t="s">
        <v>1610</v>
      </c>
      <c r="C34" s="2900"/>
      <c r="D34" s="2967">
        <v>100</v>
      </c>
      <c r="E34" s="2900"/>
      <c r="F34" s="3842">
        <f>SUMIF(105:105,E34,106:106)-SUMIF(105:105,C34,106:106)+100</f>
        <v>100</v>
      </c>
      <c r="G34" s="2900"/>
      <c r="H34" s="3839">
        <f>SUMIF(105:105,G34,106:106)-SUMIF(105:105,C34,106:106)+100</f>
        <v>100</v>
      </c>
      <c r="I34" s="2900"/>
      <c r="J34" s="3839">
        <f>SUMIF(105:105,I34,106:106)-SUMIF(105:105,C34,106:106)+100</f>
        <v>100</v>
      </c>
      <c r="K34" s="2934"/>
      <c r="L34" s="2013"/>
      <c r="M34" s="2008"/>
      <c r="N34" s="2008"/>
      <c r="O34" s="2008"/>
      <c r="P34" s="4601"/>
      <c r="Q34" s="1533" t="str">
        <f t="shared" si="11"/>
        <v>建筑结构</v>
      </c>
      <c r="R34" s="3849" t="s">
        <v>13</v>
      </c>
      <c r="S34" s="3263">
        <f t="shared" si="12"/>
        <v>100</v>
      </c>
      <c r="T34" s="3849" t="s">
        <v>13</v>
      </c>
      <c r="U34" s="3263">
        <f t="shared" si="13"/>
        <v>100</v>
      </c>
      <c r="V34" s="3849" t="s">
        <v>13</v>
      </c>
      <c r="W34" s="3263">
        <f t="shared" si="14"/>
        <v>100</v>
      </c>
      <c r="X34" s="935"/>
      <c r="Y34" s="4603"/>
      <c r="Z34" s="933" t="str">
        <f t="shared" si="15"/>
        <v>建筑结构</v>
      </c>
      <c r="AA34" s="933">
        <f t="shared" si="3"/>
        <v>1</v>
      </c>
      <c r="AB34" s="933">
        <f t="shared" si="4"/>
        <v>1</v>
      </c>
      <c r="AC34" s="933">
        <f t="shared" si="5"/>
        <v>1</v>
      </c>
    </row>
    <row r="35" spans="1:29" ht="15">
      <c r="A35" s="280"/>
      <c r="B35" s="2866" t="s">
        <v>1697</v>
      </c>
      <c r="C35" s="2903"/>
      <c r="D35" s="2967">
        <v>100</v>
      </c>
      <c r="E35" s="2903"/>
      <c r="F35" s="3842">
        <f>SUMIF(107:107,E35,108:108)-SUMIF(107:107,C35,108:108)+100</f>
        <v>100</v>
      </c>
      <c r="G35" s="2903"/>
      <c r="H35" s="3839">
        <f>SUMIF(107:107,G35,108:108)-SUMIF(107:107,C35,108:108)+100</f>
        <v>100</v>
      </c>
      <c r="I35" s="2903"/>
      <c r="J35" s="3839">
        <f>SUMIF(107:107,I35,108:108)-SUMIF(107:107,C35,108:108)+100</f>
        <v>100</v>
      </c>
      <c r="K35" s="2934"/>
      <c r="L35" s="2013"/>
      <c r="M35" s="2008"/>
      <c r="N35" s="2008"/>
      <c r="O35" s="2008"/>
      <c r="P35" s="4601"/>
      <c r="Q35" s="1533" t="str">
        <f t="shared" si="11"/>
        <v>公共部分装修</v>
      </c>
      <c r="R35" s="3849" t="s">
        <v>13</v>
      </c>
      <c r="S35" s="3263">
        <f t="shared" si="12"/>
        <v>100</v>
      </c>
      <c r="T35" s="3849" t="s">
        <v>13</v>
      </c>
      <c r="U35" s="3263">
        <f t="shared" si="13"/>
        <v>100</v>
      </c>
      <c r="V35" s="3849" t="s">
        <v>13</v>
      </c>
      <c r="W35" s="3263">
        <f t="shared" si="14"/>
        <v>100</v>
      </c>
      <c r="X35" s="935"/>
      <c r="Y35" s="4603"/>
      <c r="Z35" s="933" t="str">
        <f t="shared" si="15"/>
        <v>公共部分装修</v>
      </c>
      <c r="AA35" s="933">
        <f t="shared" si="3"/>
        <v>1</v>
      </c>
      <c r="AB35" s="933">
        <f t="shared" si="4"/>
        <v>1</v>
      </c>
      <c r="AC35" s="933">
        <f t="shared" si="5"/>
        <v>1</v>
      </c>
    </row>
    <row r="36" spans="1:29" ht="15">
      <c r="A36" s="280"/>
      <c r="B36" s="2866" t="s">
        <v>1698</v>
      </c>
      <c r="C36" s="2904"/>
      <c r="D36" s="2967">
        <v>100</v>
      </c>
      <c r="E36" s="2904"/>
      <c r="F36" s="3842" t="e">
        <f>LOOKUP(E36,110:110,111:111)-LOOKUP(C36,110:110,111:111)+100</f>
        <v>#N/A</v>
      </c>
      <c r="G36" s="2904"/>
      <c r="H36" s="3842" t="e">
        <f>LOOKUP(G36,110:110,111:111)-LOOKUP(C36,110:110,111:111)+100</f>
        <v>#N/A</v>
      </c>
      <c r="I36" s="2904"/>
      <c r="J36" s="3839" t="e">
        <f>LOOKUP(I36,110:110,111:111)-LOOKUP(C36,110:110,111:111)+100</f>
        <v>#N/A</v>
      </c>
      <c r="K36" s="2934"/>
      <c r="L36" s="2013"/>
      <c r="M36" s="2008"/>
      <c r="N36" s="2008"/>
      <c r="O36" s="2008"/>
      <c r="P36" s="4601"/>
      <c r="Q36" s="1533" t="str">
        <f t="shared" si="11"/>
        <v>成新度</v>
      </c>
      <c r="R36" s="3849" t="s">
        <v>13</v>
      </c>
      <c r="S36" s="3263" t="e">
        <f t="shared" si="12"/>
        <v>#N/A</v>
      </c>
      <c r="T36" s="3849" t="s">
        <v>13</v>
      </c>
      <c r="U36" s="3263" t="e">
        <f t="shared" si="13"/>
        <v>#N/A</v>
      </c>
      <c r="V36" s="3849" t="s">
        <v>13</v>
      </c>
      <c r="W36" s="3263" t="e">
        <f t="shared" si="14"/>
        <v>#N/A</v>
      </c>
      <c r="X36" s="935"/>
      <c r="Y36" s="4603"/>
      <c r="Z36" s="933" t="str">
        <f t="shared" si="15"/>
        <v>成新度</v>
      </c>
      <c r="AA36" s="933" t="e">
        <f t="shared" si="3"/>
        <v>#N/A</v>
      </c>
      <c r="AB36" s="933" t="e">
        <f t="shared" si="4"/>
        <v>#N/A</v>
      </c>
      <c r="AC36" s="933" t="e">
        <f t="shared" si="5"/>
        <v>#N/A</v>
      </c>
    </row>
    <row r="37" spans="1:29" s="46" customFormat="1" ht="15">
      <c r="A37" s="281"/>
      <c r="B37" s="2866" t="s">
        <v>1699</v>
      </c>
      <c r="C37" s="2903"/>
      <c r="D37" s="2965">
        <v>100</v>
      </c>
      <c r="E37" s="2903"/>
      <c r="F37" s="3842">
        <f>SUMIF(112:112,E37,113:113)-SUMIF(112:112,C37,113:113)+100</f>
        <v>100</v>
      </c>
      <c r="G37" s="2903"/>
      <c r="H37" s="3839">
        <f>SUMIF(112:112,G37,113:113)-SUMIF(112:112,C37,113:113)+100</f>
        <v>100</v>
      </c>
      <c r="I37" s="2903"/>
      <c r="J37" s="3839">
        <f>SUMIF(112:112,I37,113:113)-SUMIF(112:112,C37,113:113)+100</f>
        <v>100</v>
      </c>
      <c r="K37" s="2934"/>
      <c r="L37" s="2009"/>
      <c r="M37" s="1962"/>
      <c r="N37" s="1962"/>
      <c r="O37" s="1962"/>
      <c r="P37" s="4601"/>
      <c r="Q37" s="1731" t="str">
        <f t="shared" si="11"/>
        <v>市政基础设施</v>
      </c>
      <c r="R37" s="3748" t="s">
        <v>13</v>
      </c>
      <c r="S37" s="3262">
        <f t="shared" si="12"/>
        <v>100</v>
      </c>
      <c r="T37" s="3748" t="s">
        <v>13</v>
      </c>
      <c r="U37" s="3262">
        <f t="shared" si="13"/>
        <v>100</v>
      </c>
      <c r="V37" s="3748" t="s">
        <v>13</v>
      </c>
      <c r="W37" s="3262">
        <f t="shared" si="14"/>
        <v>100</v>
      </c>
      <c r="X37" s="482"/>
      <c r="Y37" s="4603"/>
      <c r="Z37" s="28" t="str">
        <f t="shared" si="15"/>
        <v>市政基础设施</v>
      </c>
      <c r="AA37" s="28">
        <f t="shared" si="3"/>
        <v>1</v>
      </c>
      <c r="AB37" s="28">
        <f t="shared" si="4"/>
        <v>1</v>
      </c>
      <c r="AC37" s="28">
        <f t="shared" si="5"/>
        <v>1</v>
      </c>
    </row>
    <row r="38" spans="1:29" ht="15">
      <c r="A38" s="280"/>
      <c r="B38" s="2866" t="s">
        <v>1700</v>
      </c>
      <c r="C38" s="2903"/>
      <c r="D38" s="2967">
        <v>100</v>
      </c>
      <c r="E38" s="2903"/>
      <c r="F38" s="3842">
        <f>SUMIF(114:114,E38,115:115)-SUMIF(114:114,C38,115:115)+100</f>
        <v>100</v>
      </c>
      <c r="G38" s="2903"/>
      <c r="H38" s="3839">
        <f>SUMIF(114:114,G38,115:115)-SUMIF(114:114,C38,115:115)+100</f>
        <v>100</v>
      </c>
      <c r="I38" s="2903"/>
      <c r="J38" s="3839">
        <f>SUMIF(114:114,I38,115:115)-SUMIF(114:114,C38,115:115)+100</f>
        <v>100</v>
      </c>
      <c r="K38" s="2934"/>
      <c r="L38" s="2013"/>
      <c r="M38" s="2008"/>
      <c r="N38" s="2008"/>
      <c r="O38" s="2008"/>
      <c r="P38" s="4601" t="s">
        <v>1608</v>
      </c>
      <c r="Q38" s="1533" t="str">
        <f t="shared" si="11"/>
        <v>业态</v>
      </c>
      <c r="R38" s="3849" t="s">
        <v>13</v>
      </c>
      <c r="S38" s="3263">
        <f t="shared" si="12"/>
        <v>100</v>
      </c>
      <c r="T38" s="3849" t="s">
        <v>13</v>
      </c>
      <c r="U38" s="3263">
        <f t="shared" si="13"/>
        <v>100</v>
      </c>
      <c r="V38" s="3849" t="s">
        <v>13</v>
      </c>
      <c r="W38" s="3263">
        <f t="shared" si="14"/>
        <v>100</v>
      </c>
      <c r="X38" s="935"/>
      <c r="Y38" s="4603" t="s">
        <v>1608</v>
      </c>
      <c r="Z38" s="933" t="str">
        <f t="shared" si="15"/>
        <v>业态</v>
      </c>
      <c r="AA38" s="933">
        <f t="shared" si="3"/>
        <v>1</v>
      </c>
      <c r="AB38" s="933">
        <f t="shared" si="4"/>
        <v>1</v>
      </c>
      <c r="AC38" s="933">
        <f t="shared" si="5"/>
        <v>1</v>
      </c>
    </row>
    <row r="39" spans="1:29" ht="15">
      <c r="A39" s="280"/>
      <c r="B39" s="2866" t="s">
        <v>1701</v>
      </c>
      <c r="C39" s="2903"/>
      <c r="D39" s="2967">
        <v>100</v>
      </c>
      <c r="E39" s="2903"/>
      <c r="F39" s="3842">
        <f>SUMIF(116:116,E39,117:117)-SUMIF(116:116,C39,117:117)+100</f>
        <v>100</v>
      </c>
      <c r="G39" s="2903"/>
      <c r="H39" s="3839">
        <f>SUMIF(116:116,G39,117:117)-SUMIF(116:116,C39,117:117)+100</f>
        <v>100</v>
      </c>
      <c r="I39" s="2903"/>
      <c r="J39" s="3839">
        <f>SUMIF(116:116,I39,117:117)-SUMIF(116:116,C39,117:117)+100</f>
        <v>100</v>
      </c>
      <c r="K39" s="2934"/>
      <c r="L39" s="2013"/>
      <c r="M39" s="2008"/>
      <c r="N39" s="2008"/>
      <c r="O39" s="2008"/>
      <c r="P39" s="4601"/>
      <c r="Q39" s="1533" t="str">
        <f t="shared" si="11"/>
        <v>层高</v>
      </c>
      <c r="R39" s="3849" t="s">
        <v>13</v>
      </c>
      <c r="S39" s="3263">
        <f t="shared" si="12"/>
        <v>100</v>
      </c>
      <c r="T39" s="3849" t="s">
        <v>13</v>
      </c>
      <c r="U39" s="3263">
        <f t="shared" si="13"/>
        <v>100</v>
      </c>
      <c r="V39" s="3849" t="s">
        <v>13</v>
      </c>
      <c r="W39" s="3263">
        <f t="shared" si="14"/>
        <v>100</v>
      </c>
      <c r="X39" s="935"/>
      <c r="Y39" s="4603"/>
      <c r="Z39" s="933" t="str">
        <f t="shared" si="15"/>
        <v>层高</v>
      </c>
      <c r="AA39" s="933">
        <f t="shared" si="3"/>
        <v>1</v>
      </c>
      <c r="AB39" s="933">
        <f t="shared" si="4"/>
        <v>1</v>
      </c>
      <c r="AC39" s="933">
        <f t="shared" si="5"/>
        <v>1</v>
      </c>
    </row>
    <row r="40" spans="1:29" ht="15">
      <c r="A40" s="280"/>
      <c r="B40" s="2866" t="s">
        <v>1702</v>
      </c>
      <c r="C40" s="2915"/>
      <c r="D40" s="2967">
        <v>100</v>
      </c>
      <c r="E40" s="2926"/>
      <c r="F40" s="3842">
        <f>SUMIF(118:118,E40,119:119)-SUMIF(118:118,C40,119:119)+100</f>
        <v>100</v>
      </c>
      <c r="G40" s="2926"/>
      <c r="H40" s="3839">
        <f>SUMIF(118:118,G40,119:119)-SUMIF(118:118,C40,119:119)+100</f>
        <v>100</v>
      </c>
      <c r="I40" s="2926"/>
      <c r="J40" s="3839">
        <f>SUMIF(118:118,I40,119:119)-SUMIF(118:118,C40,119:119)+100</f>
        <v>100</v>
      </c>
      <c r="K40" s="2935"/>
      <c r="L40" s="2013"/>
      <c r="M40" s="2008"/>
      <c r="N40" s="2008"/>
      <c r="O40" s="2008"/>
      <c r="P40" s="4601"/>
      <c r="Q40" s="1533" t="str">
        <f t="shared" si="11"/>
        <v>单套建筑面积</v>
      </c>
      <c r="R40" s="3849" t="s">
        <v>13</v>
      </c>
      <c r="S40" s="3263">
        <f t="shared" si="12"/>
        <v>100</v>
      </c>
      <c r="T40" s="3849" t="s">
        <v>13</v>
      </c>
      <c r="U40" s="3263">
        <f t="shared" si="13"/>
        <v>100</v>
      </c>
      <c r="V40" s="3849" t="s">
        <v>13</v>
      </c>
      <c r="W40" s="3263">
        <f t="shared" si="14"/>
        <v>100</v>
      </c>
      <c r="X40" s="935"/>
      <c r="Y40" s="4603"/>
      <c r="Z40" s="933" t="str">
        <f t="shared" si="15"/>
        <v>单套建筑面积</v>
      </c>
      <c r="AA40" s="933">
        <f t="shared" si="3"/>
        <v>1</v>
      </c>
      <c r="AB40" s="933">
        <f t="shared" si="4"/>
        <v>1</v>
      </c>
      <c r="AC40" s="933">
        <f t="shared" si="5"/>
        <v>1</v>
      </c>
    </row>
    <row r="41" spans="1:29" s="279" customFormat="1" ht="15">
      <c r="A41" s="277"/>
      <c r="B41" s="2916" t="s">
        <v>1703</v>
      </c>
      <c r="C41" s="2913"/>
      <c r="D41" s="2967">
        <v>100</v>
      </c>
      <c r="E41" s="2913"/>
      <c r="F41" s="3842">
        <f>SUMIF(120:120,E41,121:121)-SUMIF(120:120,C41,121:121)+100</f>
        <v>100</v>
      </c>
      <c r="G41" s="2913"/>
      <c r="H41" s="3839">
        <f>SUMIF(120:120,G41,121:121)-SUMIF(120:120,C41,121:121)+100</f>
        <v>100</v>
      </c>
      <c r="I41" s="2913"/>
      <c r="J41" s="3839">
        <f>SUMIF(120:120,I41,121:121)-SUMIF(120:120,C41,121:121)+100</f>
        <v>100</v>
      </c>
      <c r="K41" s="2934"/>
      <c r="L41" s="2012"/>
      <c r="M41" s="2014"/>
      <c r="N41" s="2014"/>
      <c r="O41" s="2014"/>
      <c r="P41" s="4601"/>
      <c r="Q41" s="2941" t="str">
        <f t="shared" si="11"/>
        <v>进深比</v>
      </c>
      <c r="R41" s="3850" t="s">
        <v>13</v>
      </c>
      <c r="S41" s="3264">
        <f t="shared" si="12"/>
        <v>100</v>
      </c>
      <c r="T41" s="3850" t="s">
        <v>13</v>
      </c>
      <c r="U41" s="3264">
        <f t="shared" si="13"/>
        <v>100</v>
      </c>
      <c r="V41" s="3850" t="s">
        <v>13</v>
      </c>
      <c r="W41" s="3264">
        <f t="shared" si="14"/>
        <v>100</v>
      </c>
      <c r="X41" s="484"/>
      <c r="Y41" s="4603"/>
      <c r="Z41" s="485" t="str">
        <f t="shared" si="15"/>
        <v>进深比</v>
      </c>
      <c r="AA41" s="933">
        <f t="shared" si="3"/>
        <v>1</v>
      </c>
      <c r="AB41" s="933">
        <f t="shared" si="4"/>
        <v>1</v>
      </c>
      <c r="AC41" s="933">
        <f t="shared" si="5"/>
        <v>1</v>
      </c>
    </row>
    <row r="42" spans="1:29" ht="15">
      <c r="A42" s="280"/>
      <c r="B42" s="2866" t="s">
        <v>1704</v>
      </c>
      <c r="C42" s="2903"/>
      <c r="D42" s="2967">
        <v>100</v>
      </c>
      <c r="E42" s="2903"/>
      <c r="F42" s="3842">
        <f>SUMIF(122:122,E42,123:123)-SUMIF(122:122,C42,123:123)+100</f>
        <v>100</v>
      </c>
      <c r="G42" s="2903"/>
      <c r="H42" s="3839">
        <f>SUMIF(122:122,G42,123:123)-SUMIF(122:122,C42,123:123)+100</f>
        <v>100</v>
      </c>
      <c r="I42" s="2903"/>
      <c r="J42" s="3839">
        <f>SUMIF(122:122,I42,123:123)-SUMIF(122:122,C42,123:123)+100</f>
        <v>100</v>
      </c>
      <c r="K42" s="2934"/>
      <c r="L42" s="2013"/>
      <c r="M42" s="2008"/>
      <c r="N42" s="2008"/>
      <c r="O42" s="2008"/>
      <c r="P42" s="4601"/>
      <c r="Q42" s="1533" t="str">
        <f t="shared" si="11"/>
        <v>内部装修</v>
      </c>
      <c r="R42" s="3849" t="s">
        <v>13</v>
      </c>
      <c r="S42" s="3263">
        <f t="shared" si="12"/>
        <v>100</v>
      </c>
      <c r="T42" s="3849" t="s">
        <v>13</v>
      </c>
      <c r="U42" s="3263">
        <f t="shared" si="13"/>
        <v>100</v>
      </c>
      <c r="V42" s="3849" t="s">
        <v>13</v>
      </c>
      <c r="W42" s="3263">
        <f t="shared" si="14"/>
        <v>100</v>
      </c>
      <c r="X42" s="935"/>
      <c r="Y42" s="4603"/>
      <c r="Z42" s="933" t="str">
        <f t="shared" si="15"/>
        <v>内部装修</v>
      </c>
      <c r="AA42" s="933">
        <f t="shared" si="3"/>
        <v>1</v>
      </c>
      <c r="AB42" s="933">
        <f t="shared" si="4"/>
        <v>1</v>
      </c>
      <c r="AC42" s="933">
        <f t="shared" si="5"/>
        <v>1</v>
      </c>
    </row>
    <row r="43" spans="1:29" ht="15">
      <c r="A43" s="280"/>
      <c r="B43" s="2866" t="s">
        <v>1619</v>
      </c>
      <c r="C43" s="2903"/>
      <c r="D43" s="2967">
        <v>100</v>
      </c>
      <c r="E43" s="2903"/>
      <c r="F43" s="3842">
        <f>SUMIF(124:124,E43,125:125)-SUMIF(124:124,C43,125:125)+100</f>
        <v>100</v>
      </c>
      <c r="G43" s="2903"/>
      <c r="H43" s="3839">
        <f>SUMIF(124:124,G43,125:125)-SUMIF(124:124,C43,125:125)+100</f>
        <v>100</v>
      </c>
      <c r="I43" s="2903"/>
      <c r="J43" s="3839">
        <f>SUMIF(124:124,I43,125:125)-SUMIF(124:124,C43,125:125)+100</f>
        <v>100</v>
      </c>
      <c r="K43" s="2934"/>
      <c r="L43" s="2013"/>
      <c r="M43" s="2008"/>
      <c r="N43" s="2008"/>
      <c r="O43" s="2008"/>
      <c r="P43" s="4601"/>
      <c r="Q43" s="1533" t="str">
        <f t="shared" si="11"/>
        <v>内部装修维护情况</v>
      </c>
      <c r="R43" s="3849" t="s">
        <v>13</v>
      </c>
      <c r="S43" s="3263">
        <f t="shared" si="12"/>
        <v>100</v>
      </c>
      <c r="T43" s="3849" t="s">
        <v>13</v>
      </c>
      <c r="U43" s="3263">
        <f t="shared" si="13"/>
        <v>100</v>
      </c>
      <c r="V43" s="3849" t="s">
        <v>13</v>
      </c>
      <c r="W43" s="3263">
        <f t="shared" si="14"/>
        <v>100</v>
      </c>
      <c r="X43" s="935"/>
      <c r="Y43" s="4603"/>
      <c r="Z43" s="933" t="str">
        <f t="shared" si="15"/>
        <v>内部装修维护情况</v>
      </c>
      <c r="AA43" s="933">
        <f t="shared" si="3"/>
        <v>1</v>
      </c>
      <c r="AB43" s="933">
        <f t="shared" si="4"/>
        <v>1</v>
      </c>
      <c r="AC43" s="933">
        <f t="shared" si="5"/>
        <v>1</v>
      </c>
    </row>
    <row r="44" spans="1:29" s="46" customFormat="1" ht="15">
      <c r="A44" s="281"/>
      <c r="B44" s="2877">
        <v>111</v>
      </c>
      <c r="C44" s="2902"/>
      <c r="D44" s="2965">
        <v>100</v>
      </c>
      <c r="E44" s="2894"/>
      <c r="F44" s="3833">
        <f>SUMIF(126:126,E44,127:127)-SUMIF(126:126,C44,127:127)+100</f>
        <v>100</v>
      </c>
      <c r="G44" s="2894"/>
      <c r="H44" s="3845">
        <f>SUMIF(126:126,G44,127:127)-SUMIF(126:126,C44,127:127)+100</f>
        <v>100</v>
      </c>
      <c r="I44" s="2894"/>
      <c r="J44" s="3845">
        <f>SUMIF(126:126,I44,127:127)-SUMIF(126:126,C44,127:127)+100</f>
        <v>100</v>
      </c>
      <c r="K44" s="2935"/>
      <c r="L44" s="2009"/>
      <c r="M44" s="1962"/>
      <c r="N44" s="1962"/>
      <c r="O44" s="1962"/>
      <c r="P44" s="4601"/>
      <c r="Q44" s="1731">
        <f t="shared" si="11"/>
        <v>111</v>
      </c>
      <c r="R44" s="3748" t="s">
        <v>13</v>
      </c>
      <c r="S44" s="3262">
        <f t="shared" si="12"/>
        <v>100</v>
      </c>
      <c r="T44" s="3748" t="s">
        <v>13</v>
      </c>
      <c r="U44" s="3262">
        <f t="shared" si="13"/>
        <v>100</v>
      </c>
      <c r="V44" s="3748" t="s">
        <v>13</v>
      </c>
      <c r="W44" s="3262">
        <f t="shared" si="14"/>
        <v>100</v>
      </c>
      <c r="X44" s="482"/>
      <c r="Y44" s="4603"/>
      <c r="Z44" s="28">
        <f t="shared" si="15"/>
        <v>111</v>
      </c>
      <c r="AA44" s="28">
        <f t="shared" si="3"/>
        <v>1</v>
      </c>
      <c r="AB44" s="28">
        <f t="shared" si="4"/>
        <v>1</v>
      </c>
      <c r="AC44" s="28">
        <f t="shared" si="5"/>
        <v>1</v>
      </c>
    </row>
    <row r="45" spans="1:29" ht="15">
      <c r="A45" s="280"/>
      <c r="B45" s="2877">
        <v>111</v>
      </c>
      <c r="C45" s="2894"/>
      <c r="D45" s="2967">
        <v>100</v>
      </c>
      <c r="E45" s="2894"/>
      <c r="F45" s="3842">
        <f>SUMIF(128:128,E45,129:129)-SUMIF(128:128,C45,129:129)+100</f>
        <v>100</v>
      </c>
      <c r="G45" s="2894"/>
      <c r="H45" s="3839">
        <f>SUMIF(128:128,G45,129:129)-SUMIF(128:128,C45,129:129)+100</f>
        <v>100</v>
      </c>
      <c r="I45" s="2894"/>
      <c r="J45" s="3839">
        <f>SUMIF(128:128,I45,129:129)-SUMIF(128:128,C45,129:129)+100</f>
        <v>100</v>
      </c>
      <c r="K45" s="2935"/>
      <c r="L45" s="2013"/>
      <c r="M45" s="2008"/>
      <c r="N45" s="2008"/>
      <c r="O45" s="2008"/>
      <c r="P45" s="4601"/>
      <c r="Q45" s="1533">
        <f t="shared" si="11"/>
        <v>111</v>
      </c>
      <c r="R45" s="3849" t="s">
        <v>13</v>
      </c>
      <c r="S45" s="3263">
        <f t="shared" si="12"/>
        <v>100</v>
      </c>
      <c r="T45" s="3849" t="s">
        <v>13</v>
      </c>
      <c r="U45" s="3263">
        <f t="shared" si="13"/>
        <v>100</v>
      </c>
      <c r="V45" s="3849" t="s">
        <v>13</v>
      </c>
      <c r="W45" s="3263">
        <f t="shared" si="14"/>
        <v>100</v>
      </c>
      <c r="X45" s="935"/>
      <c r="Y45" s="4603"/>
      <c r="Z45" s="933">
        <f t="shared" si="15"/>
        <v>111</v>
      </c>
      <c r="AA45" s="933">
        <f t="shared" si="3"/>
        <v>1</v>
      </c>
      <c r="AB45" s="933">
        <f t="shared" si="4"/>
        <v>1</v>
      </c>
      <c r="AC45" s="933">
        <f t="shared" si="5"/>
        <v>1</v>
      </c>
    </row>
    <row r="46" spans="1:29" ht="15.75" thickBot="1">
      <c r="A46" s="285"/>
      <c r="B46" s="2871">
        <v>111</v>
      </c>
      <c r="C46" s="2895"/>
      <c r="D46" s="2968">
        <v>100</v>
      </c>
      <c r="E46" s="2894"/>
      <c r="F46" s="3834">
        <f>SUMIF(130:130,E46,131:131)-SUMIF(130:130,C46,131:131)+100</f>
        <v>100</v>
      </c>
      <c r="G46" s="2894"/>
      <c r="H46" s="3841">
        <f>SUMIF(130:130,G46,131:131)-SUMIF(130:130,C46,131:131)+100</f>
        <v>100</v>
      </c>
      <c r="I46" s="2894"/>
      <c r="J46" s="3841">
        <f>SUMIF(130:130,I46,131:131)-SUMIF(130:130,C46,131:131)+100</f>
        <v>100</v>
      </c>
      <c r="K46" s="2935"/>
      <c r="L46" s="2013"/>
      <c r="M46" s="2008"/>
      <c r="N46" s="2008"/>
      <c r="O46" s="2008"/>
      <c r="P46" s="4602"/>
      <c r="Q46" s="1533">
        <f t="shared" si="11"/>
        <v>111</v>
      </c>
      <c r="R46" s="3849" t="s">
        <v>13</v>
      </c>
      <c r="S46" s="3263">
        <f t="shared" si="12"/>
        <v>100</v>
      </c>
      <c r="T46" s="3849" t="s">
        <v>13</v>
      </c>
      <c r="U46" s="3263">
        <f t="shared" si="13"/>
        <v>100</v>
      </c>
      <c r="V46" s="3849" t="s">
        <v>13</v>
      </c>
      <c r="W46" s="3263">
        <f t="shared" si="14"/>
        <v>100</v>
      </c>
      <c r="X46" s="935"/>
      <c r="Y46" s="4604"/>
      <c r="Z46" s="933">
        <f t="shared" si="15"/>
        <v>111</v>
      </c>
      <c r="AA46" s="933">
        <f t="shared" si="3"/>
        <v>1</v>
      </c>
      <c r="AB46" s="933">
        <f t="shared" si="4"/>
        <v>1</v>
      </c>
      <c r="AC46" s="933">
        <f t="shared" si="5"/>
        <v>1</v>
      </c>
    </row>
    <row r="47" spans="1:29" ht="15">
      <c r="A47" s="286" t="s">
        <v>1620</v>
      </c>
      <c r="B47" s="287"/>
      <c r="C47" s="787" t="s">
        <v>0</v>
      </c>
      <c r="D47" s="288"/>
      <c r="E47" s="3311"/>
      <c r="F47" s="3259"/>
      <c r="G47" s="3312"/>
      <c r="H47" s="3260"/>
      <c r="I47" s="3311"/>
      <c r="J47" s="3260"/>
      <c r="K47" s="2939"/>
      <c r="L47" s="2015"/>
      <c r="M47" s="2008"/>
      <c r="N47" s="2008"/>
      <c r="O47" s="2008"/>
      <c r="P47" s="4605" t="str">
        <f>A47</f>
        <v>成交单价（元/平方米）</v>
      </c>
      <c r="Q47" s="4605"/>
      <c r="R47" s="4606">
        <f>E47</f>
        <v>0</v>
      </c>
      <c r="S47" s="4606"/>
      <c r="T47" s="4606">
        <f>G47</f>
        <v>0</v>
      </c>
      <c r="U47" s="4606"/>
      <c r="V47" s="4606">
        <f>I47</f>
        <v>0</v>
      </c>
      <c r="W47" s="4606"/>
      <c r="X47" s="265"/>
      <c r="Y47" s="486"/>
      <c r="Z47" s="265"/>
      <c r="AA47" s="265"/>
      <c r="AB47" s="265"/>
      <c r="AC47" s="265"/>
    </row>
    <row r="48" spans="1:29" ht="15.75" thickBot="1">
      <c r="A48" s="289" t="s">
        <v>1705</v>
      </c>
      <c r="B48" s="290"/>
      <c r="C48" s="3847" t="e">
        <f>R49</f>
        <v>#DIV/0!</v>
      </c>
      <c r="D48" s="3960" t="s">
        <v>2047</v>
      </c>
      <c r="E48" s="3858" t="e">
        <f>R48</f>
        <v>#DIV/0!</v>
      </c>
      <c r="F48" s="2878"/>
      <c r="G48" s="3847" t="e">
        <f>T48</f>
        <v>#DIV/0!</v>
      </c>
      <c r="H48" s="2878"/>
      <c r="I48" s="3858" t="e">
        <f>V48</f>
        <v>#DIV/0!</v>
      </c>
      <c r="J48" s="2878"/>
      <c r="K48" s="2932">
        <f>F48+H48+J48</f>
        <v>0</v>
      </c>
      <c r="L48" s="2015"/>
      <c r="M48" s="2008"/>
      <c r="N48" s="2008"/>
      <c r="O48" s="2008"/>
      <c r="P48" s="4605" t="str">
        <f>A48</f>
        <v>比较价值（元/平方米）</v>
      </c>
      <c r="Q48" s="4605"/>
      <c r="R48" s="4606" t="e">
        <f>IF(F1="售价",ROUND(PRODUCT(R47,AA7:AA46),0),ROUND(PRODUCT(R47,AA7:AA46),1))</f>
        <v>#DIV/0!</v>
      </c>
      <c r="S48" s="4606"/>
      <c r="T48" s="4606" t="e">
        <f>IF(F1="售价",ROUND(PRODUCT(T47,AB7:AB46),0),ROUND(PRODUCT(T47,AB7:AB46),1))</f>
        <v>#DIV/0!</v>
      </c>
      <c r="U48" s="4606"/>
      <c r="V48" s="4606" t="e">
        <f>IF(F1="售价",ROUND(PRODUCT(V47,AC7:AC46),0),ROUND(PRODUCT(V47,AC7:AC46),1))</f>
        <v>#DIV/0!</v>
      </c>
      <c r="W48" s="4606"/>
      <c r="X48" s="265"/>
      <c r="Y48" s="265"/>
      <c r="Z48" s="265"/>
      <c r="AA48" s="265"/>
      <c r="AB48" s="265"/>
      <c r="AC48" s="265"/>
    </row>
    <row r="49" spans="1:29" ht="15.75" thickBot="1">
      <c r="A49" s="291" t="s">
        <v>1706</v>
      </c>
      <c r="B49" s="292"/>
      <c r="C49" s="3859" t="e">
        <f>R49</f>
        <v>#DIV/0!</v>
      </c>
      <c r="D49" s="241"/>
      <c r="E49" s="241"/>
      <c r="F49" s="241"/>
      <c r="G49" s="241"/>
      <c r="H49" s="241"/>
      <c r="I49" s="241"/>
      <c r="J49" s="241"/>
      <c r="K49" s="487"/>
      <c r="L49" s="2015"/>
      <c r="M49" s="2008"/>
      <c r="N49" s="2008"/>
      <c r="O49" s="2008"/>
      <c r="P49" s="4688" t="str">
        <f>A49</f>
        <v>估价对象XX用房的比较价值（楼面单价，元/平方米）</v>
      </c>
      <c r="Q49" s="4689"/>
      <c r="R49" s="4690" t="e">
        <f>IF(F1="售价",ROUND(IF(D48="简单平均",AVERAGE(R48:V48),R48*F48+T48*H48+V48*J48),0),ROUND(IF(D48="简单平均",AVERAGE(R48:V48),R48*F48+T48*H48+V48*J48),1))</f>
        <v>#DIV/0!</v>
      </c>
      <c r="S49" s="4690"/>
      <c r="T49" s="4690"/>
      <c r="U49" s="4690"/>
      <c r="V49" s="4690"/>
      <c r="W49" s="4690"/>
      <c r="X49" s="265"/>
      <c r="Y49" s="265"/>
      <c r="Z49" s="265"/>
      <c r="AA49" s="265"/>
      <c r="AB49" s="265"/>
      <c r="AC49" s="265"/>
    </row>
    <row r="50" spans="1:29">
      <c r="A50" s="2008"/>
      <c r="B50" s="2008"/>
      <c r="C50" s="2008"/>
      <c r="D50" s="2008"/>
      <c r="E50" s="2008"/>
      <c r="F50" s="2008"/>
      <c r="G50" s="2019"/>
      <c r="H50" s="2008"/>
      <c r="I50" s="2008"/>
      <c r="J50" s="2008"/>
      <c r="K50" s="2020"/>
      <c r="L50" s="2016"/>
      <c r="M50" s="2008"/>
      <c r="N50" s="2008"/>
      <c r="O50" s="2008"/>
      <c r="P50" s="2026"/>
      <c r="Q50" s="2008"/>
      <c r="R50" s="2008"/>
      <c r="S50" s="2008"/>
      <c r="T50" s="2008"/>
      <c r="U50" s="2008"/>
      <c r="V50" s="2008"/>
      <c r="W50" s="2008"/>
      <c r="X50" s="2008"/>
      <c r="Y50" s="2008"/>
      <c r="Z50" s="2008"/>
      <c r="AA50" s="2008"/>
      <c r="AB50" s="2008"/>
      <c r="AC50" s="2008"/>
    </row>
    <row r="51" spans="1:29">
      <c r="A51" s="2008"/>
      <c r="B51" s="2008"/>
      <c r="C51" s="2008"/>
      <c r="D51" s="2008"/>
      <c r="E51" s="2008"/>
      <c r="F51" s="2008"/>
      <c r="G51" s="2008"/>
      <c r="H51" s="2008"/>
      <c r="I51" s="2008"/>
      <c r="J51" s="2008"/>
      <c r="K51" s="2020"/>
      <c r="L51" s="2016"/>
      <c r="M51" s="2008"/>
      <c r="N51" s="2008"/>
      <c r="O51" s="2008"/>
      <c r="P51" s="2026"/>
      <c r="Q51" s="2008"/>
      <c r="R51" s="2008"/>
      <c r="S51" s="2008"/>
      <c r="T51" s="2008"/>
      <c r="U51" s="2008"/>
      <c r="V51" s="2008"/>
      <c r="W51" s="2008"/>
      <c r="X51" s="2008"/>
      <c r="Y51" s="2008"/>
      <c r="Z51" s="2008"/>
      <c r="AA51" s="2008"/>
      <c r="AB51" s="2008"/>
      <c r="AC51" s="2008"/>
    </row>
    <row r="52" spans="1:29" ht="13.5" customHeight="1">
      <c r="A52" s="2008"/>
      <c r="B52" s="2008"/>
      <c r="C52" s="296" t="s">
        <v>1707</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20"/>
      <c r="L52" s="2016"/>
      <c r="M52" s="2008"/>
      <c r="N52" s="2008"/>
      <c r="O52" s="2008"/>
      <c r="P52" s="2026"/>
      <c r="Q52" s="2008"/>
      <c r="R52" s="2008"/>
      <c r="S52" s="2008"/>
      <c r="T52" s="2008"/>
      <c r="U52" s="2008"/>
      <c r="V52" s="2008"/>
      <c r="W52" s="2008"/>
      <c r="X52" s="2008"/>
      <c r="Y52" s="2008"/>
      <c r="Z52" s="2008"/>
      <c r="AA52" s="2008"/>
      <c r="AB52" s="2008"/>
      <c r="AC52" s="2008"/>
    </row>
    <row r="53" spans="1:29" ht="13.5" customHeight="1">
      <c r="A53" s="2008"/>
      <c r="B53" s="2008"/>
      <c r="C53" s="296" t="s">
        <v>1708</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20"/>
      <c r="L53" s="2016"/>
      <c r="M53" s="2008"/>
      <c r="N53" s="2008"/>
      <c r="O53" s="2008"/>
      <c r="P53" s="2026"/>
      <c r="Q53" s="2008"/>
      <c r="R53" s="2008"/>
      <c r="S53" s="2008"/>
      <c r="T53" s="2008"/>
      <c r="U53" s="2008"/>
      <c r="V53" s="2008"/>
      <c r="W53" s="2008"/>
      <c r="X53" s="2008"/>
      <c r="Y53" s="2008"/>
      <c r="Z53" s="2008"/>
      <c r="AA53" s="2008"/>
      <c r="AB53" s="2008"/>
      <c r="AC53" s="2008"/>
    </row>
    <row r="54" spans="1:29" s="301" customFormat="1" ht="13.5" customHeight="1">
      <c r="A54" s="2018"/>
      <c r="B54" s="2018"/>
      <c r="C54" s="296" t="s">
        <v>1709</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3"/>
      <c r="L54" s="2017"/>
      <c r="M54" s="2018"/>
      <c r="N54" s="2018"/>
      <c r="O54" s="2018"/>
      <c r="P54" s="2027"/>
      <c r="Q54" s="2018"/>
      <c r="R54" s="2018"/>
      <c r="S54" s="2018"/>
      <c r="T54" s="2018"/>
      <c r="U54" s="2018"/>
      <c r="V54" s="2018"/>
      <c r="W54" s="2018"/>
      <c r="X54" s="2018"/>
      <c r="Y54" s="2018"/>
      <c r="Z54" s="2018"/>
      <c r="AA54" s="2018"/>
      <c r="AB54" s="2018"/>
      <c r="AC54" s="2018"/>
    </row>
    <row r="55" spans="1:29" s="301" customFormat="1">
      <c r="A55" s="2018"/>
      <c r="B55" s="2021"/>
      <c r="C55" s="2022"/>
      <c r="D55" s="2018"/>
      <c r="E55" s="2018"/>
      <c r="F55" s="2018"/>
      <c r="G55" s="2018"/>
      <c r="H55" s="2018"/>
      <c r="I55" s="2018"/>
      <c r="J55" s="2018"/>
      <c r="K55" s="2023"/>
      <c r="L55" s="2017"/>
      <c r="M55" s="2018"/>
      <c r="N55" s="2018"/>
      <c r="O55" s="2018"/>
      <c r="P55" s="2027"/>
      <c r="Q55" s="2018"/>
      <c r="R55" s="2018"/>
      <c r="S55" s="2018"/>
      <c r="T55" s="2018"/>
      <c r="U55" s="2018"/>
      <c r="V55" s="2018"/>
      <c r="W55" s="2018"/>
      <c r="X55" s="2018"/>
      <c r="Y55" s="2018"/>
      <c r="Z55" s="2018"/>
      <c r="AA55" s="2018"/>
      <c r="AB55" s="2018"/>
      <c r="AC55" s="2018"/>
    </row>
    <row r="56" spans="1:29">
      <c r="A56" s="2008"/>
      <c r="B56" s="2021"/>
      <c r="C56" s="2022"/>
      <c r="D56" s="2008"/>
      <c r="E56" s="2008"/>
      <c r="F56" s="2008"/>
      <c r="G56" s="2008"/>
      <c r="H56" s="2008"/>
      <c r="I56" s="2008"/>
      <c r="J56" s="2008"/>
      <c r="K56" s="2020"/>
      <c r="L56" s="2016"/>
      <c r="M56" s="2008"/>
      <c r="N56" s="2008"/>
      <c r="O56" s="2008"/>
      <c r="P56" s="2026"/>
      <c r="Q56" s="2008"/>
      <c r="R56" s="2008"/>
      <c r="S56" s="2008"/>
      <c r="T56" s="2008"/>
      <c r="U56" s="2008"/>
      <c r="V56" s="2008"/>
      <c r="W56" s="2008"/>
      <c r="X56" s="2008"/>
      <c r="Y56" s="2008"/>
      <c r="Z56" s="2008"/>
      <c r="AA56" s="2008"/>
      <c r="AB56" s="2008"/>
      <c r="AC56" s="2008"/>
    </row>
    <row r="57" spans="1:29" ht="21.75" thickBot="1">
      <c r="A57" s="476" t="s">
        <v>1710</v>
      </c>
      <c r="B57" s="265"/>
      <c r="C57" s="477"/>
      <c r="D57" s="477"/>
      <c r="E57" s="477"/>
      <c r="F57" s="478"/>
      <c r="G57" s="478"/>
      <c r="H57" s="477"/>
      <c r="I57" s="477"/>
      <c r="J57" s="477"/>
      <c r="K57" s="479"/>
      <c r="L57" s="638"/>
      <c r="M57" s="636"/>
      <c r="N57" s="636"/>
      <c r="O57" s="636"/>
      <c r="P57" s="2028"/>
      <c r="Q57" s="2029"/>
      <c r="R57" s="2008"/>
      <c r="S57" s="2008"/>
      <c r="T57" s="2008"/>
      <c r="U57" s="2008"/>
      <c r="V57" s="2008"/>
      <c r="W57" s="2008"/>
      <c r="X57" s="2008"/>
      <c r="Y57" s="2008"/>
      <c r="Z57" s="2008"/>
      <c r="AA57" s="2008"/>
      <c r="AB57" s="2008"/>
      <c r="AC57" s="2008"/>
    </row>
    <row r="58" spans="1:29" s="305" customFormat="1" ht="15">
      <c r="A58" s="303" t="s">
        <v>1591</v>
      </c>
      <c r="B58" s="304"/>
      <c r="C58" s="803" t="str">
        <f>YEAR(C7)&amp;"-"&amp;MONTH(C7)</f>
        <v>2026-1</v>
      </c>
      <c r="D58" s="804">
        <f>EDATE(C58,-1)</f>
        <v>45992</v>
      </c>
      <c r="E58" s="804">
        <f t="shared" ref="E58:N58" si="16">EDATE(D58,-1)</f>
        <v>45962</v>
      </c>
      <c r="F58" s="804">
        <f t="shared" si="16"/>
        <v>45931</v>
      </c>
      <c r="G58" s="804">
        <f t="shared" si="16"/>
        <v>45901</v>
      </c>
      <c r="H58" s="804">
        <f t="shared" si="16"/>
        <v>45870</v>
      </c>
      <c r="I58" s="804">
        <f t="shared" si="16"/>
        <v>45839</v>
      </c>
      <c r="J58" s="804">
        <f t="shared" si="16"/>
        <v>45809</v>
      </c>
      <c r="K58" s="804">
        <f t="shared" si="16"/>
        <v>45778</v>
      </c>
      <c r="L58" s="804">
        <f t="shared" si="16"/>
        <v>45748</v>
      </c>
      <c r="M58" s="804">
        <f t="shared" si="16"/>
        <v>45717</v>
      </c>
      <c r="N58" s="804">
        <f t="shared" si="16"/>
        <v>45689</v>
      </c>
      <c r="O58" s="804">
        <f>EDATE(N58,-1)</f>
        <v>45658</v>
      </c>
      <c r="P58" s="2030"/>
      <c r="Q58" s="2031"/>
      <c r="R58" s="2031"/>
      <c r="S58" s="2031"/>
      <c r="T58" s="2031"/>
      <c r="U58" s="2031"/>
      <c r="V58" s="2031"/>
      <c r="W58" s="2031"/>
      <c r="X58" s="2031"/>
      <c r="Y58" s="2031"/>
      <c r="Z58" s="2031"/>
      <c r="AA58" s="2031"/>
      <c r="AB58" s="2031"/>
      <c r="AC58" s="2031"/>
    </row>
    <row r="59" spans="1:29" s="46" customFormat="1" ht="15">
      <c r="A59" s="306"/>
      <c r="B59" s="307"/>
      <c r="C59" s="802">
        <v>100</v>
      </c>
      <c r="D59" s="309"/>
      <c r="E59" s="309"/>
      <c r="F59" s="309"/>
      <c r="G59" s="309"/>
      <c r="H59" s="309"/>
      <c r="I59" s="309"/>
      <c r="J59" s="309"/>
      <c r="K59" s="309"/>
      <c r="L59" s="309"/>
      <c r="M59" s="310"/>
      <c r="N59" s="309"/>
      <c r="O59" s="310"/>
      <c r="P59" s="2032"/>
      <c r="Q59" s="1962"/>
      <c r="R59" s="1962"/>
      <c r="S59" s="1962"/>
      <c r="T59" s="1962"/>
      <c r="U59" s="1962"/>
      <c r="V59" s="1962"/>
      <c r="W59" s="1962"/>
      <c r="X59" s="1962"/>
      <c r="Y59" s="1962"/>
      <c r="Z59" s="1962"/>
      <c r="AA59" s="1962"/>
      <c r="AB59" s="1962"/>
      <c r="AC59" s="1962"/>
    </row>
    <row r="60" spans="1:29" s="46" customFormat="1" ht="15.75" thickBot="1">
      <c r="A60" s="312" t="s">
        <v>1628</v>
      </c>
      <c r="B60" s="313"/>
      <c r="C60" s="314"/>
      <c r="D60" s="315"/>
      <c r="E60" s="315"/>
      <c r="F60" s="315"/>
      <c r="G60" s="315"/>
      <c r="H60" s="315"/>
      <c r="I60" s="315"/>
      <c r="J60" s="315"/>
      <c r="K60" s="315"/>
      <c r="L60" s="315"/>
      <c r="M60" s="316"/>
      <c r="N60" s="315"/>
      <c r="O60" s="316"/>
      <c r="P60" s="2032"/>
      <c r="Q60" s="2029"/>
      <c r="R60" s="1962"/>
      <c r="S60" s="1962"/>
      <c r="T60" s="1962"/>
      <c r="U60" s="1962"/>
      <c r="V60" s="1962"/>
      <c r="W60" s="1962"/>
      <c r="X60" s="1962"/>
      <c r="Y60" s="1962"/>
      <c r="Z60" s="1962"/>
      <c r="AA60" s="1962"/>
      <c r="AB60" s="1962"/>
      <c r="AC60" s="1962"/>
    </row>
    <row r="61" spans="1:29" s="46" customFormat="1" ht="15">
      <c r="A61" s="318" t="s">
        <v>1593</v>
      </c>
      <c r="B61" s="307"/>
      <c r="C61" s="319" t="s">
        <v>1688</v>
      </c>
      <c r="D61" s="20"/>
      <c r="E61" s="20"/>
      <c r="F61" s="20"/>
      <c r="G61" s="20"/>
      <c r="H61" s="20"/>
      <c r="I61" s="20"/>
      <c r="J61" s="20"/>
      <c r="K61" s="20"/>
      <c r="L61" s="320"/>
      <c r="M61" s="321"/>
      <c r="N61" s="2041"/>
      <c r="O61" s="2041"/>
      <c r="P61" s="2033"/>
      <c r="Q61" s="2029"/>
      <c r="R61" s="1962"/>
      <c r="S61" s="1962"/>
      <c r="T61" s="1962"/>
      <c r="U61" s="1962"/>
      <c r="V61" s="1962"/>
      <c r="W61" s="1962"/>
      <c r="X61" s="1962"/>
      <c r="Y61" s="1962"/>
      <c r="Z61" s="1962"/>
      <c r="AA61" s="1962"/>
      <c r="AB61" s="1962"/>
      <c r="AC61" s="1962"/>
    </row>
    <row r="62" spans="1:29" s="46" customFormat="1" ht="15.75" thickBot="1">
      <c r="A62" s="318"/>
      <c r="B62" s="307"/>
      <c r="C62" s="308">
        <v>100</v>
      </c>
      <c r="D62" s="309"/>
      <c r="E62" s="309"/>
      <c r="F62" s="309"/>
      <c r="G62" s="309"/>
      <c r="H62" s="309"/>
      <c r="I62" s="309"/>
      <c r="J62" s="309"/>
      <c r="K62" s="309"/>
      <c r="L62" s="309"/>
      <c r="M62" s="311"/>
      <c r="N62" s="2041"/>
      <c r="O62" s="2041"/>
      <c r="P62" s="2032"/>
      <c r="Q62" s="2029"/>
      <c r="R62" s="1962"/>
      <c r="S62" s="1962"/>
      <c r="T62" s="1962"/>
      <c r="U62" s="1962"/>
      <c r="V62" s="1962"/>
      <c r="W62" s="1962"/>
      <c r="X62" s="1962"/>
      <c r="Y62" s="1962"/>
      <c r="Z62" s="1962"/>
      <c r="AA62" s="1962"/>
      <c r="AB62" s="1962"/>
      <c r="AC62" s="1962"/>
    </row>
    <row r="63" spans="1:29">
      <c r="A63" s="262" t="s">
        <v>1631</v>
      </c>
      <c r="B63" s="322" t="s">
        <v>1597</v>
      </c>
      <c r="C63" s="323">
        <f>C9</f>
        <v>0</v>
      </c>
      <c r="D63" s="324"/>
      <c r="E63" s="324"/>
      <c r="F63" s="324"/>
      <c r="G63" s="324"/>
      <c r="H63" s="324"/>
      <c r="I63" s="324"/>
      <c r="J63" s="324"/>
      <c r="K63" s="325"/>
      <c r="L63" s="326"/>
      <c r="M63" s="327"/>
      <c r="N63" s="2042"/>
      <c r="O63" s="2042"/>
      <c r="P63" s="2034"/>
      <c r="Q63" s="2029"/>
      <c r="R63" s="2008"/>
      <c r="S63" s="2008"/>
      <c r="T63" s="2008"/>
      <c r="U63" s="2008"/>
      <c r="V63" s="2008"/>
      <c r="W63" s="2008"/>
      <c r="X63" s="2008"/>
      <c r="Y63" s="2008"/>
      <c r="Z63" s="2008"/>
      <c r="AA63" s="2008"/>
      <c r="AB63" s="2008"/>
      <c r="AC63" s="2008"/>
    </row>
    <row r="64" spans="1:29" ht="15.75" thickBot="1">
      <c r="A64" s="254"/>
      <c r="B64" s="328"/>
      <c r="C64" s="329">
        <v>100</v>
      </c>
      <c r="D64" s="329"/>
      <c r="E64" s="329"/>
      <c r="F64" s="329"/>
      <c r="G64" s="329"/>
      <c r="H64" s="329"/>
      <c r="I64" s="329"/>
      <c r="J64" s="329"/>
      <c r="K64" s="329"/>
      <c r="L64" s="329"/>
      <c r="M64" s="330"/>
      <c r="N64" s="2043"/>
      <c r="O64" s="2043"/>
      <c r="P64" s="2034"/>
      <c r="Q64" s="2029"/>
      <c r="R64" s="2008"/>
      <c r="S64" s="2008"/>
      <c r="T64" s="2008"/>
      <c r="U64" s="2008"/>
      <c r="V64" s="2008"/>
      <c r="W64" s="2008"/>
      <c r="X64" s="2008"/>
      <c r="Y64" s="2008"/>
      <c r="Z64" s="2008"/>
      <c r="AA64" s="2008"/>
      <c r="AB64" s="2008"/>
      <c r="AC64" s="2008"/>
    </row>
    <row r="65" spans="1:29" ht="27.75" thickTop="1">
      <c r="A65" s="254"/>
      <c r="B65" s="331" t="s">
        <v>1600</v>
      </c>
      <c r="C65" s="372"/>
      <c r="D65" s="372"/>
      <c r="E65" s="372"/>
      <c r="F65" s="372"/>
      <c r="G65" s="372"/>
      <c r="H65" s="372"/>
      <c r="I65" s="372"/>
      <c r="J65" s="372"/>
      <c r="K65" s="373"/>
      <c r="L65" s="374"/>
      <c r="M65" s="375"/>
      <c r="N65" s="2042"/>
      <c r="O65" s="2042"/>
      <c r="P65" s="2034"/>
      <c r="Q65" s="2029"/>
      <c r="R65" s="2008"/>
      <c r="S65" s="2008"/>
      <c r="T65" s="2008"/>
      <c r="U65" s="2008"/>
      <c r="V65" s="2008"/>
      <c r="W65" s="2008"/>
      <c r="X65" s="2008"/>
      <c r="Y65" s="2008"/>
      <c r="Z65" s="2008"/>
      <c r="AA65" s="2008"/>
      <c r="AB65" s="2008"/>
      <c r="AC65" s="2008"/>
    </row>
    <row r="66" spans="1:29" ht="15.75" thickBot="1">
      <c r="A66" s="254"/>
      <c r="B66" s="336" t="s">
        <v>3882</v>
      </c>
      <c r="C66" s="329"/>
      <c r="D66" s="329"/>
      <c r="E66" s="329"/>
      <c r="F66" s="329"/>
      <c r="G66" s="329"/>
      <c r="H66" s="329"/>
      <c r="I66" s="329"/>
      <c r="J66" s="329"/>
      <c r="K66" s="329"/>
      <c r="L66" s="329"/>
      <c r="M66" s="330"/>
      <c r="N66" s="2043"/>
      <c r="O66" s="2043"/>
      <c r="P66" s="2034"/>
      <c r="Q66" s="2029"/>
      <c r="R66" s="2008"/>
      <c r="S66" s="2008"/>
      <c r="T66" s="2008"/>
      <c r="U66" s="2008"/>
      <c r="V66" s="2008"/>
      <c r="W66" s="2008"/>
      <c r="X66" s="2008"/>
      <c r="Y66" s="2008"/>
      <c r="Z66" s="2008"/>
      <c r="AA66" s="2008"/>
      <c r="AB66" s="2008"/>
      <c r="AC66" s="2008"/>
    </row>
    <row r="67" spans="1:29" ht="15.75" thickTop="1">
      <c r="A67" s="254"/>
      <c r="B67" s="339" t="s">
        <v>1601</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43"/>
      <c r="O67" s="2043"/>
      <c r="P67" s="2034"/>
      <c r="Q67" s="2029"/>
      <c r="R67" s="2008"/>
      <c r="S67" s="2008"/>
      <c r="T67" s="2008"/>
      <c r="U67" s="2008"/>
      <c r="V67" s="2008"/>
      <c r="W67" s="2008"/>
      <c r="X67" s="2008"/>
      <c r="Y67" s="2008"/>
      <c r="Z67" s="2008"/>
      <c r="AA67" s="2008"/>
      <c r="AB67" s="2008"/>
      <c r="AC67" s="2008"/>
    </row>
    <row r="68" spans="1:29" ht="15">
      <c r="A68" s="254"/>
      <c r="B68" s="341"/>
      <c r="C68" s="342">
        <v>0</v>
      </c>
      <c r="D68" s="342">
        <v>0.5</v>
      </c>
      <c r="E68" s="342">
        <v>1</v>
      </c>
      <c r="F68" s="342">
        <v>1.5</v>
      </c>
      <c r="G68" s="342">
        <v>2</v>
      </c>
      <c r="H68" s="342"/>
      <c r="I68" s="342"/>
      <c r="J68" s="342"/>
      <c r="K68" s="343"/>
      <c r="L68" s="344"/>
      <c r="M68" s="345"/>
      <c r="N68" s="2042"/>
      <c r="O68" s="2042"/>
      <c r="P68" s="2034"/>
      <c r="Q68" s="2029"/>
      <c r="R68" s="2008"/>
      <c r="S68" s="2008"/>
      <c r="T68" s="2008"/>
      <c r="U68" s="2008"/>
      <c r="V68" s="2008"/>
      <c r="W68" s="2008"/>
      <c r="X68" s="2008"/>
      <c r="Y68" s="2008"/>
      <c r="Z68" s="2008"/>
      <c r="AA68" s="2008"/>
      <c r="AB68" s="2008"/>
      <c r="AC68" s="2008"/>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43"/>
      <c r="O69" s="2043"/>
      <c r="P69" s="2034"/>
      <c r="Q69" s="2029"/>
      <c r="R69" s="2008"/>
      <c r="S69" s="2008"/>
      <c r="T69" s="2008"/>
      <c r="U69" s="2008"/>
      <c r="V69" s="2008"/>
      <c r="W69" s="2008"/>
      <c r="X69" s="2008"/>
      <c r="Y69" s="2008"/>
      <c r="Z69" s="2008"/>
      <c r="AA69" s="2008"/>
      <c r="AB69" s="2008"/>
      <c r="AC69" s="2008"/>
    </row>
    <row r="70" spans="1:29" s="279" customFormat="1" ht="15.75" thickTop="1">
      <c r="A70" s="346"/>
      <c r="B70" s="331">
        <f>B12</f>
        <v>111</v>
      </c>
      <c r="C70" s="347"/>
      <c r="D70" s="347"/>
      <c r="E70" s="347"/>
      <c r="F70" s="347"/>
      <c r="G70" s="347"/>
      <c r="H70" s="348"/>
      <c r="I70" s="348"/>
      <c r="J70" s="348"/>
      <c r="K70" s="348"/>
      <c r="L70" s="349"/>
      <c r="M70" s="350"/>
      <c r="N70" s="2044"/>
      <c r="O70" s="2044"/>
      <c r="P70" s="2035"/>
      <c r="Q70" s="2036"/>
      <c r="R70" s="2014"/>
      <c r="S70" s="2014"/>
      <c r="T70" s="2014"/>
      <c r="U70" s="2014"/>
      <c r="V70" s="2014"/>
      <c r="W70" s="2014"/>
      <c r="X70" s="2014"/>
      <c r="Y70" s="2014"/>
      <c r="Z70" s="2014"/>
      <c r="AA70" s="2014"/>
      <c r="AB70" s="2014"/>
      <c r="AC70" s="2014"/>
    </row>
    <row r="71" spans="1:29" s="279" customFormat="1" ht="15.75" thickBot="1">
      <c r="A71" s="346"/>
      <c r="B71" s="336"/>
      <c r="C71" s="352"/>
      <c r="D71" s="329"/>
      <c r="E71" s="329"/>
      <c r="F71" s="329"/>
      <c r="G71" s="329"/>
      <c r="H71" s="329"/>
      <c r="I71" s="329"/>
      <c r="J71" s="329"/>
      <c r="K71" s="329"/>
      <c r="L71" s="329"/>
      <c r="M71" s="330"/>
      <c r="N71" s="2043"/>
      <c r="O71" s="2043"/>
      <c r="P71" s="2035"/>
      <c r="Q71" s="2036"/>
      <c r="R71" s="2014"/>
      <c r="S71" s="2014"/>
      <c r="T71" s="2014"/>
      <c r="U71" s="2014"/>
      <c r="V71" s="2014"/>
      <c r="W71" s="2014"/>
      <c r="X71" s="2014"/>
      <c r="Y71" s="2014"/>
      <c r="Z71" s="2014"/>
      <c r="AA71" s="2014"/>
      <c r="AB71" s="2014"/>
      <c r="AC71" s="2014"/>
    </row>
    <row r="72" spans="1:29" s="279" customFormat="1" ht="15.75" thickTop="1">
      <c r="A72" s="346"/>
      <c r="B72" s="331">
        <f>B13</f>
        <v>111</v>
      </c>
      <c r="C72" s="347"/>
      <c r="D72" s="347"/>
      <c r="E72" s="347"/>
      <c r="F72" s="347"/>
      <c r="G72" s="347"/>
      <c r="H72" s="348"/>
      <c r="I72" s="348"/>
      <c r="J72" s="348"/>
      <c r="K72" s="348"/>
      <c r="L72" s="349"/>
      <c r="M72" s="350"/>
      <c r="N72" s="2044"/>
      <c r="O72" s="2044"/>
      <c r="P72" s="2037"/>
      <c r="Q72" s="2038"/>
      <c r="R72" s="2014"/>
      <c r="S72" s="2014"/>
      <c r="T72" s="2014"/>
      <c r="U72" s="2014"/>
      <c r="V72" s="2014"/>
      <c r="W72" s="2014"/>
      <c r="X72" s="2014"/>
      <c r="Y72" s="2014"/>
      <c r="Z72" s="2014"/>
      <c r="AA72" s="2014"/>
      <c r="AB72" s="2014"/>
      <c r="AC72" s="2014"/>
    </row>
    <row r="73" spans="1:29" s="279" customFormat="1" ht="15.75" thickBot="1">
      <c r="A73" s="346"/>
      <c r="B73" s="336"/>
      <c r="C73" s="352"/>
      <c r="D73" s="329"/>
      <c r="E73" s="329"/>
      <c r="F73" s="329"/>
      <c r="G73" s="352"/>
      <c r="H73" s="354"/>
      <c r="I73" s="354"/>
      <c r="J73" s="354"/>
      <c r="K73" s="354"/>
      <c r="L73" s="354"/>
      <c r="M73" s="355"/>
      <c r="N73" s="2044"/>
      <c r="O73" s="2044"/>
      <c r="P73" s="2035"/>
      <c r="Q73" s="2036"/>
      <c r="R73" s="2014"/>
      <c r="S73" s="2014"/>
      <c r="T73" s="2014"/>
      <c r="U73" s="2014"/>
      <c r="V73" s="2014"/>
      <c r="W73" s="2014"/>
      <c r="X73" s="2014"/>
      <c r="Y73" s="2014"/>
      <c r="Z73" s="2014"/>
      <c r="AA73" s="2014"/>
      <c r="AB73" s="2014"/>
      <c r="AC73" s="2014"/>
    </row>
    <row r="74" spans="1:29" s="279" customFormat="1" ht="15.75" thickTop="1">
      <c r="A74" s="346"/>
      <c r="B74" s="339">
        <f>B14</f>
        <v>111</v>
      </c>
      <c r="C74" s="347"/>
      <c r="D74" s="347"/>
      <c r="E74" s="347"/>
      <c r="F74" s="347"/>
      <c r="G74" s="20"/>
      <c r="H74" s="356"/>
      <c r="I74" s="356"/>
      <c r="J74" s="356"/>
      <c r="K74" s="356"/>
      <c r="L74" s="357"/>
      <c r="M74" s="358"/>
      <c r="N74" s="2044"/>
      <c r="O74" s="2044"/>
      <c r="P74" s="2039"/>
      <c r="Q74" s="2036"/>
      <c r="R74" s="2014"/>
      <c r="S74" s="2014"/>
      <c r="T74" s="2014"/>
      <c r="U74" s="2014"/>
      <c r="V74" s="2014"/>
      <c r="W74" s="2014"/>
      <c r="X74" s="2014"/>
      <c r="Y74" s="2014"/>
      <c r="Z74" s="2014"/>
      <c r="AA74" s="2014"/>
      <c r="AB74" s="2014"/>
      <c r="AC74" s="2014"/>
    </row>
    <row r="75" spans="1:29" s="279" customFormat="1" ht="15.75" thickBot="1">
      <c r="A75" s="359"/>
      <c r="B75" s="360"/>
      <c r="C75" s="361"/>
      <c r="D75" s="361"/>
      <c r="E75" s="361"/>
      <c r="F75" s="361"/>
      <c r="G75" s="361"/>
      <c r="H75" s="362"/>
      <c r="I75" s="362"/>
      <c r="J75" s="362"/>
      <c r="K75" s="362"/>
      <c r="L75" s="362"/>
      <c r="M75" s="363"/>
      <c r="N75" s="2044"/>
      <c r="O75" s="2044"/>
      <c r="P75" s="2035"/>
      <c r="Q75" s="2036"/>
      <c r="R75" s="2014"/>
      <c r="S75" s="2014"/>
      <c r="T75" s="2014"/>
      <c r="U75" s="2014"/>
      <c r="V75" s="2014"/>
      <c r="W75" s="2014"/>
      <c r="X75" s="2014"/>
      <c r="Y75" s="2014"/>
      <c r="Z75" s="2014"/>
      <c r="AA75" s="2014"/>
      <c r="AB75" s="2014"/>
      <c r="AC75" s="2014"/>
    </row>
    <row r="76" spans="1:29">
      <c r="A76" s="262" t="s">
        <v>1602</v>
      </c>
      <c r="B76" s="322" t="s">
        <v>1632</v>
      </c>
      <c r="C76" s="364" t="s">
        <v>1633</v>
      </c>
      <c r="D76" s="364" t="s">
        <v>1634</v>
      </c>
      <c r="E76" s="364" t="s">
        <v>1635</v>
      </c>
      <c r="F76" s="364" t="s">
        <v>1636</v>
      </c>
      <c r="G76" s="364" t="s">
        <v>1637</v>
      </c>
      <c r="H76" s="323"/>
      <c r="I76" s="323"/>
      <c r="J76" s="323"/>
      <c r="K76" s="365"/>
      <c r="L76" s="366"/>
      <c r="M76" s="367"/>
      <c r="N76" s="2042"/>
      <c r="O76" s="2042"/>
      <c r="P76" s="2040"/>
      <c r="Q76" s="2029"/>
      <c r="R76" s="2008"/>
      <c r="S76" s="2008"/>
      <c r="T76" s="2008"/>
      <c r="U76" s="2008"/>
      <c r="V76" s="2008"/>
      <c r="W76" s="2008"/>
      <c r="X76" s="2008"/>
      <c r="Y76" s="2008"/>
      <c r="Z76" s="2008"/>
      <c r="AA76" s="2008"/>
      <c r="AB76" s="2008"/>
      <c r="AC76" s="2008"/>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43"/>
      <c r="O77" s="2043"/>
      <c r="P77" s="2034"/>
      <c r="Q77" s="2029"/>
      <c r="R77" s="2008"/>
      <c r="S77" s="2008"/>
      <c r="T77" s="2008"/>
      <c r="U77" s="2008"/>
      <c r="V77" s="2008"/>
      <c r="W77" s="2008"/>
      <c r="X77" s="2008"/>
      <c r="Y77" s="2008"/>
      <c r="Z77" s="2008"/>
      <c r="AA77" s="2008"/>
      <c r="AB77" s="2008"/>
      <c r="AC77" s="2008"/>
    </row>
    <row r="78" spans="1:29" ht="15.75" thickTop="1">
      <c r="A78" s="254"/>
      <c r="B78" s="331" t="s">
        <v>1638</v>
      </c>
      <c r="C78" s="368" t="s">
        <v>1633</v>
      </c>
      <c r="D78" s="368" t="s">
        <v>1634</v>
      </c>
      <c r="E78" s="368" t="s">
        <v>1635</v>
      </c>
      <c r="F78" s="368" t="s">
        <v>1636</v>
      </c>
      <c r="G78" s="368" t="s">
        <v>1637</v>
      </c>
      <c r="H78" s="332"/>
      <c r="I78" s="332"/>
      <c r="J78" s="332"/>
      <c r="K78" s="333"/>
      <c r="L78" s="334"/>
      <c r="M78" s="335"/>
      <c r="N78" s="2042"/>
      <c r="O78" s="2042"/>
      <c r="P78" s="2034"/>
      <c r="Q78" s="2029"/>
      <c r="R78" s="2008"/>
      <c r="S78" s="2008"/>
      <c r="T78" s="2008"/>
      <c r="U78" s="2008"/>
      <c r="V78" s="2008"/>
      <c r="W78" s="2008"/>
      <c r="X78" s="2008"/>
      <c r="Y78" s="2008"/>
      <c r="Z78" s="2008"/>
      <c r="AA78" s="2008"/>
      <c r="AB78" s="2008"/>
      <c r="AC78" s="2008"/>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43"/>
      <c r="O79" s="2043"/>
      <c r="P79" s="2034"/>
      <c r="Q79" s="2029"/>
      <c r="R79" s="2008"/>
      <c r="S79" s="2008"/>
      <c r="T79" s="2008"/>
      <c r="U79" s="2008"/>
      <c r="V79" s="2008"/>
      <c r="W79" s="2008"/>
      <c r="X79" s="2008"/>
      <c r="Y79" s="2008"/>
      <c r="Z79" s="2008"/>
      <c r="AA79" s="2008"/>
      <c r="AB79" s="2008"/>
      <c r="AC79" s="2008"/>
    </row>
    <row r="80" spans="1:29" ht="15.75" thickTop="1">
      <c r="A80" s="254"/>
      <c r="B80" s="331" t="s">
        <v>1639</v>
      </c>
      <c r="C80" s="368" t="s">
        <v>1633</v>
      </c>
      <c r="D80" s="368" t="s">
        <v>1634</v>
      </c>
      <c r="E80" s="368" t="s">
        <v>1635</v>
      </c>
      <c r="F80" s="368" t="s">
        <v>1636</v>
      </c>
      <c r="G80" s="368" t="s">
        <v>1637</v>
      </c>
      <c r="H80" s="332"/>
      <c r="I80" s="332"/>
      <c r="J80" s="332"/>
      <c r="K80" s="333"/>
      <c r="L80" s="334"/>
      <c r="M80" s="335"/>
      <c r="N80" s="2042"/>
      <c r="O80" s="2042"/>
      <c r="P80" s="2034"/>
      <c r="Q80" s="2029"/>
      <c r="R80" s="2008"/>
      <c r="S80" s="2008"/>
      <c r="T80" s="2008"/>
      <c r="U80" s="2008"/>
      <c r="V80" s="2008"/>
      <c r="W80" s="2008"/>
      <c r="X80" s="2008"/>
      <c r="Y80" s="2008"/>
      <c r="Z80" s="2008"/>
      <c r="AA80" s="2008"/>
      <c r="AB80" s="2008"/>
      <c r="AC80" s="2008"/>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43"/>
      <c r="O81" s="2043"/>
      <c r="P81" s="2034"/>
      <c r="Q81" s="2029"/>
      <c r="R81" s="2008"/>
      <c r="S81" s="2008"/>
      <c r="T81" s="2008"/>
      <c r="U81" s="2008"/>
      <c r="V81" s="2008"/>
      <c r="W81" s="2008"/>
      <c r="X81" s="2008"/>
      <c r="Y81" s="2008"/>
      <c r="Z81" s="2008"/>
      <c r="AA81" s="2008"/>
      <c r="AB81" s="2008"/>
      <c r="AC81" s="2008"/>
    </row>
    <row r="82" spans="1:29" ht="15.75" thickTop="1">
      <c r="A82" s="254"/>
      <c r="B82" s="339" t="s">
        <v>1691</v>
      </c>
      <c r="C82" s="428" t="s">
        <v>1711</v>
      </c>
      <c r="D82" s="428" t="s">
        <v>1712</v>
      </c>
      <c r="E82" s="428" t="s">
        <v>1713</v>
      </c>
      <c r="F82" s="428" t="s">
        <v>1714</v>
      </c>
      <c r="G82" s="428" t="s">
        <v>1715</v>
      </c>
      <c r="H82" s="332"/>
      <c r="I82" s="332"/>
      <c r="J82" s="332"/>
      <c r="K82" s="332"/>
      <c r="L82" s="332"/>
      <c r="M82" s="779"/>
      <c r="N82" s="2043"/>
      <c r="O82" s="2043"/>
      <c r="P82" s="2034"/>
      <c r="Q82" s="2029"/>
      <c r="R82" s="2008"/>
      <c r="S82" s="2008"/>
      <c r="T82" s="2008"/>
      <c r="U82" s="2008"/>
      <c r="V82" s="2008"/>
      <c r="W82" s="2008"/>
      <c r="X82" s="2008"/>
      <c r="Y82" s="2008"/>
      <c r="Z82" s="2008"/>
      <c r="AA82" s="2008"/>
      <c r="AB82" s="2008"/>
      <c r="AC82" s="2008"/>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43"/>
      <c r="O83" s="2043"/>
      <c r="P83" s="2034"/>
      <c r="Q83" s="2029"/>
      <c r="R83" s="2008"/>
      <c r="S83" s="2008"/>
      <c r="T83" s="2008"/>
      <c r="U83" s="2008"/>
      <c r="V83" s="2008"/>
      <c r="W83" s="2008"/>
      <c r="X83" s="2008"/>
      <c r="Y83" s="2008"/>
      <c r="Z83" s="2008"/>
      <c r="AA83" s="2008"/>
      <c r="AB83" s="2008"/>
      <c r="AC83" s="2008"/>
    </row>
    <row r="84" spans="1:29" ht="15.75" thickTop="1">
      <c r="A84" s="254"/>
      <c r="B84" s="331" t="s">
        <v>1645</v>
      </c>
      <c r="C84" s="368" t="s">
        <v>1633</v>
      </c>
      <c r="D84" s="368" t="s">
        <v>1634</v>
      </c>
      <c r="E84" s="368" t="s">
        <v>1635</v>
      </c>
      <c r="F84" s="368" t="s">
        <v>1636</v>
      </c>
      <c r="G84" s="368" t="s">
        <v>1637</v>
      </c>
      <c r="H84" s="332"/>
      <c r="I84" s="332"/>
      <c r="J84" s="332"/>
      <c r="K84" s="333"/>
      <c r="L84" s="334"/>
      <c r="M84" s="335"/>
      <c r="N84" s="2042"/>
      <c r="O84" s="2042"/>
      <c r="P84" s="2034"/>
      <c r="Q84" s="2029"/>
      <c r="R84" s="2008"/>
      <c r="S84" s="2008"/>
      <c r="T84" s="2008"/>
      <c r="U84" s="2008"/>
      <c r="V84" s="2008"/>
      <c r="W84" s="2008"/>
      <c r="X84" s="2008"/>
      <c r="Y84" s="2008"/>
      <c r="Z84" s="2008"/>
      <c r="AA84" s="2008"/>
      <c r="AB84" s="2008"/>
      <c r="AC84" s="2008"/>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43"/>
      <c r="O85" s="2043"/>
      <c r="P85" s="2034"/>
      <c r="Q85" s="2029"/>
      <c r="R85" s="2008"/>
      <c r="S85" s="2008"/>
      <c r="T85" s="2008"/>
      <c r="U85" s="2008"/>
      <c r="V85" s="2008"/>
      <c r="W85" s="2008"/>
      <c r="X85" s="2008"/>
      <c r="Y85" s="2008"/>
      <c r="Z85" s="2008"/>
      <c r="AA85" s="2008"/>
      <c r="AB85" s="2008"/>
      <c r="AC85" s="2008"/>
    </row>
    <row r="86" spans="1:29" s="46" customFormat="1" ht="15.75" thickTop="1">
      <c r="A86" s="257"/>
      <c r="B86" s="331" t="s">
        <v>1716</v>
      </c>
      <c r="C86" s="347"/>
      <c r="D86" s="347"/>
      <c r="E86" s="347"/>
      <c r="F86" s="347"/>
      <c r="G86" s="347"/>
      <c r="H86" s="347"/>
      <c r="I86" s="347"/>
      <c r="J86" s="347"/>
      <c r="K86" s="347"/>
      <c r="L86" s="369"/>
      <c r="M86" s="370"/>
      <c r="N86" s="2041"/>
      <c r="O86" s="2041"/>
      <c r="P86" s="2034"/>
      <c r="Q86" s="2029"/>
      <c r="R86" s="1962"/>
      <c r="S86" s="1962"/>
      <c r="T86" s="1962"/>
      <c r="U86" s="1962"/>
      <c r="V86" s="1962"/>
      <c r="W86" s="1962"/>
      <c r="X86" s="1962"/>
      <c r="Y86" s="1962"/>
      <c r="Z86" s="1962"/>
      <c r="AA86" s="1962"/>
      <c r="AB86" s="1962"/>
      <c r="AC86" s="1962"/>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43"/>
      <c r="O87" s="2043"/>
      <c r="P87" s="2034"/>
      <c r="Q87" s="2029"/>
      <c r="R87" s="1962"/>
      <c r="S87" s="1962"/>
      <c r="T87" s="1962"/>
      <c r="U87" s="1962"/>
      <c r="V87" s="1962"/>
      <c r="W87" s="1962"/>
      <c r="X87" s="1962"/>
      <c r="Y87" s="1962"/>
      <c r="Z87" s="1962"/>
      <c r="AA87" s="1962"/>
      <c r="AB87" s="1962"/>
      <c r="AC87" s="1962"/>
    </row>
    <row r="88" spans="1:29" s="46" customFormat="1" ht="15.75" thickTop="1">
      <c r="A88" s="257"/>
      <c r="B88" s="331" t="str">
        <f>B26</f>
        <v>平面位置/可视性</v>
      </c>
      <c r="C88" s="347"/>
      <c r="D88" s="347"/>
      <c r="E88" s="347"/>
      <c r="F88" s="1410"/>
      <c r="G88" s="347"/>
      <c r="H88" s="347"/>
      <c r="I88" s="347"/>
      <c r="J88" s="347"/>
      <c r="K88" s="347"/>
      <c r="L88" s="347"/>
      <c r="M88" s="370"/>
      <c r="N88" s="2041"/>
      <c r="O88" s="2041"/>
      <c r="P88" s="2034"/>
      <c r="Q88" s="2029"/>
      <c r="R88" s="1962"/>
      <c r="S88" s="1962"/>
      <c r="T88" s="1962"/>
      <c r="U88" s="1962"/>
      <c r="V88" s="1962"/>
      <c r="W88" s="1962"/>
      <c r="X88" s="1962"/>
      <c r="Y88" s="1962"/>
      <c r="Z88" s="1962"/>
      <c r="AA88" s="1962"/>
      <c r="AB88" s="1962"/>
      <c r="AC88" s="1962"/>
    </row>
    <row r="89" spans="1:29" s="46" customFormat="1" ht="15.75" thickBot="1">
      <c r="A89" s="257"/>
      <c r="B89" s="336"/>
      <c r="C89" s="352"/>
      <c r="D89" s="329"/>
      <c r="E89" s="329"/>
      <c r="F89" s="329"/>
      <c r="G89" s="329"/>
      <c r="H89" s="329"/>
      <c r="I89" s="329"/>
      <c r="J89" s="329"/>
      <c r="K89" s="329"/>
      <c r="L89" s="329"/>
      <c r="M89" s="329"/>
      <c r="N89" s="2043"/>
      <c r="O89" s="2043"/>
      <c r="P89" s="2034"/>
      <c r="Q89" s="2029"/>
      <c r="R89" s="1962"/>
      <c r="S89" s="1962"/>
      <c r="T89" s="1962"/>
      <c r="U89" s="1962"/>
      <c r="V89" s="1962"/>
      <c r="W89" s="1962"/>
      <c r="X89" s="1962"/>
      <c r="Y89" s="1962"/>
      <c r="Z89" s="1962"/>
      <c r="AA89" s="1962"/>
      <c r="AB89" s="1962"/>
      <c r="AC89" s="1962"/>
    </row>
    <row r="90" spans="1:29" s="279" customFormat="1" ht="15.75" thickTop="1">
      <c r="A90" s="346"/>
      <c r="B90" s="331" t="str">
        <f>B27</f>
        <v>人流量</v>
      </c>
      <c r="C90" s="347"/>
      <c r="D90" s="347"/>
      <c r="E90" s="347"/>
      <c r="F90" s="347"/>
      <c r="G90" s="347"/>
      <c r="H90" s="348"/>
      <c r="I90" s="348"/>
      <c r="J90" s="348"/>
      <c r="K90" s="348"/>
      <c r="L90" s="349"/>
      <c r="M90" s="350"/>
      <c r="N90" s="2044"/>
      <c r="O90" s="2044"/>
      <c r="P90" s="2035"/>
      <c r="Q90" s="2036"/>
      <c r="R90" s="2014"/>
      <c r="S90" s="2014"/>
      <c r="T90" s="2014"/>
      <c r="U90" s="2014"/>
      <c r="V90" s="2014"/>
      <c r="W90" s="2014"/>
      <c r="X90" s="2014"/>
      <c r="Y90" s="2014"/>
      <c r="Z90" s="2014"/>
      <c r="AA90" s="2014"/>
      <c r="AB90" s="2014"/>
      <c r="AC90" s="2014"/>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44"/>
      <c r="O91" s="2044"/>
      <c r="P91" s="2035"/>
      <c r="Q91" s="2036"/>
      <c r="R91" s="2014"/>
      <c r="S91" s="2014"/>
      <c r="T91" s="2014"/>
      <c r="U91" s="2014"/>
      <c r="V91" s="2014"/>
      <c r="W91" s="2014"/>
      <c r="X91" s="2014"/>
      <c r="Y91" s="2014"/>
      <c r="Z91" s="2014"/>
      <c r="AA91" s="2014"/>
      <c r="AB91" s="2014"/>
      <c r="AC91" s="2014"/>
    </row>
    <row r="92" spans="1:29" ht="15.75" thickTop="1">
      <c r="A92" s="254"/>
      <c r="B92" s="331" t="str">
        <f>B28</f>
        <v>楼层</v>
      </c>
      <c r="C92" s="347"/>
      <c r="D92" s="347"/>
      <c r="E92" s="347"/>
      <c r="F92" s="347"/>
      <c r="G92" s="347"/>
      <c r="H92" s="347"/>
      <c r="I92" s="347"/>
      <c r="J92" s="347"/>
      <c r="K92" s="347"/>
      <c r="L92" s="369"/>
      <c r="M92" s="370"/>
      <c r="N92" s="2042"/>
      <c r="O92" s="2042"/>
      <c r="P92" s="2034"/>
      <c r="Q92" s="2029"/>
      <c r="R92" s="2008"/>
      <c r="S92" s="2008"/>
      <c r="T92" s="2008"/>
      <c r="U92" s="2008"/>
      <c r="V92" s="2008"/>
      <c r="W92" s="2008"/>
      <c r="X92" s="2008"/>
      <c r="Y92" s="2008"/>
      <c r="Z92" s="2008"/>
      <c r="AA92" s="2008"/>
      <c r="AB92" s="2008"/>
      <c r="AC92" s="2008"/>
    </row>
    <row r="93" spans="1:29" ht="15.75" thickBot="1">
      <c r="A93" s="254"/>
      <c r="B93" s="336"/>
      <c r="C93" s="329"/>
      <c r="D93" s="329"/>
      <c r="E93" s="329"/>
      <c r="F93" s="329"/>
      <c r="G93" s="329"/>
      <c r="H93" s="329"/>
      <c r="I93" s="329"/>
      <c r="J93" s="329"/>
      <c r="K93" s="329"/>
      <c r="L93" s="329"/>
      <c r="M93" s="330"/>
      <c r="N93" s="2043"/>
      <c r="O93" s="2043"/>
      <c r="P93" s="2034"/>
      <c r="Q93" s="2029"/>
      <c r="R93" s="2008"/>
      <c r="S93" s="2008"/>
      <c r="T93" s="2008"/>
      <c r="U93" s="2008"/>
      <c r="V93" s="2008"/>
      <c r="W93" s="2008"/>
      <c r="X93" s="2008"/>
      <c r="Y93" s="2008"/>
      <c r="Z93" s="2008"/>
      <c r="AA93" s="2008"/>
      <c r="AB93" s="2008"/>
      <c r="AC93" s="2008"/>
    </row>
    <row r="94" spans="1:29" ht="15.75" thickTop="1">
      <c r="A94" s="254"/>
      <c r="B94" s="331">
        <f>B29</f>
        <v>111</v>
      </c>
      <c r="C94" s="347"/>
      <c r="D94" s="347"/>
      <c r="E94" s="347"/>
      <c r="F94" s="347"/>
      <c r="G94" s="372"/>
      <c r="H94" s="372"/>
      <c r="I94" s="372"/>
      <c r="J94" s="372"/>
      <c r="K94" s="373"/>
      <c r="L94" s="374"/>
      <c r="M94" s="375"/>
      <c r="N94" s="2042"/>
      <c r="O94" s="2042"/>
      <c r="P94" s="2034"/>
      <c r="Q94" s="2029"/>
      <c r="R94" s="2008"/>
      <c r="S94" s="2008"/>
      <c r="T94" s="2008"/>
      <c r="U94" s="2008"/>
      <c r="V94" s="2008"/>
      <c r="W94" s="2008"/>
      <c r="X94" s="2008"/>
      <c r="Y94" s="2008"/>
      <c r="Z94" s="2008"/>
      <c r="AA94" s="2008"/>
      <c r="AB94" s="2008"/>
      <c r="AC94" s="2008"/>
    </row>
    <row r="95" spans="1:29" ht="15.75" thickBot="1">
      <c r="A95" s="254"/>
      <c r="B95" s="336"/>
      <c r="C95" s="352"/>
      <c r="D95" s="329"/>
      <c r="E95" s="329"/>
      <c r="F95" s="329"/>
      <c r="G95" s="329"/>
      <c r="H95" s="329"/>
      <c r="I95" s="329"/>
      <c r="J95" s="329"/>
      <c r="K95" s="329"/>
      <c r="L95" s="329"/>
      <c r="M95" s="330"/>
      <c r="N95" s="2043"/>
      <c r="O95" s="2043"/>
      <c r="P95" s="2034"/>
      <c r="Q95" s="2029"/>
      <c r="R95" s="2008"/>
      <c r="S95" s="2008"/>
      <c r="T95" s="2008"/>
      <c r="U95" s="2008"/>
      <c r="V95" s="2008"/>
      <c r="W95" s="2008"/>
      <c r="X95" s="2008"/>
      <c r="Y95" s="2008"/>
      <c r="Z95" s="2008"/>
      <c r="AA95" s="2008"/>
      <c r="AB95" s="2008"/>
      <c r="AC95" s="2008"/>
    </row>
    <row r="96" spans="1:29" ht="15.75" thickTop="1">
      <c r="A96" s="254"/>
      <c r="B96" s="331">
        <f>B30</f>
        <v>111</v>
      </c>
      <c r="C96" s="347"/>
      <c r="D96" s="347"/>
      <c r="E96" s="347"/>
      <c r="F96" s="347"/>
      <c r="G96" s="372"/>
      <c r="H96" s="372"/>
      <c r="I96" s="372"/>
      <c r="J96" s="372"/>
      <c r="K96" s="373"/>
      <c r="L96" s="374"/>
      <c r="M96" s="375"/>
      <c r="N96" s="2042"/>
      <c r="O96" s="2042"/>
      <c r="P96" s="2034"/>
      <c r="Q96" s="2029"/>
      <c r="R96" s="2008"/>
      <c r="S96" s="2008"/>
      <c r="T96" s="2008"/>
      <c r="U96" s="2008"/>
      <c r="V96" s="2008"/>
      <c r="W96" s="2008"/>
      <c r="X96" s="2008"/>
      <c r="Y96" s="2008"/>
      <c r="Z96" s="2008"/>
      <c r="AA96" s="2008"/>
      <c r="AB96" s="2008"/>
      <c r="AC96" s="2008"/>
    </row>
    <row r="97" spans="1:29" ht="15.75" thickBot="1">
      <c r="A97" s="254"/>
      <c r="B97" s="336"/>
      <c r="C97" s="352"/>
      <c r="D97" s="329"/>
      <c r="E97" s="329"/>
      <c r="F97" s="329"/>
      <c r="G97" s="329"/>
      <c r="H97" s="329"/>
      <c r="I97" s="329"/>
      <c r="J97" s="329"/>
      <c r="K97" s="329"/>
      <c r="L97" s="329"/>
      <c r="M97" s="330"/>
      <c r="N97" s="2043"/>
      <c r="O97" s="2043"/>
      <c r="P97" s="2034"/>
      <c r="Q97" s="2029"/>
      <c r="R97" s="2008"/>
      <c r="S97" s="2008"/>
      <c r="T97" s="2008"/>
      <c r="U97" s="2008"/>
      <c r="V97" s="2008"/>
      <c r="W97" s="2008"/>
      <c r="X97" s="2008"/>
      <c r="Y97" s="2008"/>
      <c r="Z97" s="2008"/>
      <c r="AA97" s="2008"/>
      <c r="AB97" s="2008"/>
      <c r="AC97" s="2008"/>
    </row>
    <row r="98" spans="1:29" ht="15.75" thickTop="1">
      <c r="A98" s="254"/>
      <c r="B98" s="339">
        <f>B31</f>
        <v>111</v>
      </c>
      <c r="C98" s="347"/>
      <c r="D98" s="347"/>
      <c r="E98" s="347"/>
      <c r="F98" s="347"/>
      <c r="G98" s="376"/>
      <c r="H98" s="376"/>
      <c r="I98" s="376"/>
      <c r="J98" s="376"/>
      <c r="K98" s="377"/>
      <c r="L98" s="378"/>
      <c r="M98" s="379"/>
      <c r="N98" s="2042"/>
      <c r="O98" s="2042"/>
      <c r="P98" s="2034"/>
      <c r="Q98" s="2029"/>
      <c r="R98" s="2008"/>
      <c r="S98" s="2008"/>
      <c r="T98" s="2008"/>
      <c r="U98" s="2008"/>
      <c r="V98" s="2008"/>
      <c r="W98" s="2008"/>
      <c r="X98" s="2008"/>
      <c r="Y98" s="2008"/>
      <c r="Z98" s="2008"/>
      <c r="AA98" s="2008"/>
      <c r="AB98" s="2008"/>
      <c r="AC98" s="2008"/>
    </row>
    <row r="99" spans="1:29" ht="15.75" thickBot="1">
      <c r="A99" s="260"/>
      <c r="B99" s="360"/>
      <c r="C99" s="361"/>
      <c r="D99" s="361"/>
      <c r="E99" s="361"/>
      <c r="F99" s="361"/>
      <c r="G99" s="380"/>
      <c r="H99" s="380"/>
      <c r="I99" s="380"/>
      <c r="J99" s="380"/>
      <c r="K99" s="380"/>
      <c r="L99" s="380"/>
      <c r="M99" s="381"/>
      <c r="N99" s="2043"/>
      <c r="O99" s="2043"/>
      <c r="P99" s="2034"/>
      <c r="Q99" s="2029"/>
      <c r="R99" s="2008"/>
      <c r="S99" s="2008"/>
      <c r="T99" s="2008"/>
      <c r="U99" s="2008"/>
      <c r="V99" s="2008"/>
      <c r="W99" s="2008"/>
      <c r="X99" s="2008"/>
      <c r="Y99" s="2008"/>
      <c r="Z99" s="2008"/>
      <c r="AA99" s="2008"/>
      <c r="AB99" s="2008"/>
      <c r="AC99" s="2008"/>
    </row>
    <row r="100" spans="1:29">
      <c r="A100" s="262" t="s">
        <v>1606</v>
      </c>
      <c r="B100" s="322" t="s">
        <v>1717</v>
      </c>
      <c r="C100" s="324"/>
      <c r="D100" s="324"/>
      <c r="E100" s="324"/>
      <c r="F100" s="324"/>
      <c r="G100" s="324"/>
      <c r="H100" s="324"/>
      <c r="I100" s="324"/>
      <c r="J100" s="324"/>
      <c r="K100" s="325"/>
      <c r="L100" s="326"/>
      <c r="M100" s="327"/>
      <c r="N100" s="2042"/>
      <c r="O100" s="2042"/>
      <c r="P100" s="2034"/>
      <c r="Q100" s="2029"/>
      <c r="R100" s="2008"/>
      <c r="S100" s="2008"/>
      <c r="T100" s="2008"/>
      <c r="U100" s="2008"/>
      <c r="V100" s="2008"/>
      <c r="W100" s="2008"/>
      <c r="X100" s="2008"/>
      <c r="Y100" s="2008"/>
      <c r="Z100" s="2008"/>
      <c r="AA100" s="2008"/>
      <c r="AB100" s="2008"/>
      <c r="AC100" s="2008"/>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43"/>
      <c r="O101" s="2043"/>
      <c r="P101" s="2034"/>
      <c r="Q101" s="2029"/>
      <c r="R101" s="2008"/>
      <c r="S101" s="2008"/>
      <c r="T101" s="2008"/>
      <c r="U101" s="2008"/>
      <c r="V101" s="2008"/>
      <c r="W101" s="2008"/>
      <c r="X101" s="2008"/>
      <c r="Y101" s="2008"/>
      <c r="Z101" s="2008"/>
      <c r="AA101" s="2008"/>
      <c r="AB101" s="2008"/>
      <c r="AC101" s="2008"/>
    </row>
    <row r="102" spans="1:29" ht="15.75" thickTop="1">
      <c r="A102" s="254"/>
      <c r="B102" s="331" t="s">
        <v>1649</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41"/>
      <c r="O102" s="2041"/>
      <c r="P102" s="2034"/>
      <c r="Q102" s="2029"/>
      <c r="R102" s="2008"/>
      <c r="S102" s="2008"/>
      <c r="T102" s="2008"/>
      <c r="U102" s="2008"/>
      <c r="V102" s="2008"/>
      <c r="W102" s="2008"/>
      <c r="X102" s="2008"/>
      <c r="Y102" s="2008"/>
      <c r="Z102" s="2008"/>
      <c r="AA102" s="2008"/>
      <c r="AB102" s="2008"/>
      <c r="AC102" s="2008"/>
    </row>
    <row r="103" spans="1:29" s="279" customFormat="1">
      <c r="A103" s="277"/>
      <c r="B103" s="382"/>
      <c r="C103" s="5"/>
      <c r="D103" s="5"/>
      <c r="E103" s="5"/>
      <c r="F103" s="5"/>
      <c r="G103" s="5"/>
      <c r="H103" s="5"/>
      <c r="I103" s="5"/>
      <c r="J103" s="383"/>
      <c r="K103" s="383"/>
      <c r="L103" s="384"/>
      <c r="M103" s="385"/>
      <c r="N103" s="2044"/>
      <c r="O103" s="2044"/>
      <c r="P103" s="2035"/>
      <c r="Q103" s="2036"/>
      <c r="R103" s="2014"/>
      <c r="S103" s="2014"/>
      <c r="T103" s="2014"/>
      <c r="U103" s="2014"/>
      <c r="V103" s="2014"/>
      <c r="W103" s="2014"/>
      <c r="X103" s="2014"/>
      <c r="Y103" s="2014"/>
      <c r="Z103" s="2014"/>
      <c r="AA103" s="2014"/>
      <c r="AB103" s="2014"/>
      <c r="AC103" s="2014"/>
    </row>
    <row r="104" spans="1:29" s="279" customFormat="1" ht="15.75" thickBot="1">
      <c r="A104" s="346"/>
      <c r="B104" s="336"/>
      <c r="C104" s="352"/>
      <c r="D104" s="329"/>
      <c r="E104" s="329"/>
      <c r="F104" s="329"/>
      <c r="G104" s="329"/>
      <c r="H104" s="329"/>
      <c r="I104" s="329"/>
      <c r="J104" s="329"/>
      <c r="K104" s="329"/>
      <c r="L104" s="329"/>
      <c r="M104" s="330"/>
      <c r="N104" s="2043"/>
      <c r="O104" s="2043"/>
      <c r="P104" s="2035"/>
      <c r="Q104" s="2036"/>
      <c r="R104" s="2014"/>
      <c r="S104" s="2014"/>
      <c r="T104" s="2014"/>
      <c r="U104" s="2014"/>
      <c r="V104" s="2014"/>
      <c r="W104" s="2014"/>
      <c r="X104" s="2014"/>
      <c r="Y104" s="2014"/>
      <c r="Z104" s="2014"/>
      <c r="AA104" s="2014"/>
      <c r="AB104" s="2014"/>
      <c r="AC104" s="2014"/>
    </row>
    <row r="105" spans="1:29" ht="15" thickTop="1">
      <c r="A105" s="280"/>
      <c r="B105" s="331" t="s">
        <v>1650</v>
      </c>
      <c r="C105" s="347"/>
      <c r="D105" s="347"/>
      <c r="E105" s="372"/>
      <c r="F105" s="372"/>
      <c r="G105" s="372"/>
      <c r="H105" s="372"/>
      <c r="I105" s="372"/>
      <c r="J105" s="372"/>
      <c r="K105" s="373"/>
      <c r="L105" s="374"/>
      <c r="M105" s="375"/>
      <c r="N105" s="2042"/>
      <c r="O105" s="2042"/>
      <c r="P105" s="2034"/>
      <c r="Q105" s="2029"/>
      <c r="R105" s="2008"/>
      <c r="S105" s="2008"/>
      <c r="T105" s="2008"/>
      <c r="U105" s="2008"/>
      <c r="V105" s="2008"/>
      <c r="W105" s="2008"/>
      <c r="X105" s="2008"/>
      <c r="Y105" s="2008"/>
      <c r="Z105" s="2008"/>
      <c r="AA105" s="2008"/>
      <c r="AB105" s="2008"/>
      <c r="AC105" s="2008"/>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43"/>
      <c r="O106" s="2043"/>
      <c r="P106" s="2034"/>
      <c r="Q106" s="2029"/>
      <c r="R106" s="2008"/>
      <c r="S106" s="2008"/>
      <c r="T106" s="2008"/>
      <c r="U106" s="2008"/>
      <c r="V106" s="2008"/>
      <c r="W106" s="2008"/>
      <c r="X106" s="2008"/>
      <c r="Y106" s="2008"/>
      <c r="Z106" s="2008"/>
      <c r="AA106" s="2008"/>
      <c r="AB106" s="2008"/>
      <c r="AC106" s="2008"/>
    </row>
    <row r="107" spans="1:29" ht="15" thickTop="1">
      <c r="A107" s="280"/>
      <c r="B107" s="331" t="s">
        <v>1652</v>
      </c>
      <c r="C107" s="347"/>
      <c r="D107" s="347"/>
      <c r="E107" s="347"/>
      <c r="F107" s="372"/>
      <c r="G107" s="372"/>
      <c r="H107" s="372"/>
      <c r="I107" s="372"/>
      <c r="J107" s="372"/>
      <c r="K107" s="373"/>
      <c r="L107" s="374"/>
      <c r="M107" s="375"/>
      <c r="N107" s="2042"/>
      <c r="O107" s="2042"/>
      <c r="P107" s="2034"/>
      <c r="Q107" s="2029"/>
      <c r="R107" s="2008"/>
      <c r="S107" s="2008"/>
      <c r="T107" s="2008"/>
      <c r="U107" s="2008"/>
      <c r="V107" s="2008"/>
      <c r="W107" s="2008"/>
      <c r="X107" s="2008"/>
      <c r="Y107" s="2008"/>
      <c r="Z107" s="2008"/>
      <c r="AA107" s="2008"/>
      <c r="AB107" s="2008"/>
      <c r="AC107" s="2008"/>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43"/>
      <c r="O108" s="2043"/>
      <c r="P108" s="2034"/>
      <c r="Q108" s="2029"/>
      <c r="R108" s="2008"/>
      <c r="S108" s="2008"/>
      <c r="T108" s="2008"/>
      <c r="U108" s="2008"/>
      <c r="V108" s="2008"/>
      <c r="W108" s="2008"/>
      <c r="X108" s="2008"/>
      <c r="Y108" s="2008"/>
      <c r="Z108" s="2008"/>
      <c r="AA108" s="2008"/>
      <c r="AB108" s="2008"/>
      <c r="AC108" s="2008"/>
    </row>
    <row r="109" spans="1:29" ht="15" thickTop="1">
      <c r="A109" s="280"/>
      <c r="B109" s="331" t="s">
        <v>1174</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42"/>
      <c r="O109" s="2042"/>
      <c r="P109" s="2034"/>
      <c r="Q109" s="2029"/>
      <c r="R109" s="2008"/>
      <c r="S109" s="2008"/>
      <c r="T109" s="2008"/>
      <c r="U109" s="2008"/>
      <c r="V109" s="2008"/>
      <c r="W109" s="2008"/>
      <c r="X109" s="2008"/>
      <c r="Y109" s="2008"/>
      <c r="Z109" s="2008"/>
      <c r="AA109" s="2008"/>
      <c r="AB109" s="2008"/>
      <c r="AC109" s="2008"/>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42"/>
      <c r="O110" s="2042"/>
      <c r="P110" s="2034"/>
      <c r="Q110" s="2029"/>
      <c r="R110" s="2008"/>
      <c r="S110" s="2008"/>
      <c r="T110" s="2008"/>
      <c r="U110" s="2008"/>
      <c r="V110" s="2008"/>
      <c r="W110" s="2008"/>
      <c r="X110" s="2008"/>
      <c r="Y110" s="2008"/>
      <c r="Z110" s="2008"/>
      <c r="AA110" s="2008"/>
      <c r="AB110" s="2008"/>
      <c r="AC110" s="2008"/>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43"/>
      <c r="O111" s="2043"/>
      <c r="P111" s="2034"/>
      <c r="Q111" s="2029"/>
      <c r="R111" s="2008"/>
      <c r="S111" s="2008"/>
      <c r="T111" s="2008"/>
      <c r="U111" s="2008"/>
      <c r="V111" s="2008"/>
      <c r="W111" s="2008"/>
      <c r="X111" s="2008"/>
      <c r="Y111" s="2008"/>
      <c r="Z111" s="2008"/>
      <c r="AA111" s="2008"/>
      <c r="AB111" s="2008"/>
      <c r="AC111" s="2008"/>
    </row>
    <row r="112" spans="1:29" s="279" customFormat="1" ht="15" thickTop="1">
      <c r="A112" s="277"/>
      <c r="B112" s="331" t="s">
        <v>1654</v>
      </c>
      <c r="C112" s="347"/>
      <c r="D112" s="347"/>
      <c r="E112" s="347"/>
      <c r="F112" s="347"/>
      <c r="G112" s="347"/>
      <c r="H112" s="372"/>
      <c r="I112" s="372"/>
      <c r="J112" s="372"/>
      <c r="K112" s="373"/>
      <c r="L112" s="374"/>
      <c r="M112" s="375"/>
      <c r="N112" s="2044"/>
      <c r="O112" s="2044"/>
      <c r="P112" s="2035"/>
      <c r="Q112" s="2036"/>
      <c r="R112" s="2014"/>
      <c r="S112" s="2014"/>
      <c r="T112" s="2014"/>
      <c r="U112" s="2014"/>
      <c r="V112" s="2014"/>
      <c r="W112" s="2014"/>
      <c r="X112" s="2014"/>
      <c r="Y112" s="2014"/>
      <c r="Z112" s="2014"/>
      <c r="AA112" s="2014"/>
      <c r="AB112" s="2014"/>
      <c r="AC112" s="2014"/>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44"/>
      <c r="O113" s="2044"/>
      <c r="P113" s="2035"/>
      <c r="Q113" s="2036"/>
      <c r="R113" s="2014"/>
      <c r="S113" s="2014"/>
      <c r="T113" s="2014"/>
      <c r="U113" s="2014"/>
      <c r="V113" s="2014"/>
      <c r="W113" s="2014"/>
      <c r="X113" s="2014"/>
      <c r="Y113" s="2014"/>
      <c r="Z113" s="2014"/>
      <c r="AA113" s="2014"/>
      <c r="AB113" s="2014"/>
      <c r="AC113" s="2014"/>
    </row>
    <row r="114" spans="1:29" ht="15" thickTop="1">
      <c r="A114" s="280"/>
      <c r="B114" s="331" t="s">
        <v>1718</v>
      </c>
      <c r="C114" s="347"/>
      <c r="D114" s="347"/>
      <c r="E114" s="372"/>
      <c r="F114" s="372"/>
      <c r="G114" s="372"/>
      <c r="H114" s="372"/>
      <c r="I114" s="372"/>
      <c r="J114" s="372"/>
      <c r="K114" s="373"/>
      <c r="L114" s="374"/>
      <c r="M114" s="375"/>
      <c r="N114" s="2042"/>
      <c r="O114" s="2042"/>
      <c r="P114" s="2034"/>
      <c r="Q114" s="2029"/>
      <c r="R114" s="2008"/>
      <c r="S114" s="2008"/>
      <c r="T114" s="2008"/>
      <c r="U114" s="2008"/>
      <c r="V114" s="2008"/>
      <c r="W114" s="2008"/>
      <c r="X114" s="2008"/>
      <c r="Y114" s="2008"/>
      <c r="Z114" s="2008"/>
      <c r="AA114" s="2008"/>
      <c r="AB114" s="2008"/>
      <c r="AC114" s="2008"/>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43"/>
      <c r="O115" s="2043"/>
      <c r="P115" s="2034"/>
      <c r="Q115" s="2029"/>
      <c r="R115" s="2008"/>
      <c r="S115" s="2008"/>
      <c r="T115" s="2008"/>
      <c r="U115" s="2008"/>
      <c r="V115" s="2008"/>
      <c r="W115" s="2008"/>
      <c r="X115" s="2008"/>
      <c r="Y115" s="2008"/>
      <c r="Z115" s="2008"/>
      <c r="AA115" s="2008"/>
      <c r="AB115" s="2008"/>
      <c r="AC115" s="2008"/>
    </row>
    <row r="116" spans="1:29" ht="15" thickTop="1">
      <c r="A116" s="280"/>
      <c r="B116" s="331" t="s">
        <v>1719</v>
      </c>
      <c r="C116" s="347"/>
      <c r="D116" s="347"/>
      <c r="E116" s="347"/>
      <c r="F116" s="347"/>
      <c r="G116" s="347"/>
      <c r="H116" s="372"/>
      <c r="I116" s="372"/>
      <c r="J116" s="372"/>
      <c r="K116" s="373"/>
      <c r="L116" s="374"/>
      <c r="M116" s="375"/>
      <c r="N116" s="2042"/>
      <c r="O116" s="2042"/>
      <c r="P116" s="2034"/>
      <c r="Q116" s="2029"/>
      <c r="R116" s="2008"/>
      <c r="S116" s="2008"/>
      <c r="T116" s="2008"/>
      <c r="U116" s="2008"/>
      <c r="V116" s="2008"/>
      <c r="W116" s="2008"/>
      <c r="X116" s="2008"/>
      <c r="Y116" s="2008"/>
      <c r="Z116" s="2008"/>
      <c r="AA116" s="2008"/>
      <c r="AB116" s="2008"/>
      <c r="AC116" s="2008"/>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43"/>
      <c r="O117" s="2043"/>
      <c r="P117" s="2034"/>
      <c r="Q117" s="2029"/>
      <c r="R117" s="2008"/>
      <c r="S117" s="2008"/>
      <c r="T117" s="2008"/>
      <c r="U117" s="2008"/>
      <c r="V117" s="2008"/>
      <c r="W117" s="2008"/>
      <c r="X117" s="2008"/>
      <c r="Y117" s="2008"/>
      <c r="Z117" s="2008"/>
      <c r="AA117" s="2008"/>
      <c r="AB117" s="2008"/>
      <c r="AC117" s="2008"/>
    </row>
    <row r="118" spans="1:29" ht="15" thickTop="1">
      <c r="A118" s="280"/>
      <c r="B118" s="331" t="s">
        <v>1720</v>
      </c>
      <c r="C118" s="401"/>
      <c r="D118" s="401"/>
      <c r="E118" s="401"/>
      <c r="F118" s="401"/>
      <c r="G118" s="401"/>
      <c r="H118" s="348"/>
      <c r="I118" s="348"/>
      <c r="J118" s="348"/>
      <c r="K118" s="348"/>
      <c r="L118" s="349"/>
      <c r="M118" s="350"/>
      <c r="N118" s="2042"/>
      <c r="O118" s="2042"/>
      <c r="P118" s="2034"/>
      <c r="Q118" s="2029"/>
      <c r="R118" s="2008"/>
      <c r="S118" s="2008"/>
      <c r="T118" s="2008"/>
      <c r="U118" s="2008"/>
      <c r="V118" s="2008"/>
      <c r="W118" s="2008"/>
      <c r="X118" s="2008"/>
      <c r="Y118" s="2008"/>
      <c r="Z118" s="2008"/>
      <c r="AA118" s="2008"/>
      <c r="AB118" s="2008"/>
      <c r="AC118" s="2008"/>
    </row>
    <row r="119" spans="1:29" ht="15.75" thickBot="1">
      <c r="A119" s="254"/>
      <c r="B119" s="336"/>
      <c r="C119" s="352"/>
      <c r="D119" s="329"/>
      <c r="E119" s="329"/>
      <c r="F119" s="329"/>
      <c r="G119" s="329"/>
      <c r="H119" s="329"/>
      <c r="I119" s="329"/>
      <c r="J119" s="329"/>
      <c r="K119" s="329"/>
      <c r="L119" s="329"/>
      <c r="M119" s="330"/>
      <c r="N119" s="2043"/>
      <c r="O119" s="2043"/>
      <c r="P119" s="2034"/>
      <c r="Q119" s="2029"/>
      <c r="R119" s="2008"/>
      <c r="S119" s="2008"/>
      <c r="T119" s="2008"/>
      <c r="U119" s="2008"/>
      <c r="V119" s="2008"/>
      <c r="W119" s="2008"/>
      <c r="X119" s="2008"/>
      <c r="Y119" s="2008"/>
      <c r="Z119" s="2008"/>
      <c r="AA119" s="2008"/>
      <c r="AB119" s="2008"/>
      <c r="AC119" s="2008"/>
    </row>
    <row r="120" spans="1:29" s="279" customFormat="1" ht="15" thickTop="1">
      <c r="A120" s="277"/>
      <c r="B120" s="331" t="s">
        <v>1721</v>
      </c>
      <c r="C120" s="372"/>
      <c r="D120" s="372"/>
      <c r="E120" s="372"/>
      <c r="F120" s="372"/>
      <c r="G120" s="348"/>
      <c r="H120" s="348"/>
      <c r="I120" s="348"/>
      <c r="J120" s="348"/>
      <c r="K120" s="348"/>
      <c r="L120" s="349"/>
      <c r="M120" s="350"/>
      <c r="N120" s="2044"/>
      <c r="O120" s="2044"/>
      <c r="P120" s="2035"/>
      <c r="Q120" s="2036"/>
      <c r="R120" s="2014"/>
      <c r="S120" s="2014"/>
      <c r="T120" s="2014"/>
      <c r="U120" s="2014"/>
      <c r="V120" s="2014"/>
      <c r="W120" s="2014"/>
      <c r="X120" s="2014"/>
      <c r="Y120" s="2014"/>
      <c r="Z120" s="2014"/>
      <c r="AA120" s="2014"/>
      <c r="AB120" s="2014"/>
      <c r="AC120" s="2014"/>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44"/>
      <c r="O121" s="2044"/>
      <c r="P121" s="2035"/>
      <c r="Q121" s="2036"/>
      <c r="R121" s="2014"/>
      <c r="S121" s="2014"/>
      <c r="T121" s="2014"/>
      <c r="U121" s="2014"/>
      <c r="V121" s="2014"/>
      <c r="W121" s="2014"/>
      <c r="X121" s="2014"/>
      <c r="Y121" s="2014"/>
      <c r="Z121" s="2014"/>
      <c r="AA121" s="2014"/>
      <c r="AB121" s="2014"/>
      <c r="AC121" s="2014"/>
    </row>
    <row r="122" spans="1:29" ht="15" thickTop="1">
      <c r="A122" s="280"/>
      <c r="B122" s="331" t="s">
        <v>1656</v>
      </c>
      <c r="C122" s="347"/>
      <c r="D122" s="347"/>
      <c r="E122" s="347"/>
      <c r="F122" s="372"/>
      <c r="G122" s="372"/>
      <c r="H122" s="372"/>
      <c r="I122" s="372"/>
      <c r="J122" s="372"/>
      <c r="K122" s="373"/>
      <c r="L122" s="374"/>
      <c r="M122" s="375"/>
      <c r="N122" s="2042"/>
      <c r="O122" s="2042"/>
      <c r="P122" s="2034"/>
      <c r="Q122" s="2029"/>
      <c r="R122" s="2008"/>
      <c r="S122" s="2008"/>
      <c r="T122" s="2008"/>
      <c r="U122" s="2008"/>
      <c r="V122" s="2008"/>
      <c r="W122" s="2008"/>
      <c r="X122" s="2008"/>
      <c r="Y122" s="2008"/>
      <c r="Z122" s="2008"/>
      <c r="AA122" s="2008"/>
      <c r="AB122" s="2008"/>
      <c r="AC122" s="2008"/>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43"/>
      <c r="O123" s="2043"/>
      <c r="P123" s="2034"/>
      <c r="Q123" s="2029"/>
      <c r="R123" s="2008"/>
      <c r="S123" s="2008"/>
      <c r="T123" s="2008"/>
      <c r="U123" s="2008"/>
      <c r="V123" s="2008"/>
      <c r="W123" s="2008"/>
      <c r="X123" s="2008"/>
      <c r="Y123" s="2008"/>
      <c r="Z123" s="2008"/>
      <c r="AA123" s="2008"/>
      <c r="AB123" s="2008"/>
      <c r="AC123" s="2008"/>
    </row>
    <row r="124" spans="1:29" ht="15" thickTop="1">
      <c r="A124" s="280"/>
      <c r="B124" s="331" t="s">
        <v>1657</v>
      </c>
      <c r="C124" s="368" t="s">
        <v>1633</v>
      </c>
      <c r="D124" s="368" t="s">
        <v>1634</v>
      </c>
      <c r="E124" s="368" t="s">
        <v>1635</v>
      </c>
      <c r="F124" s="368" t="s">
        <v>1636</v>
      </c>
      <c r="G124" s="368" t="s">
        <v>1637</v>
      </c>
      <c r="H124" s="332"/>
      <c r="I124" s="332"/>
      <c r="J124" s="332"/>
      <c r="K124" s="333"/>
      <c r="L124" s="334"/>
      <c r="M124" s="335"/>
      <c r="N124" s="2042"/>
      <c r="O124" s="2042"/>
      <c r="P124" s="2035"/>
      <c r="Q124" s="2029"/>
      <c r="R124" s="2008"/>
      <c r="S124" s="2008"/>
      <c r="T124" s="2008"/>
      <c r="U124" s="2008"/>
      <c r="V124" s="2008"/>
      <c r="W124" s="2008"/>
      <c r="X124" s="2008"/>
      <c r="Y124" s="2008"/>
      <c r="Z124" s="2008"/>
      <c r="AA124" s="2008"/>
      <c r="AB124" s="2008"/>
      <c r="AC124" s="2008"/>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43"/>
      <c r="O125" s="2043"/>
      <c r="P125" s="2034"/>
      <c r="Q125" s="2029"/>
      <c r="R125" s="2008"/>
      <c r="S125" s="2008"/>
      <c r="T125" s="2008"/>
      <c r="U125" s="2008"/>
      <c r="V125" s="2008"/>
      <c r="W125" s="2008"/>
      <c r="X125" s="2008"/>
      <c r="Y125" s="2008"/>
      <c r="Z125" s="2008"/>
      <c r="AA125" s="2008"/>
      <c r="AB125" s="2008"/>
      <c r="AC125" s="2008"/>
    </row>
    <row r="126" spans="1:29" s="279" customFormat="1" ht="15" thickTop="1">
      <c r="A126" s="277"/>
      <c r="B126" s="331">
        <f>B44</f>
        <v>111</v>
      </c>
      <c r="C126" s="347"/>
      <c r="D126" s="347"/>
      <c r="E126" s="347"/>
      <c r="F126" s="347"/>
      <c r="G126" s="347"/>
      <c r="H126" s="348"/>
      <c r="I126" s="348"/>
      <c r="J126" s="348"/>
      <c r="K126" s="348"/>
      <c r="L126" s="349"/>
      <c r="M126" s="350"/>
      <c r="N126" s="2044"/>
      <c r="O126" s="2044"/>
      <c r="P126" s="2035"/>
      <c r="Q126" s="2036"/>
      <c r="R126" s="2014"/>
      <c r="S126" s="2014"/>
      <c r="T126" s="2014"/>
      <c r="U126" s="2014"/>
      <c r="V126" s="2014"/>
      <c r="W126" s="2014"/>
      <c r="X126" s="2014"/>
      <c r="Y126" s="2014"/>
      <c r="Z126" s="2014"/>
      <c r="AA126" s="2014"/>
      <c r="AB126" s="2014"/>
      <c r="AC126" s="2014"/>
    </row>
    <row r="127" spans="1:29" s="279" customFormat="1" ht="15.75" thickBot="1">
      <c r="A127" s="346"/>
      <c r="B127" s="336"/>
      <c r="C127" s="352"/>
      <c r="D127" s="329"/>
      <c r="E127" s="329"/>
      <c r="F127" s="329"/>
      <c r="G127" s="352"/>
      <c r="H127" s="354"/>
      <c r="I127" s="354"/>
      <c r="J127" s="354"/>
      <c r="K127" s="354"/>
      <c r="L127" s="354"/>
      <c r="M127" s="355"/>
      <c r="N127" s="2044"/>
      <c r="O127" s="2044"/>
      <c r="P127" s="2035"/>
      <c r="Q127" s="2036"/>
      <c r="R127" s="2014"/>
      <c r="S127" s="2014"/>
      <c r="T127" s="2014"/>
      <c r="U127" s="2014"/>
      <c r="V127" s="2014"/>
      <c r="W127" s="2014"/>
      <c r="X127" s="2014"/>
      <c r="Y127" s="2014"/>
      <c r="Z127" s="2014"/>
      <c r="AA127" s="2014"/>
      <c r="AB127" s="2014"/>
      <c r="AC127" s="2014"/>
    </row>
    <row r="128" spans="1:29" ht="15" thickTop="1">
      <c r="A128" s="280"/>
      <c r="B128" s="331">
        <f>B45</f>
        <v>111</v>
      </c>
      <c r="C128" s="347"/>
      <c r="D128" s="347"/>
      <c r="E128" s="347"/>
      <c r="F128" s="347"/>
      <c r="G128" s="372"/>
      <c r="H128" s="372"/>
      <c r="I128" s="372"/>
      <c r="J128" s="372"/>
      <c r="K128" s="373"/>
      <c r="L128" s="374"/>
      <c r="M128" s="375"/>
      <c r="N128" s="2042"/>
      <c r="O128" s="2042"/>
      <c r="P128" s="2034"/>
      <c r="Q128" s="2029"/>
      <c r="R128" s="2008"/>
      <c r="S128" s="2008"/>
      <c r="T128" s="2008"/>
      <c r="U128" s="2008"/>
      <c r="V128" s="2008"/>
      <c r="W128" s="2008"/>
      <c r="X128" s="2008"/>
      <c r="Y128" s="2008"/>
      <c r="Z128" s="2008"/>
      <c r="AA128" s="2008"/>
      <c r="AB128" s="2008"/>
      <c r="AC128" s="2008"/>
    </row>
    <row r="129" spans="1:29" ht="15.75" thickBot="1">
      <c r="A129" s="254"/>
      <c r="B129" s="336"/>
      <c r="C129" s="352"/>
      <c r="D129" s="329"/>
      <c r="E129" s="329"/>
      <c r="F129" s="329"/>
      <c r="G129" s="329"/>
      <c r="H129" s="329"/>
      <c r="I129" s="329"/>
      <c r="J129" s="329"/>
      <c r="K129" s="329"/>
      <c r="L129" s="329"/>
      <c r="M129" s="330"/>
      <c r="N129" s="2043"/>
      <c r="O129" s="2043"/>
      <c r="P129" s="2034"/>
      <c r="Q129" s="2029"/>
      <c r="R129" s="2008"/>
      <c r="S129" s="2008"/>
      <c r="T129" s="2008"/>
      <c r="U129" s="2008"/>
      <c r="V129" s="2008"/>
      <c r="W129" s="2008"/>
      <c r="X129" s="2008"/>
      <c r="Y129" s="2008"/>
      <c r="Z129" s="2008"/>
      <c r="AA129" s="2008"/>
      <c r="AB129" s="2008"/>
      <c r="AC129" s="2008"/>
    </row>
    <row r="130" spans="1:29" ht="15" thickTop="1">
      <c r="A130" s="280"/>
      <c r="B130" s="339">
        <f>B46</f>
        <v>111</v>
      </c>
      <c r="C130" s="347"/>
      <c r="D130" s="347"/>
      <c r="E130" s="347"/>
      <c r="F130" s="347"/>
      <c r="G130" s="376"/>
      <c r="H130" s="376"/>
      <c r="I130" s="376"/>
      <c r="J130" s="376"/>
      <c r="K130" s="20"/>
      <c r="L130" s="320"/>
      <c r="M130" s="379"/>
      <c r="N130" s="2042"/>
      <c r="O130" s="2042"/>
      <c r="P130" s="2034"/>
      <c r="Q130" s="2029"/>
      <c r="R130" s="2008"/>
      <c r="S130" s="2008"/>
      <c r="T130" s="2008"/>
      <c r="U130" s="2008"/>
      <c r="V130" s="2008"/>
      <c r="W130" s="2008"/>
      <c r="X130" s="2008"/>
      <c r="Y130" s="2008"/>
      <c r="Z130" s="2008"/>
      <c r="AA130" s="2008"/>
      <c r="AB130" s="2008"/>
      <c r="AC130" s="2008"/>
    </row>
    <row r="131" spans="1:29" ht="15.75" thickBot="1">
      <c r="A131" s="260"/>
      <c r="B131" s="360"/>
      <c r="C131" s="361"/>
      <c r="D131" s="361"/>
      <c r="E131" s="361"/>
      <c r="F131" s="361"/>
      <c r="G131" s="380"/>
      <c r="H131" s="380"/>
      <c r="I131" s="380"/>
      <c r="J131" s="380"/>
      <c r="K131" s="380"/>
      <c r="L131" s="380"/>
      <c r="M131" s="381"/>
      <c r="N131" s="2043"/>
      <c r="O131" s="2043"/>
      <c r="P131" s="2034"/>
      <c r="Q131" s="2029"/>
      <c r="R131" s="2008"/>
      <c r="S131" s="2008"/>
      <c r="T131" s="2008"/>
      <c r="U131" s="2008"/>
      <c r="V131" s="2008"/>
      <c r="W131" s="2008"/>
      <c r="X131" s="2008"/>
      <c r="Y131" s="2008"/>
      <c r="Z131" s="2008"/>
      <c r="AA131" s="2008"/>
      <c r="AB131" s="2008"/>
      <c r="AC131" s="2008"/>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60" customWidth="1"/>
    <col min="2" max="2" width="37.25" style="1060" customWidth="1"/>
    <col min="3" max="3" width="11.375" style="1060" customWidth="1"/>
    <col min="4" max="4" width="31.75" style="1060" customWidth="1"/>
    <col min="5" max="5" width="0.5" style="1060" customWidth="1"/>
    <col min="6" max="7" width="13" style="1060" customWidth="1"/>
    <col min="8" max="16384" width="9" style="1060"/>
  </cols>
  <sheetData>
    <row r="1" spans="1:5" ht="18.75">
      <c r="A1" s="1059" t="s">
        <v>893</v>
      </c>
    </row>
    <row r="2" spans="1:5" ht="78" customHeight="1">
      <c r="A2" s="43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40"/>
      <c r="C2" s="4340"/>
      <c r="D2" s="4340"/>
      <c r="E2" s="4340"/>
    </row>
    <row r="3" spans="1:5" ht="18">
      <c r="A3" s="4341" t="str">
        <f>IF(项目基本情况!B9="房地产市场价值","估价结果一览表（市场价值不需“结果表-1”）","估价结果一览表")</f>
        <v>估价结果一览表</v>
      </c>
      <c r="B3" s="4341"/>
      <c r="C3" s="4341"/>
      <c r="D3" s="4341"/>
      <c r="E3" s="4341"/>
    </row>
    <row r="4" spans="1:5" ht="19.5" thickBot="1">
      <c r="A4" s="1061"/>
      <c r="B4" s="4339" t="s">
        <v>902</v>
      </c>
      <c r="C4" s="4339"/>
      <c r="D4" s="4339"/>
      <c r="E4" s="1061"/>
    </row>
    <row r="5" spans="1:5" ht="16.5" thickTop="1">
      <c r="B5" s="4337" t="s">
        <v>894</v>
      </c>
      <c r="C5" s="1062" t="s">
        <v>895</v>
      </c>
      <c r="D5" s="558">
        <f ca="1">结果表!H101</f>
        <v>166674</v>
      </c>
    </row>
    <row r="6" spans="1:5" ht="15.75">
      <c r="B6" s="4337"/>
      <c r="C6" s="1062" t="s">
        <v>896</v>
      </c>
      <c r="D6" s="558" t="str">
        <f ca="1">NUMBERSTRING(INT(D5*10000),2)&amp;"元整"</f>
        <v>壹拾陆亿陆仟陆佰柒拾肆万元整</v>
      </c>
    </row>
    <row r="7" spans="1:5" ht="15.75">
      <c r="B7" s="4342"/>
      <c r="C7" s="1063" t="s">
        <v>897</v>
      </c>
      <c r="D7" s="559">
        <f ca="1">结果表!H102</f>
        <v>29033</v>
      </c>
    </row>
    <row r="8" spans="1:5" ht="15.75">
      <c r="B8" s="4343" t="str">
        <f>结果表!E103</f>
        <v>2.估价师知悉的法定优先受偿款</v>
      </c>
      <c r="C8" s="1064" t="s">
        <v>898</v>
      </c>
      <c r="D8" s="559">
        <f>结果表!H103</f>
        <v>0</v>
      </c>
    </row>
    <row r="9" spans="1:5" ht="15.75">
      <c r="B9" s="4345"/>
      <c r="C9" s="1062" t="s">
        <v>896</v>
      </c>
      <c r="D9" s="558" t="str">
        <f>NUMBERSTRING(INT(D8*10000),2)&amp;"元整"</f>
        <v>零元整</v>
      </c>
    </row>
    <row r="10" spans="1:5" ht="15">
      <c r="B10" s="1065" t="s">
        <v>901</v>
      </c>
      <c r="C10" s="1066" t="s">
        <v>899</v>
      </c>
      <c r="D10" s="560">
        <f>结果表!H104</f>
        <v>0</v>
      </c>
    </row>
    <row r="11" spans="1:5" ht="15">
      <c r="B11" s="1065" t="s">
        <v>903</v>
      </c>
      <c r="C11" s="1066" t="s">
        <v>904</v>
      </c>
      <c r="D11" s="560">
        <f>结果表!H105</f>
        <v>0</v>
      </c>
    </row>
    <row r="12" spans="1:5" ht="15">
      <c r="B12" s="1065" t="s">
        <v>905</v>
      </c>
      <c r="C12" s="1066" t="s">
        <v>904</v>
      </c>
      <c r="D12" s="560">
        <f>结果表!H106</f>
        <v>0</v>
      </c>
    </row>
    <row r="13" spans="1:5" ht="15.75">
      <c r="B13" s="4336" t="str">
        <f>结果表!E107</f>
        <v>3.房地产抵押价值</v>
      </c>
      <c r="C13" s="1067" t="s">
        <v>895</v>
      </c>
      <c r="D13" s="561">
        <f ca="1">结果表!H107</f>
        <v>166674</v>
      </c>
    </row>
    <row r="14" spans="1:5" ht="15.75">
      <c r="B14" s="4337"/>
      <c r="C14" s="1062" t="s">
        <v>896</v>
      </c>
      <c r="D14" s="558" t="str">
        <f ca="1">NUMBERSTRING(INT(D13*10000),2)&amp;"元整"</f>
        <v>壹拾陆亿陆仟陆佰柒拾肆万元整</v>
      </c>
    </row>
    <row r="15" spans="1:5" ht="15">
      <c r="B15" s="4342"/>
      <c r="C15" s="1063" t="s">
        <v>906</v>
      </c>
      <c r="D15" s="566">
        <f ca="1">结果表!H108</f>
        <v>29033</v>
      </c>
    </row>
    <row r="16" spans="1:5" ht="15">
      <c r="B16" s="4343" t="str">
        <f>结果表!E109</f>
        <v>——</v>
      </c>
      <c r="C16" s="1067" t="s">
        <v>907</v>
      </c>
      <c r="D16" s="1068" t="str">
        <f>结果表!H109</f>
        <v>——</v>
      </c>
    </row>
    <row r="17" spans="1:5" ht="15.75">
      <c r="B17" s="4344"/>
      <c r="C17" s="1062" t="s">
        <v>908</v>
      </c>
      <c r="D17" s="558" t="e">
        <f>NUMBERSTRING(INT(D16*10000),2)&amp;"元整"</f>
        <v>#VALUE!</v>
      </c>
    </row>
    <row r="18" spans="1:5" ht="15">
      <c r="B18" s="4345"/>
      <c r="C18" s="1063" t="s">
        <v>897</v>
      </c>
      <c r="D18" s="566" t="str">
        <f>结果表!H110</f>
        <v>——</v>
      </c>
    </row>
    <row r="19" spans="1:5" ht="15.75">
      <c r="B19" s="4336" t="str">
        <f>结果表!E111</f>
        <v>——</v>
      </c>
      <c r="C19" s="1067" t="s">
        <v>895</v>
      </c>
      <c r="D19" s="559" t="str">
        <f>结果表!H111</f>
        <v>——</v>
      </c>
    </row>
    <row r="20" spans="1:5" ht="15.75">
      <c r="B20" s="4337"/>
      <c r="C20" s="1062" t="s">
        <v>908</v>
      </c>
      <c r="D20" s="558" t="e">
        <f>NUMBERSTRING(INT(D19*10000),2)&amp;"元整"</f>
        <v>#VALUE!</v>
      </c>
    </row>
    <row r="21" spans="1:5" ht="15.75" thickBot="1">
      <c r="B21" s="4338"/>
      <c r="C21" s="1069" t="s">
        <v>906</v>
      </c>
      <c r="D21" s="567" t="str">
        <f>结果表!H112</f>
        <v>——</v>
      </c>
    </row>
    <row r="22" spans="1:5" ht="15" thickTop="1">
      <c r="B22" s="1070" t="s">
        <v>909</v>
      </c>
    </row>
    <row r="24" spans="1:5" ht="18.75">
      <c r="A24" s="1071"/>
      <c r="B24" s="1072" t="s">
        <v>900</v>
      </c>
      <c r="C24" s="1071"/>
      <c r="D24" s="1071"/>
      <c r="E24" s="1071"/>
    </row>
    <row r="25" spans="1:5">
      <c r="A25" s="1071"/>
      <c r="B25" s="1071"/>
      <c r="C25" s="1071"/>
      <c r="D25" s="1071"/>
      <c r="E25" s="1071"/>
    </row>
    <row r="26" spans="1:5">
      <c r="A26" s="1071"/>
      <c r="B26" s="1071"/>
      <c r="C26" s="1071"/>
      <c r="D26" s="1071"/>
      <c r="E26" s="1071"/>
    </row>
    <row r="27" spans="1:5">
      <c r="A27" s="1071"/>
      <c r="B27" s="1071"/>
      <c r="C27" s="1071"/>
      <c r="D27" s="1071"/>
      <c r="E27" s="1071"/>
    </row>
    <row r="28" spans="1:5">
      <c r="A28" s="1071"/>
      <c r="B28" s="1071"/>
      <c r="C28" s="1071"/>
      <c r="D28" s="1071"/>
      <c r="E28" s="1071"/>
    </row>
    <row r="29" spans="1:5">
      <c r="A29" s="1071"/>
      <c r="B29" s="1071"/>
      <c r="C29" s="1071"/>
      <c r="D29" s="1071"/>
      <c r="E29" s="1071"/>
    </row>
    <row r="30" spans="1:5">
      <c r="A30" s="1071"/>
      <c r="B30" s="1071"/>
      <c r="C30" s="1071"/>
      <c r="D30" s="1071"/>
      <c r="E30" s="1071"/>
    </row>
    <row r="31" spans="1:5">
      <c r="A31" s="1071"/>
      <c r="B31" s="1071"/>
      <c r="C31" s="1071"/>
      <c r="D31" s="1071"/>
      <c r="E31" s="1071"/>
    </row>
    <row r="32" spans="1:5">
      <c r="A32" s="1071"/>
      <c r="B32" s="1071"/>
      <c r="C32" s="1071"/>
      <c r="D32" s="1071"/>
      <c r="E32" s="1071"/>
    </row>
    <row r="33" spans="1:5">
      <c r="A33" s="1071"/>
      <c r="B33" s="1071"/>
      <c r="C33" s="1071"/>
      <c r="D33" s="1071"/>
      <c r="E33" s="1071"/>
    </row>
    <row r="34" spans="1:5">
      <c r="A34" s="1071"/>
      <c r="B34" s="1071"/>
      <c r="C34" s="1071"/>
      <c r="D34" s="1071"/>
      <c r="E34" s="1071"/>
    </row>
    <row r="35" spans="1:5">
      <c r="A35" s="1071"/>
      <c r="B35" s="1071"/>
      <c r="C35" s="1071"/>
      <c r="D35" s="1071"/>
      <c r="E35" s="1071"/>
    </row>
    <row r="36" spans="1:5">
      <c r="A36" s="1071"/>
      <c r="B36" s="1071"/>
      <c r="C36" s="1071"/>
      <c r="D36" s="1071"/>
      <c r="E36" s="1071"/>
    </row>
    <row r="37" spans="1:5">
      <c r="A37" s="1071"/>
      <c r="B37" s="1071"/>
      <c r="C37" s="1071"/>
      <c r="D37" s="1071"/>
      <c r="E37" s="1071"/>
    </row>
    <row r="38" spans="1:5">
      <c r="A38" s="1071"/>
      <c r="B38" s="1071"/>
      <c r="C38" s="1071"/>
      <c r="D38" s="1071"/>
      <c r="E38" s="1071"/>
    </row>
    <row r="39" spans="1:5">
      <c r="A39" s="1071"/>
      <c r="B39" s="1071"/>
      <c r="C39" s="1071"/>
      <c r="D39" s="1071"/>
      <c r="E39" s="1071"/>
    </row>
    <row r="40" spans="1:5">
      <c r="A40" s="1071"/>
      <c r="B40" s="1071"/>
      <c r="C40" s="1071"/>
      <c r="D40" s="1071"/>
      <c r="E40" s="1071"/>
    </row>
    <row r="41" spans="1:5">
      <c r="A41" s="1071"/>
      <c r="B41" s="1071"/>
      <c r="C41" s="1071"/>
      <c r="D41" s="1071"/>
      <c r="E41" s="1071"/>
    </row>
    <row r="42" spans="1:5">
      <c r="A42" s="1071"/>
      <c r="B42" s="1071"/>
      <c r="C42" s="1071"/>
      <c r="D42" s="1071"/>
      <c r="E42" s="1071"/>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293" customWidth="1"/>
    <col min="17" max="17" width="19.5" style="3293" customWidth="1"/>
    <col min="18" max="18" width="6.125" style="3293" customWidth="1"/>
    <col min="19" max="19" width="4.375" style="3293" customWidth="1"/>
    <col min="20" max="20" width="6.125" style="3293" customWidth="1"/>
    <col min="21" max="21" width="4.375" style="3293" customWidth="1"/>
    <col min="22" max="22" width="6.125" style="3293" customWidth="1"/>
    <col min="23" max="23" width="4.375" style="3293"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1438" t="s">
        <v>1738</v>
      </c>
      <c r="C1" s="837" t="s">
        <v>1574</v>
      </c>
      <c r="D1" s="838"/>
      <c r="E1" s="2540"/>
      <c r="F1" s="1379"/>
      <c r="G1" s="848" t="s">
        <v>1679</v>
      </c>
      <c r="H1" s="847"/>
      <c r="I1" s="847"/>
      <c r="J1" s="847"/>
      <c r="K1" s="849"/>
      <c r="L1" s="850"/>
      <c r="M1" s="851"/>
      <c r="N1" s="851"/>
      <c r="O1" s="851"/>
      <c r="P1" s="3291"/>
      <c r="Q1" s="3291"/>
      <c r="R1" s="3291"/>
      <c r="S1" s="3291"/>
      <c r="T1" s="3291"/>
      <c r="U1" s="3291"/>
      <c r="V1" s="3291"/>
      <c r="W1" s="3291"/>
      <c r="X1" s="837"/>
      <c r="Y1" s="837"/>
      <c r="Z1" s="837"/>
      <c r="AA1" s="837"/>
      <c r="AB1" s="837"/>
      <c r="AC1" s="845"/>
    </row>
    <row r="2" spans="1:29" s="233" customFormat="1" ht="28.5" customHeight="1" thickTop="1" thickBot="1">
      <c r="A2" s="834" t="s">
        <v>1433</v>
      </c>
      <c r="B2" s="3828">
        <f>IF(C2="含税",D2,ROUND(D2/(1+F3),0))</f>
        <v>0</v>
      </c>
      <c r="C2" s="2861"/>
      <c r="D2" s="229" t="b">
        <f>IF(E1="项目模式",IF(E2="——",ROUND(C43*D3/10000,0),ROUND(C43*D3/10000,0)-F2),IF(E1="单套模式",IF(E2="——",ROUND(C43*D3/10000,4),ROUND(C43*D3/10000,4)-F2)))</f>
        <v>0</v>
      </c>
      <c r="E2" s="1381"/>
      <c r="F2" s="604" t="e">
        <f ca="1">IF(E1="项目模式",SUMIF(INDIRECT("'"&amp;H2&amp;"'"&amp;"!A:A"),"承租人权益价值",INDIRECT("'"&amp;H2&amp;"'"&amp;"!c:c")),SUMIF(INDIRECT("'"&amp;H2&amp;"'"&amp;"!A:A"),"承租人权益价值（单套）",INDIRECT("'"&amp;H2&amp;"'"&amp;"!c:c")))</f>
        <v>#REF!</v>
      </c>
      <c r="G2" s="1382" t="s">
        <v>1434</v>
      </c>
      <c r="H2" s="1383"/>
      <c r="I2" s="605"/>
      <c r="J2" s="605"/>
      <c r="K2" s="605"/>
      <c r="L2" s="608"/>
      <c r="M2" s="609"/>
      <c r="N2" s="609"/>
      <c r="O2" s="609"/>
      <c r="P2" s="3292"/>
      <c r="Q2" s="3292"/>
      <c r="R2" s="3292"/>
      <c r="S2" s="3292"/>
      <c r="T2" s="3292"/>
      <c r="U2" s="3292"/>
      <c r="V2" s="3292"/>
      <c r="W2" s="3292"/>
      <c r="X2" s="232"/>
      <c r="Y2" s="232"/>
      <c r="Z2" s="232"/>
      <c r="AA2" s="232"/>
      <c r="AB2" s="232"/>
      <c r="AC2" s="481"/>
    </row>
    <row r="3" spans="1:29" s="233" customFormat="1" ht="28.5" customHeight="1" thickBot="1">
      <c r="A3" s="98" t="s">
        <v>1435</v>
      </c>
      <c r="B3" s="2957">
        <f>IF(E2="——",C43,ROUND(B2*10000/D3,0))</f>
        <v>0</v>
      </c>
      <c r="C3" s="234" t="s">
        <v>1680</v>
      </c>
      <c r="D3" s="2957">
        <f>IF(D1="",'数据-汇总表'!E3,SUMIF('数据-汇总表'!$C19:$C33,D1,'数据-汇总表'!$E19:$E33))</f>
        <v>57408.26</v>
      </c>
      <c r="E3" s="3961" t="s">
        <v>3478</v>
      </c>
      <c r="F3" s="3962">
        <v>0.09</v>
      </c>
      <c r="G3" s="605"/>
      <c r="H3" s="605"/>
      <c r="I3" s="605"/>
      <c r="J3" s="605"/>
      <c r="K3" s="607"/>
      <c r="L3" s="608"/>
      <c r="M3" s="609"/>
      <c r="N3" s="609"/>
      <c r="O3" s="609"/>
      <c r="P3" s="3292"/>
      <c r="Q3" s="3292"/>
      <c r="R3" s="3292"/>
      <c r="S3" s="3292"/>
      <c r="T3" s="3292"/>
      <c r="U3" s="3292"/>
      <c r="V3" s="3292"/>
      <c r="W3" s="3292"/>
      <c r="X3" s="232"/>
      <c r="Y3" s="232"/>
      <c r="Z3" s="232"/>
      <c r="AA3" s="232"/>
      <c r="AB3" s="488"/>
      <c r="AC3" s="481"/>
    </row>
    <row r="4" spans="1:29" ht="15">
      <c r="A4" s="235" t="s">
        <v>1681</v>
      </c>
      <c r="B4" s="236"/>
      <c r="C4" s="4573" t="s">
        <v>1682</v>
      </c>
      <c r="D4" s="4574"/>
      <c r="E4" s="4575" t="s">
        <v>1683</v>
      </c>
      <c r="F4" s="4576"/>
      <c r="G4" s="4573" t="s">
        <v>1684</v>
      </c>
      <c r="H4" s="4574"/>
      <c r="I4" s="4573" t="s">
        <v>1685</v>
      </c>
      <c r="J4" s="4574"/>
      <c r="K4" s="393" t="s">
        <v>1686</v>
      </c>
      <c r="L4" s="610"/>
      <c r="M4" s="611"/>
      <c r="N4" s="611"/>
      <c r="O4" s="611"/>
      <c r="P4" s="4681" t="s">
        <v>1687</v>
      </c>
      <c r="Q4" s="4682"/>
      <c r="R4" s="4667" t="s">
        <v>1683</v>
      </c>
      <c r="S4" s="4668"/>
      <c r="T4" s="4667" t="s">
        <v>1684</v>
      </c>
      <c r="U4" s="4668"/>
      <c r="V4" s="4586" t="s">
        <v>1685</v>
      </c>
      <c r="W4" s="4586"/>
      <c r="X4" s="935"/>
      <c r="Y4" s="4686" t="s">
        <v>1687</v>
      </c>
      <c r="Z4" s="4687"/>
      <c r="AA4" s="4666" t="s">
        <v>1683</v>
      </c>
      <c r="AB4" s="4551" t="s">
        <v>1684</v>
      </c>
      <c r="AC4" s="4666" t="s">
        <v>1685</v>
      </c>
    </row>
    <row r="5" spans="1:29" ht="15">
      <c r="A5" s="238"/>
      <c r="B5" s="239"/>
      <c r="C5" s="4561" t="s">
        <v>1585</v>
      </c>
      <c r="D5" s="4562"/>
      <c r="E5" s="4692" t="s">
        <v>1586</v>
      </c>
      <c r="F5" s="4560"/>
      <c r="G5" s="4561" t="s">
        <v>1587</v>
      </c>
      <c r="H5" s="4562"/>
      <c r="I5" s="4561" t="s">
        <v>1588</v>
      </c>
      <c r="J5" s="4562"/>
      <c r="K5" s="393"/>
      <c r="L5" s="610"/>
      <c r="M5" s="611"/>
      <c r="N5" s="611"/>
      <c r="O5" s="611"/>
      <c r="P5" s="4683"/>
      <c r="Q5" s="4580"/>
      <c r="R5" s="4557"/>
      <c r="S5" s="4558"/>
      <c r="T5" s="4557"/>
      <c r="U5" s="4558"/>
      <c r="V5" s="4586"/>
      <c r="W5" s="4586"/>
      <c r="X5" s="935"/>
      <c r="Y5" s="4591"/>
      <c r="Z5" s="4592"/>
      <c r="AA5" s="4551"/>
      <c r="AB5" s="4551"/>
      <c r="AC5" s="4551"/>
    </row>
    <row r="6" spans="1:29" ht="15.75" thickBot="1">
      <c r="A6" s="240"/>
      <c r="B6" s="241"/>
      <c r="C6" s="4563" t="s">
        <v>1589</v>
      </c>
      <c r="D6" s="4564"/>
      <c r="E6" s="4566" t="s">
        <v>1589</v>
      </c>
      <c r="F6" s="4567"/>
      <c r="G6" s="4563" t="s">
        <v>1589</v>
      </c>
      <c r="H6" s="4564"/>
      <c r="I6" s="4563" t="s">
        <v>1589</v>
      </c>
      <c r="J6" s="4564"/>
      <c r="K6" s="393" t="s">
        <v>1590</v>
      </c>
      <c r="L6" s="610"/>
      <c r="M6" s="611"/>
      <c r="N6" s="611"/>
      <c r="O6" s="611"/>
      <c r="P6" s="4684"/>
      <c r="Q6" s="4582"/>
      <c r="R6" s="4557"/>
      <c r="S6" s="4558"/>
      <c r="T6" s="4583"/>
      <c r="U6" s="4584"/>
      <c r="V6" s="4586"/>
      <c r="W6" s="4586"/>
      <c r="X6" s="935"/>
      <c r="Y6" s="4593"/>
      <c r="Z6" s="4594"/>
      <c r="AA6" s="4552"/>
      <c r="AB6" s="4552"/>
      <c r="AC6" s="4552"/>
    </row>
    <row r="7" spans="1:29" s="46" customFormat="1" ht="15.75" thickBot="1">
      <c r="A7" s="242" t="s">
        <v>1591</v>
      </c>
      <c r="B7" s="243"/>
      <c r="C7" s="244">
        <f>'数据-取费表'!B2</f>
        <v>46049</v>
      </c>
      <c r="D7" s="2976">
        <v>100</v>
      </c>
      <c r="E7" s="245"/>
      <c r="F7" s="3861">
        <f>SUMIF(52:52,YEAR(E7)&amp;"-"&amp;MONTH(E7),53:53)</f>
        <v>0</v>
      </c>
      <c r="G7" s="245"/>
      <c r="H7" s="3867">
        <f>SUMIF(52:52,YEAR(G7)&amp;"-"&amp;MONTH(G7),53:53)</f>
        <v>0</v>
      </c>
      <c r="I7" s="245"/>
      <c r="J7" s="3867">
        <f>SUMIF(52:52,YEAR(I7)&amp;"-"&amp;MONTH(I7),53:53)</f>
        <v>0</v>
      </c>
      <c r="K7" s="22"/>
      <c r="L7" s="612"/>
      <c r="M7" s="613"/>
      <c r="N7" s="613"/>
      <c r="O7" s="613"/>
      <c r="P7" s="4685" t="s">
        <v>1592</v>
      </c>
      <c r="Q7" s="4595"/>
      <c r="R7" s="3873" t="s">
        <v>13</v>
      </c>
      <c r="S7" s="3654">
        <f t="shared" ref="S7:S15" si="0">F7</f>
        <v>0</v>
      </c>
      <c r="T7" s="3873" t="s">
        <v>13</v>
      </c>
      <c r="U7" s="3654">
        <f t="shared" ref="U7:U15" si="1">H7</f>
        <v>0</v>
      </c>
      <c r="V7" s="3873" t="s">
        <v>13</v>
      </c>
      <c r="W7" s="3654">
        <f t="shared" ref="W7:W15" si="2">J7</f>
        <v>0</v>
      </c>
      <c r="X7" s="482"/>
      <c r="Y7" s="4553" t="s">
        <v>1592</v>
      </c>
      <c r="Z7" s="4554"/>
      <c r="AA7" s="28" t="e">
        <f>D7/F7</f>
        <v>#DIV/0!</v>
      </c>
      <c r="AB7" s="28" t="e">
        <f>D7/H7</f>
        <v>#DIV/0!</v>
      </c>
      <c r="AC7" s="28" t="e">
        <f>D7/J7</f>
        <v>#DIV/0!</v>
      </c>
    </row>
    <row r="8" spans="1:29" s="46" customFormat="1" ht="15.75" thickBot="1">
      <c r="A8" s="242" t="s">
        <v>1593</v>
      </c>
      <c r="B8" s="243"/>
      <c r="C8" s="246"/>
      <c r="D8" s="2976">
        <v>100</v>
      </c>
      <c r="E8" s="246"/>
      <c r="F8" s="3861">
        <f>SUMIF(55:55,E8,56:56)-SUMIF(55:55,C8,56:56)+100</f>
        <v>100</v>
      </c>
      <c r="G8" s="246"/>
      <c r="H8" s="3867">
        <f>SUMIF(55:55,G8,56:56)-SUMIF(55:55,C8,56:56)+100</f>
        <v>100</v>
      </c>
      <c r="I8" s="246"/>
      <c r="J8" s="3867">
        <f>SUMIF(55:55,I8,56:56)-SUMIF(55:55,C8,56:56)+100</f>
        <v>100</v>
      </c>
      <c r="K8" s="22"/>
      <c r="L8" s="612"/>
      <c r="M8" s="613"/>
      <c r="N8" s="613"/>
      <c r="O8" s="613"/>
      <c r="P8" s="4685" t="s">
        <v>1595</v>
      </c>
      <c r="Q8" s="4588"/>
      <c r="R8" s="3873" t="s">
        <v>13</v>
      </c>
      <c r="S8" s="3654">
        <f t="shared" si="0"/>
        <v>100</v>
      </c>
      <c r="T8" s="3873" t="s">
        <v>13</v>
      </c>
      <c r="U8" s="3654">
        <f t="shared" si="1"/>
        <v>100</v>
      </c>
      <c r="V8" s="3873" t="s">
        <v>13</v>
      </c>
      <c r="W8" s="3654">
        <f t="shared" si="2"/>
        <v>100</v>
      </c>
      <c r="X8" s="482"/>
      <c r="Y8" s="4553" t="s">
        <v>1595</v>
      </c>
      <c r="Z8" s="4554"/>
      <c r="AA8" s="28">
        <f t="shared" ref="AA8:AA40" si="3">D8/F8</f>
        <v>1</v>
      </c>
      <c r="AB8" s="28">
        <f t="shared" ref="AB8:AB40" si="4">D8/H8</f>
        <v>1</v>
      </c>
      <c r="AC8" s="28">
        <f t="shared" ref="AC8:AC40" si="5">D8/J8</f>
        <v>1</v>
      </c>
    </row>
    <row r="9" spans="1:29" s="46" customFormat="1">
      <c r="A9" s="247" t="s">
        <v>1596</v>
      </c>
      <c r="B9" s="34" t="s">
        <v>1597</v>
      </c>
      <c r="C9" s="248"/>
      <c r="D9" s="2977">
        <v>100</v>
      </c>
      <c r="E9" s="250"/>
      <c r="F9" s="33">
        <f>SUMIF(57:57,E9,58:58)-SUMIF(57:57,C9,58:58)+100</f>
        <v>100</v>
      </c>
      <c r="G9" s="249"/>
      <c r="H9" s="33">
        <f>SUMIF(57:57,G9,58:58)-SUMIF(57:57,C9,58:58)+100</f>
        <v>100</v>
      </c>
      <c r="I9" s="249"/>
      <c r="J9" s="33">
        <f>SUMIF(57:57,I9,58:58)-SUMIF(57:57,C9,58:58)+100</f>
        <v>100</v>
      </c>
      <c r="K9" s="22"/>
      <c r="L9" s="612"/>
      <c r="M9" s="613"/>
      <c r="N9" s="613"/>
      <c r="O9" s="614"/>
      <c r="P9" s="4605" t="s">
        <v>1598</v>
      </c>
      <c r="Q9" s="1731" t="str">
        <f t="shared" ref="Q9:Q15" si="6">B9</f>
        <v>用途</v>
      </c>
      <c r="R9" s="3873" t="s">
        <v>13</v>
      </c>
      <c r="S9" s="3654">
        <f t="shared" si="0"/>
        <v>100</v>
      </c>
      <c r="T9" s="3873" t="s">
        <v>13</v>
      </c>
      <c r="U9" s="3654">
        <f t="shared" si="1"/>
        <v>100</v>
      </c>
      <c r="V9" s="3873" t="s">
        <v>13</v>
      </c>
      <c r="W9" s="3654">
        <f t="shared" si="2"/>
        <v>100</v>
      </c>
      <c r="X9" s="482"/>
      <c r="Y9" s="4569" t="s">
        <v>1599</v>
      </c>
      <c r="Z9" s="28" t="str">
        <f t="shared" ref="Z9:Z15" si="7">Q9</f>
        <v>用途</v>
      </c>
      <c r="AA9" s="28">
        <f t="shared" si="3"/>
        <v>1</v>
      </c>
      <c r="AB9" s="28">
        <f t="shared" si="4"/>
        <v>1</v>
      </c>
      <c r="AC9" s="28">
        <f t="shared" si="5"/>
        <v>1</v>
      </c>
    </row>
    <row r="10" spans="1:29" s="253" customFormat="1" ht="27">
      <c r="A10" s="251"/>
      <c r="B10" s="252" t="s">
        <v>1600</v>
      </c>
      <c r="C10" s="2541"/>
      <c r="D10" s="2978">
        <v>100</v>
      </c>
      <c r="E10" s="2541"/>
      <c r="F10" s="422">
        <f>SUMIF(59:59,E10,60:60)-SUMIF(59:59,C10,60:60)+100</f>
        <v>100</v>
      </c>
      <c r="G10" s="2542"/>
      <c r="H10" s="422">
        <f>SUMIF(59:59,G10,60:60)-SUMIF(59:59,C10,60:60)+100</f>
        <v>100</v>
      </c>
      <c r="I10" s="2541"/>
      <c r="J10" s="422">
        <f>SUMIF(59:59,I10,60:60)-SUMIF(59:59,C10,60:60)+100</f>
        <v>100</v>
      </c>
      <c r="K10" s="22"/>
      <c r="L10" s="615"/>
      <c r="M10" s="616"/>
      <c r="N10" s="616"/>
      <c r="O10" s="617"/>
      <c r="P10" s="4605"/>
      <c r="Q10" s="1731" t="str">
        <f t="shared" si="6"/>
        <v>土地使用年限（年）</v>
      </c>
      <c r="R10" s="3873" t="s">
        <v>13</v>
      </c>
      <c r="S10" s="3654">
        <f t="shared" si="0"/>
        <v>100</v>
      </c>
      <c r="T10" s="3873" t="s">
        <v>13</v>
      </c>
      <c r="U10" s="3654">
        <f t="shared" si="1"/>
        <v>100</v>
      </c>
      <c r="V10" s="3873" t="s">
        <v>13</v>
      </c>
      <c r="W10" s="3654">
        <f t="shared" si="2"/>
        <v>100</v>
      </c>
      <c r="X10" s="482"/>
      <c r="Y10" s="4569"/>
      <c r="Z10" s="28" t="str">
        <f t="shared" si="7"/>
        <v>土地使用年限（年）</v>
      </c>
      <c r="AA10" s="28">
        <f t="shared" si="3"/>
        <v>1</v>
      </c>
      <c r="AB10" s="28">
        <f t="shared" si="4"/>
        <v>1</v>
      </c>
      <c r="AC10" s="28">
        <f t="shared" si="5"/>
        <v>1</v>
      </c>
    </row>
    <row r="11" spans="1:29" ht="15">
      <c r="A11" s="254"/>
      <c r="B11" s="252" t="s">
        <v>1601</v>
      </c>
      <c r="C11" s="255"/>
      <c r="D11" s="2978">
        <v>100</v>
      </c>
      <c r="E11" s="255"/>
      <c r="F11" s="422">
        <f>LOOKUP(E11,62:62,63:63)-LOOKUP(C11,62:62,63:63)+100</f>
        <v>100</v>
      </c>
      <c r="G11" s="256"/>
      <c r="H11" s="422">
        <f>LOOKUP(G11,62:62,63:63)-LOOKUP(C11,62:62,63:63)+100</f>
        <v>100</v>
      </c>
      <c r="I11" s="255"/>
      <c r="J11" s="422">
        <f>LOOKUP(I11,62:62,63:63)-LOOKUP(C11,62:62,63:63)+100</f>
        <v>100</v>
      </c>
      <c r="K11" s="394"/>
      <c r="L11" s="618"/>
      <c r="M11" s="611"/>
      <c r="N11" s="611"/>
      <c r="O11" s="619"/>
      <c r="P11" s="4605"/>
      <c r="Q11" s="1731" t="str">
        <f t="shared" si="6"/>
        <v>容积率</v>
      </c>
      <c r="R11" s="3873" t="s">
        <v>13</v>
      </c>
      <c r="S11" s="3654">
        <f t="shared" si="0"/>
        <v>100</v>
      </c>
      <c r="T11" s="3873" t="s">
        <v>13</v>
      </c>
      <c r="U11" s="3654">
        <f t="shared" si="1"/>
        <v>100</v>
      </c>
      <c r="V11" s="3873" t="s">
        <v>13</v>
      </c>
      <c r="W11" s="3654">
        <f t="shared" si="2"/>
        <v>100</v>
      </c>
      <c r="X11" s="482"/>
      <c r="Y11" s="4569"/>
      <c r="Z11" s="28" t="str">
        <f t="shared" si="7"/>
        <v>容积率</v>
      </c>
      <c r="AA11" s="28">
        <f t="shared" si="3"/>
        <v>1</v>
      </c>
      <c r="AB11" s="28">
        <f t="shared" si="4"/>
        <v>1</v>
      </c>
      <c r="AC11" s="28">
        <f t="shared" si="5"/>
        <v>1</v>
      </c>
    </row>
    <row r="12" spans="1:29" s="46" customFormat="1" ht="15">
      <c r="A12" s="257"/>
      <c r="B12" s="310">
        <v>111</v>
      </c>
      <c r="C12" s="258"/>
      <c r="D12" s="2979">
        <v>100</v>
      </c>
      <c r="E12" s="259"/>
      <c r="F12" s="422">
        <f>SUMIF(64:64,E12,65:65)-SUMIF(64:64,C12,65:65)+100</f>
        <v>100</v>
      </c>
      <c r="G12" s="1449"/>
      <c r="H12" s="422">
        <f>SUMIF(64:64,G12,65:65)-SUMIF(64:64,C12,65:65)+100</f>
        <v>100</v>
      </c>
      <c r="I12" s="278"/>
      <c r="J12" s="422">
        <f>SUMIF(64:64,I12,65:65)-SUMIF(64:64,C12,65:65)+100</f>
        <v>100</v>
      </c>
      <c r="K12" s="395"/>
      <c r="L12" s="612"/>
      <c r="M12" s="613"/>
      <c r="N12" s="613"/>
      <c r="O12" s="614"/>
      <c r="P12" s="4605"/>
      <c r="Q12" s="1731">
        <f t="shared" si="6"/>
        <v>111</v>
      </c>
      <c r="R12" s="3873" t="s">
        <v>13</v>
      </c>
      <c r="S12" s="3654">
        <f t="shared" si="0"/>
        <v>100</v>
      </c>
      <c r="T12" s="3873" t="s">
        <v>13</v>
      </c>
      <c r="U12" s="3654">
        <f t="shared" si="1"/>
        <v>100</v>
      </c>
      <c r="V12" s="3873" t="s">
        <v>13</v>
      </c>
      <c r="W12" s="3654">
        <f t="shared" si="2"/>
        <v>100</v>
      </c>
      <c r="X12" s="482"/>
      <c r="Y12" s="4569"/>
      <c r="Z12" s="28">
        <f t="shared" si="7"/>
        <v>111</v>
      </c>
      <c r="AA12" s="28">
        <f>D12/F12</f>
        <v>1</v>
      </c>
      <c r="AB12" s="28">
        <f>D12/H12</f>
        <v>1</v>
      </c>
      <c r="AC12" s="28">
        <f>D12/J12</f>
        <v>1</v>
      </c>
    </row>
    <row r="13" spans="1:29" ht="15">
      <c r="A13" s="254"/>
      <c r="B13" s="310">
        <v>111</v>
      </c>
      <c r="C13" s="259"/>
      <c r="D13" s="2980">
        <v>100</v>
      </c>
      <c r="E13" s="259"/>
      <c r="F13" s="422">
        <f>SUMIF(66:66,E13,67:67)-SUMIF(66:66,C13,67:67)+100</f>
        <v>100</v>
      </c>
      <c r="G13" s="1449"/>
      <c r="H13" s="3865">
        <f>SUMIF(66:66,G13,67:67)-SUMIF(66:66,C13,67:67)+100</f>
        <v>100</v>
      </c>
      <c r="I13" s="278"/>
      <c r="J13" s="3865">
        <f>SUMIF(66:66,I13,67:67)-SUMIF(66:66,C13,67:67)+100</f>
        <v>100</v>
      </c>
      <c r="K13" s="395"/>
      <c r="L13" s="620"/>
      <c r="M13" s="611"/>
      <c r="N13" s="611"/>
      <c r="O13" s="619"/>
      <c r="P13" s="4605"/>
      <c r="Q13" s="1731">
        <f t="shared" si="6"/>
        <v>111</v>
      </c>
      <c r="R13" s="3873" t="s">
        <v>13</v>
      </c>
      <c r="S13" s="3654">
        <f t="shared" si="0"/>
        <v>100</v>
      </c>
      <c r="T13" s="3873" t="s">
        <v>13</v>
      </c>
      <c r="U13" s="3654">
        <f t="shared" si="1"/>
        <v>100</v>
      </c>
      <c r="V13" s="3873" t="s">
        <v>13</v>
      </c>
      <c r="W13" s="3654">
        <f t="shared" si="2"/>
        <v>100</v>
      </c>
      <c r="X13" s="482"/>
      <c r="Y13" s="4569"/>
      <c r="Z13" s="28">
        <f t="shared" si="7"/>
        <v>111</v>
      </c>
      <c r="AA13" s="28">
        <f t="shared" si="3"/>
        <v>1</v>
      </c>
      <c r="AB13" s="28">
        <f t="shared" si="4"/>
        <v>1</v>
      </c>
      <c r="AC13" s="28">
        <f t="shared" si="5"/>
        <v>1</v>
      </c>
    </row>
    <row r="14" spans="1:29" ht="15.75" thickBot="1">
      <c r="A14" s="260"/>
      <c r="B14" s="1387">
        <v>111</v>
      </c>
      <c r="C14" s="261"/>
      <c r="D14" s="2981">
        <v>100</v>
      </c>
      <c r="E14" s="261"/>
      <c r="F14" s="3862">
        <f>SUMIF(68:68,E14,69:69)-SUMIF(68:68,C14,69:69)+100</f>
        <v>100</v>
      </c>
      <c r="G14" s="1449"/>
      <c r="H14" s="3862">
        <f>SUMIF(68:68,G14,69:69)-SUMIF(68:68,C14,69:69)+100</f>
        <v>100</v>
      </c>
      <c r="I14" s="278"/>
      <c r="J14" s="3862">
        <f>SUMIF(68:68,I14,69:69)-SUMIF(68:68,C14,69:69)+100</f>
        <v>100</v>
      </c>
      <c r="K14" s="395"/>
      <c r="L14" s="620"/>
      <c r="M14" s="611"/>
      <c r="N14" s="611"/>
      <c r="O14" s="619"/>
      <c r="P14" s="4605"/>
      <c r="Q14" s="1731">
        <f t="shared" si="6"/>
        <v>111</v>
      </c>
      <c r="R14" s="3873" t="s">
        <v>13</v>
      </c>
      <c r="S14" s="3654">
        <f t="shared" si="0"/>
        <v>100</v>
      </c>
      <c r="T14" s="3873" t="s">
        <v>13</v>
      </c>
      <c r="U14" s="3654">
        <f t="shared" si="1"/>
        <v>100</v>
      </c>
      <c r="V14" s="3873" t="s">
        <v>13</v>
      </c>
      <c r="W14" s="3654">
        <f t="shared" si="2"/>
        <v>100</v>
      </c>
      <c r="X14" s="482"/>
      <c r="Y14" s="4569"/>
      <c r="Z14" s="28">
        <f t="shared" si="7"/>
        <v>111</v>
      </c>
      <c r="AA14" s="28">
        <f t="shared" si="3"/>
        <v>1</v>
      </c>
      <c r="AB14" s="28">
        <f t="shared" si="4"/>
        <v>1</v>
      </c>
      <c r="AC14" s="28">
        <f t="shared" si="5"/>
        <v>1</v>
      </c>
    </row>
    <row r="15" spans="1:29" ht="15">
      <c r="A15" s="262" t="s">
        <v>1602</v>
      </c>
      <c r="B15" s="32" t="s">
        <v>1739</v>
      </c>
      <c r="C15" s="1450">
        <f>估价对象房地状况!G3</f>
        <v>0</v>
      </c>
      <c r="D15" s="2982">
        <v>100</v>
      </c>
      <c r="E15" s="263"/>
      <c r="F15" s="3869">
        <f>SUMIF(70:70,E16,71:71)-SUMIF(70:70,C16,71:71)+100</f>
        <v>100</v>
      </c>
      <c r="G15" s="264"/>
      <c r="H15" s="3863">
        <f>SUMIF(70:70,G16,71:71)-SUMIF(70:70,C16,71:71)+100</f>
        <v>100</v>
      </c>
      <c r="I15" s="263"/>
      <c r="J15" s="3863">
        <f>SUMIF(70:70,I16,71:71)-SUMIF(70:70,C16,71:71)+100</f>
        <v>100</v>
      </c>
      <c r="K15" s="396"/>
      <c r="L15" s="620"/>
      <c r="M15" s="611"/>
      <c r="N15" s="611"/>
      <c r="O15" s="619"/>
      <c r="P15" s="4693" t="s">
        <v>1603</v>
      </c>
      <c r="Q15" s="1533" t="str">
        <f t="shared" si="6"/>
        <v>产业集聚程度</v>
      </c>
      <c r="R15" s="3874" t="s">
        <v>13</v>
      </c>
      <c r="S15" s="3876">
        <f t="shared" si="0"/>
        <v>100</v>
      </c>
      <c r="T15" s="3874" t="s">
        <v>13</v>
      </c>
      <c r="U15" s="3876">
        <f t="shared" si="1"/>
        <v>100</v>
      </c>
      <c r="V15" s="3874" t="s">
        <v>13</v>
      </c>
      <c r="W15" s="3876">
        <f t="shared" si="2"/>
        <v>100</v>
      </c>
      <c r="X15" s="935"/>
      <c r="Y15" s="4598" t="s">
        <v>1603</v>
      </c>
      <c r="Z15" s="933" t="str">
        <f t="shared" si="7"/>
        <v>产业集聚程度</v>
      </c>
      <c r="AA15" s="933">
        <f t="shared" si="3"/>
        <v>1</v>
      </c>
      <c r="AB15" s="933">
        <f t="shared" si="4"/>
        <v>1</v>
      </c>
      <c r="AC15" s="933">
        <f t="shared" si="5"/>
        <v>1</v>
      </c>
    </row>
    <row r="16" spans="1:29" ht="15">
      <c r="A16" s="254"/>
      <c r="B16" s="265"/>
      <c r="C16" s="266"/>
      <c r="D16" s="2983"/>
      <c r="E16" s="266"/>
      <c r="F16" s="3870"/>
      <c r="G16" s="266"/>
      <c r="H16" s="268"/>
      <c r="I16" s="266"/>
      <c r="J16" s="267"/>
      <c r="K16" s="397"/>
      <c r="L16" s="620"/>
      <c r="M16" s="611"/>
      <c r="N16" s="611"/>
      <c r="O16" s="619"/>
      <c r="P16" s="4694"/>
      <c r="Q16" s="1533"/>
      <c r="R16" s="3874"/>
      <c r="S16" s="3876"/>
      <c r="T16" s="3874"/>
      <c r="U16" s="3876"/>
      <c r="V16" s="3874"/>
      <c r="W16" s="3876"/>
      <c r="X16" s="935"/>
      <c r="Y16" s="4599"/>
      <c r="Z16" s="933"/>
      <c r="AA16" s="933">
        <v>1</v>
      </c>
      <c r="AB16" s="933">
        <v>1</v>
      </c>
      <c r="AC16" s="933">
        <v>1</v>
      </c>
    </row>
    <row r="17" spans="1:29" ht="15">
      <c r="A17" s="254"/>
      <c r="B17" s="269" t="s">
        <v>1239</v>
      </c>
      <c r="C17" s="1390">
        <f>估价对象房地状况!G4</f>
        <v>0</v>
      </c>
      <c r="D17" s="2984">
        <v>100</v>
      </c>
      <c r="E17" s="270"/>
      <c r="F17" s="3871">
        <f>SUMIF(72:72,E18,73:73)-SUMIF(72:72,C18,73:73)+100</f>
        <v>100</v>
      </c>
      <c r="G17" s="271"/>
      <c r="H17" s="3864">
        <f>SUMIF(72:72,G18,73:73)-SUMIF(72:72,C18,73:73)+100</f>
        <v>100</v>
      </c>
      <c r="I17" s="270"/>
      <c r="J17" s="3864">
        <f>SUMIF(72:72,I18,73:73)-SUMIF(72:72,C18,73:73)+100</f>
        <v>100</v>
      </c>
      <c r="K17" s="396"/>
      <c r="L17" s="620"/>
      <c r="M17" s="611"/>
      <c r="N17" s="611"/>
      <c r="O17" s="619"/>
      <c r="P17" s="4694"/>
      <c r="Q17" s="1533" t="str">
        <f>B17</f>
        <v>交通便捷度</v>
      </c>
      <c r="R17" s="3874" t="s">
        <v>13</v>
      </c>
      <c r="S17" s="3876">
        <f>F17</f>
        <v>100</v>
      </c>
      <c r="T17" s="3874" t="s">
        <v>13</v>
      </c>
      <c r="U17" s="3876">
        <f>H17</f>
        <v>100</v>
      </c>
      <c r="V17" s="3874" t="s">
        <v>13</v>
      </c>
      <c r="W17" s="3876">
        <f>J17</f>
        <v>100</v>
      </c>
      <c r="X17" s="935"/>
      <c r="Y17" s="4599"/>
      <c r="Z17" s="933" t="str">
        <f>Q17</f>
        <v>交通便捷度</v>
      </c>
      <c r="AA17" s="933">
        <f t="shared" si="3"/>
        <v>1</v>
      </c>
      <c r="AB17" s="933">
        <f t="shared" si="4"/>
        <v>1</v>
      </c>
      <c r="AC17" s="933">
        <f t="shared" si="5"/>
        <v>1</v>
      </c>
    </row>
    <row r="18" spans="1:29" ht="15">
      <c r="A18" s="254"/>
      <c r="B18" s="272"/>
      <c r="C18" s="1391"/>
      <c r="D18" s="2984"/>
      <c r="E18" s="1393"/>
      <c r="F18" s="3871"/>
      <c r="G18" s="1392"/>
      <c r="H18" s="267"/>
      <c r="I18" s="1393"/>
      <c r="J18" s="267"/>
      <c r="K18" s="397"/>
      <c r="L18" s="620"/>
      <c r="M18" s="611"/>
      <c r="N18" s="611"/>
      <c r="O18" s="619"/>
      <c r="P18" s="4694"/>
      <c r="Q18" s="1533"/>
      <c r="R18" s="3874"/>
      <c r="S18" s="3876"/>
      <c r="T18" s="3874"/>
      <c r="U18" s="3876"/>
      <c r="V18" s="3874"/>
      <c r="W18" s="3876"/>
      <c r="X18" s="935"/>
      <c r="Y18" s="4599"/>
      <c r="Z18" s="933"/>
      <c r="AA18" s="933">
        <v>1</v>
      </c>
      <c r="AB18" s="933">
        <v>1</v>
      </c>
      <c r="AC18" s="933">
        <v>1</v>
      </c>
    </row>
    <row r="19" spans="1:29" ht="15">
      <c r="A19" s="254"/>
      <c r="B19" s="269" t="s">
        <v>1724</v>
      </c>
      <c r="C19" s="1390">
        <f>估价对象房地状况!G5</f>
        <v>0</v>
      </c>
      <c r="D19" s="2985">
        <v>100</v>
      </c>
      <c r="E19" s="273"/>
      <c r="F19" s="3872">
        <f>SUMIF(74:74,E20,75:75)-SUMIF(74:74,C20,75:75)+100</f>
        <v>100</v>
      </c>
      <c r="G19" s="274"/>
      <c r="H19" s="268">
        <f>SUMIF(74:74,G20,75:75)-SUMIF(74:74,C20,75:75)+100</f>
        <v>100</v>
      </c>
      <c r="I19" s="273"/>
      <c r="J19" s="268">
        <f>SUMIF(74:74,I20,75:75)-SUMIF(74:74,C20,75:75)+100</f>
        <v>100</v>
      </c>
      <c r="K19" s="396"/>
      <c r="L19" s="620"/>
      <c r="M19" s="611"/>
      <c r="N19" s="611"/>
      <c r="O19" s="619"/>
      <c r="P19" s="4694"/>
      <c r="Q19" s="1533" t="str">
        <f>B19</f>
        <v>公共配套设施</v>
      </c>
      <c r="R19" s="3874" t="s">
        <v>13</v>
      </c>
      <c r="S19" s="3876">
        <f>F19</f>
        <v>100</v>
      </c>
      <c r="T19" s="3874" t="s">
        <v>13</v>
      </c>
      <c r="U19" s="3876">
        <f>H19</f>
        <v>100</v>
      </c>
      <c r="V19" s="3874" t="s">
        <v>13</v>
      </c>
      <c r="W19" s="3876">
        <f>J19</f>
        <v>100</v>
      </c>
      <c r="X19" s="935"/>
      <c r="Y19" s="4599"/>
      <c r="Z19" s="933" t="str">
        <f>Q19</f>
        <v>公共配套设施</v>
      </c>
      <c r="AA19" s="933">
        <f t="shared" si="3"/>
        <v>1</v>
      </c>
      <c r="AB19" s="933">
        <f t="shared" si="4"/>
        <v>1</v>
      </c>
      <c r="AC19" s="933">
        <f t="shared" si="5"/>
        <v>1</v>
      </c>
    </row>
    <row r="20" spans="1:29" ht="15">
      <c r="A20" s="254"/>
      <c r="B20" s="272"/>
      <c r="C20" s="266"/>
      <c r="D20" s="2983"/>
      <c r="E20" s="1389"/>
      <c r="F20" s="3870"/>
      <c r="G20" s="1388"/>
      <c r="H20" s="267"/>
      <c r="I20" s="1389"/>
      <c r="J20" s="267"/>
      <c r="K20" s="397"/>
      <c r="L20" s="620"/>
      <c r="M20" s="611"/>
      <c r="N20" s="611"/>
      <c r="O20" s="619"/>
      <c r="P20" s="4694"/>
      <c r="Q20" s="1533"/>
      <c r="R20" s="3874"/>
      <c r="S20" s="3876"/>
      <c r="T20" s="3874"/>
      <c r="U20" s="3876"/>
      <c r="V20" s="3874"/>
      <c r="W20" s="3876"/>
      <c r="X20" s="935"/>
      <c r="Y20" s="4599"/>
      <c r="Z20" s="933"/>
      <c r="AA20" s="933">
        <v>1</v>
      </c>
      <c r="AB20" s="933">
        <v>1</v>
      </c>
      <c r="AC20" s="933">
        <v>1</v>
      </c>
    </row>
    <row r="21" spans="1:29" ht="15">
      <c r="A21" s="254"/>
      <c r="B21" s="781" t="s">
        <v>1725</v>
      </c>
      <c r="C21" s="1390">
        <f>估价对象房地状况!G6</f>
        <v>0</v>
      </c>
      <c r="D21" s="2984">
        <v>100</v>
      </c>
      <c r="E21" s="273"/>
      <c r="F21" s="3872">
        <f>SUMIF(76:76,E22,77:77)-SUMIF(76:76,C22,77:77)+100</f>
        <v>100</v>
      </c>
      <c r="G21" s="274"/>
      <c r="H21" s="268">
        <f>SUMIF(76:76,G22,77:77)-SUMIF(76:76,C22,77:77)+100</f>
        <v>100</v>
      </c>
      <c r="I21" s="273"/>
      <c r="J21" s="268">
        <f>SUMIF(76:76,I22,77:77)-SUMIF(76:76,C22,77:77)+100</f>
        <v>100</v>
      </c>
      <c r="K21" s="396"/>
      <c r="L21" s="620"/>
      <c r="M21" s="611"/>
      <c r="N21" s="611"/>
      <c r="O21" s="619"/>
      <c r="P21" s="4694"/>
      <c r="Q21" s="1533" t="str">
        <f>B21</f>
        <v>基础设施水平</v>
      </c>
      <c r="R21" s="3874" t="s">
        <v>13</v>
      </c>
      <c r="S21" s="3876">
        <f>F21</f>
        <v>100</v>
      </c>
      <c r="T21" s="3874" t="s">
        <v>13</v>
      </c>
      <c r="U21" s="3876">
        <f>H21</f>
        <v>100</v>
      </c>
      <c r="V21" s="3874" t="s">
        <v>13</v>
      </c>
      <c r="W21" s="3876">
        <f>J21</f>
        <v>100</v>
      </c>
      <c r="X21" s="935"/>
      <c r="Y21" s="4599"/>
      <c r="Z21" s="933" t="str">
        <f>Q21</f>
        <v>基础设施水平</v>
      </c>
      <c r="AA21" s="933">
        <f t="shared" ref="AA21" si="8">D21/F21</f>
        <v>1</v>
      </c>
      <c r="AB21" s="933">
        <f t="shared" ref="AB21" si="9">D21/H21</f>
        <v>1</v>
      </c>
      <c r="AC21" s="933">
        <f t="shared" ref="AC21" si="10">D21/J21</f>
        <v>1</v>
      </c>
    </row>
    <row r="22" spans="1:29" ht="15">
      <c r="A22" s="254"/>
      <c r="B22" s="781"/>
      <c r="C22" s="1391"/>
      <c r="D22" s="2983"/>
      <c r="E22" s="266"/>
      <c r="F22" s="3870"/>
      <c r="G22" s="266"/>
      <c r="H22" s="267"/>
      <c r="I22" s="266"/>
      <c r="J22" s="267"/>
      <c r="K22" s="780"/>
      <c r="L22" s="620"/>
      <c r="M22" s="611"/>
      <c r="N22" s="611"/>
      <c r="O22" s="619"/>
      <c r="P22" s="4694"/>
      <c r="Q22" s="1533"/>
      <c r="R22" s="3874"/>
      <c r="S22" s="3876"/>
      <c r="T22" s="3874"/>
      <c r="U22" s="3876"/>
      <c r="V22" s="3874"/>
      <c r="W22" s="3876"/>
      <c r="X22" s="935"/>
      <c r="Y22" s="4599"/>
      <c r="Z22" s="933"/>
      <c r="AA22" s="933">
        <v>1</v>
      </c>
      <c r="AB22" s="933">
        <v>1</v>
      </c>
      <c r="AC22" s="933">
        <v>1</v>
      </c>
    </row>
    <row r="23" spans="1:29" ht="15">
      <c r="A23" s="254"/>
      <c r="B23" s="269" t="s">
        <v>1726</v>
      </c>
      <c r="C23" s="1390">
        <f>估价对象房地状况!G7</f>
        <v>0</v>
      </c>
      <c r="D23" s="2984">
        <v>100</v>
      </c>
      <c r="E23" s="270"/>
      <c r="F23" s="3871">
        <f>SUMIF(78:78,E24,79:79)-SUMIF(78:78,C24,79:79)+100</f>
        <v>100</v>
      </c>
      <c r="G23" s="271"/>
      <c r="H23" s="268">
        <f>SUMIF(78:78,G24,79:79)-SUMIF(78:78,C24,79:79)+100</f>
        <v>100</v>
      </c>
      <c r="I23" s="270"/>
      <c r="J23" s="268">
        <f>SUMIF(78:78,I24,79:79)-SUMIF(78:78,C24,79:79)+100</f>
        <v>100</v>
      </c>
      <c r="K23" s="396"/>
      <c r="L23" s="620"/>
      <c r="M23" s="611"/>
      <c r="N23" s="611"/>
      <c r="O23" s="619"/>
      <c r="P23" s="4694"/>
      <c r="Q23" s="1533" t="str">
        <f>B23</f>
        <v>环境质量</v>
      </c>
      <c r="R23" s="3874" t="s">
        <v>13</v>
      </c>
      <c r="S23" s="3876">
        <f>F23</f>
        <v>100</v>
      </c>
      <c r="T23" s="3874" t="s">
        <v>13</v>
      </c>
      <c r="U23" s="3876">
        <f>H23</f>
        <v>100</v>
      </c>
      <c r="V23" s="3874" t="s">
        <v>13</v>
      </c>
      <c r="W23" s="3876">
        <f>J23</f>
        <v>100</v>
      </c>
      <c r="X23" s="935"/>
      <c r="Y23" s="4599"/>
      <c r="Z23" s="933" t="str">
        <f>Q23</f>
        <v>环境质量</v>
      </c>
      <c r="AA23" s="933">
        <f t="shared" si="3"/>
        <v>1</v>
      </c>
      <c r="AB23" s="933">
        <f t="shared" si="4"/>
        <v>1</v>
      </c>
      <c r="AC23" s="933">
        <f t="shared" si="5"/>
        <v>1</v>
      </c>
    </row>
    <row r="24" spans="1:29" ht="15">
      <c r="A24" s="254"/>
      <c r="B24" s="781"/>
      <c r="C24" s="266"/>
      <c r="D24" s="2983"/>
      <c r="E24" s="1389"/>
      <c r="F24" s="3870"/>
      <c r="G24" s="1388"/>
      <c r="H24" s="267"/>
      <c r="I24" s="1389"/>
      <c r="J24" s="267"/>
      <c r="K24" s="397"/>
      <c r="L24" s="620"/>
      <c r="M24" s="611"/>
      <c r="N24" s="611"/>
      <c r="O24" s="619"/>
      <c r="P24" s="4694"/>
      <c r="Q24" s="1533"/>
      <c r="R24" s="3874"/>
      <c r="S24" s="3876"/>
      <c r="T24" s="3874"/>
      <c r="U24" s="3876"/>
      <c r="V24" s="3874"/>
      <c r="W24" s="3876"/>
      <c r="X24" s="935"/>
      <c r="Y24" s="4599"/>
      <c r="Z24" s="933"/>
      <c r="AA24" s="933">
        <v>1</v>
      </c>
      <c r="AB24" s="933">
        <v>1</v>
      </c>
      <c r="AC24" s="933">
        <v>1</v>
      </c>
    </row>
    <row r="25" spans="1:29" ht="15">
      <c r="A25" s="238"/>
      <c r="B25" s="783">
        <v>111</v>
      </c>
      <c r="C25" s="259">
        <v>111</v>
      </c>
      <c r="D25" s="2980">
        <v>100</v>
      </c>
      <c r="E25" s="259"/>
      <c r="F25" s="934">
        <f>SUMIF(80:80,E25,81:81)-SUMIF(80:80,C25,81:81)+100</f>
        <v>100</v>
      </c>
      <c r="G25" s="259"/>
      <c r="H25" s="3865">
        <f>SUMIF(80:80,G25,81:81)-SUMIF(80:80,C25,81:81)+100</f>
        <v>100</v>
      </c>
      <c r="I25" s="259"/>
      <c r="J25" s="3865">
        <f>SUMIF(80:80,I25,81:81)-SUMIF(80:80,C25,81:81)+100</f>
        <v>100</v>
      </c>
      <c r="K25" s="395"/>
      <c r="L25" s="620"/>
      <c r="M25" s="611"/>
      <c r="N25" s="611"/>
      <c r="O25" s="619"/>
      <c r="P25" s="4694"/>
      <c r="Q25" s="1533">
        <f>B25</f>
        <v>111</v>
      </c>
      <c r="R25" s="3874" t="s">
        <v>13</v>
      </c>
      <c r="S25" s="3876">
        <f>F25</f>
        <v>100</v>
      </c>
      <c r="T25" s="3874" t="s">
        <v>13</v>
      </c>
      <c r="U25" s="3876">
        <f>H25</f>
        <v>100</v>
      </c>
      <c r="V25" s="3874" t="s">
        <v>13</v>
      </c>
      <c r="W25" s="3876">
        <f>J25</f>
        <v>100</v>
      </c>
      <c r="X25" s="935"/>
      <c r="Y25" s="4599"/>
      <c r="Z25" s="933">
        <f>Q25</f>
        <v>111</v>
      </c>
      <c r="AA25" s="933">
        <f t="shared" si="3"/>
        <v>1</v>
      </c>
      <c r="AB25" s="933">
        <f t="shared" si="4"/>
        <v>1</v>
      </c>
      <c r="AC25" s="933">
        <f t="shared" si="5"/>
        <v>1</v>
      </c>
    </row>
    <row r="26" spans="1:29" ht="15">
      <c r="A26" s="254"/>
      <c r="B26" s="783">
        <v>111</v>
      </c>
      <c r="C26" s="259">
        <v>111</v>
      </c>
      <c r="D26" s="2980">
        <v>100</v>
      </c>
      <c r="E26" s="259"/>
      <c r="F26" s="934">
        <f>SUMIF(82:82,E26,83:83)-SUMIF(82:82,C26,83:83)+100</f>
        <v>100</v>
      </c>
      <c r="G26" s="259"/>
      <c r="H26" s="3865">
        <f>SUMIF(82:82,G26,83:83)-SUMIF(82:82,C26,83:83)+100</f>
        <v>100</v>
      </c>
      <c r="I26" s="259"/>
      <c r="J26" s="3865">
        <f>SUMIF(82:82,I26,83:83)-SUMIF(82:82,C26,83:83)+100</f>
        <v>100</v>
      </c>
      <c r="K26" s="395"/>
      <c r="L26" s="620"/>
      <c r="M26" s="611"/>
      <c r="N26" s="611"/>
      <c r="O26" s="619"/>
      <c r="P26" s="4694"/>
      <c r="Q26" s="1533">
        <f t="shared" ref="Q26:Q40" si="11">B26</f>
        <v>111</v>
      </c>
      <c r="R26" s="3874" t="s">
        <v>13</v>
      </c>
      <c r="S26" s="3876">
        <f>F26</f>
        <v>100</v>
      </c>
      <c r="T26" s="3874" t="s">
        <v>13</v>
      </c>
      <c r="U26" s="3876">
        <f>H26</f>
        <v>100</v>
      </c>
      <c r="V26" s="3874" t="s">
        <v>13</v>
      </c>
      <c r="W26" s="3876">
        <f>J26</f>
        <v>100</v>
      </c>
      <c r="X26" s="935"/>
      <c r="Y26" s="4599"/>
      <c r="Z26" s="933">
        <f>Q26</f>
        <v>111</v>
      </c>
      <c r="AA26" s="933">
        <f t="shared" si="3"/>
        <v>1</v>
      </c>
      <c r="AB26" s="933">
        <f t="shared" si="4"/>
        <v>1</v>
      </c>
      <c r="AC26" s="933">
        <f t="shared" si="5"/>
        <v>1</v>
      </c>
    </row>
    <row r="27" spans="1:29" s="46" customFormat="1" ht="15">
      <c r="A27" s="257"/>
      <c r="B27" s="783">
        <v>111</v>
      </c>
      <c r="C27" s="259">
        <v>111</v>
      </c>
      <c r="D27" s="2986">
        <v>100</v>
      </c>
      <c r="E27" s="259"/>
      <c r="F27" s="272">
        <f>SUMIF(84:84,E27,85:85)-SUMIF(84:84,C27,85:85)+100</f>
        <v>100</v>
      </c>
      <c r="G27" s="259"/>
      <c r="H27" s="406">
        <f>SUMIF(84:84,G27,85:85)-SUMIF(84:84,C27,85:85)+100</f>
        <v>100</v>
      </c>
      <c r="I27" s="259"/>
      <c r="J27" s="406">
        <f>SUMIF(84:84,I27,85:85)-SUMIF(84:84,C27,85:85)+100</f>
        <v>100</v>
      </c>
      <c r="K27" s="395"/>
      <c r="L27" s="612"/>
      <c r="M27" s="613"/>
      <c r="N27" s="613"/>
      <c r="O27" s="614"/>
      <c r="P27" s="4694"/>
      <c r="Q27" s="1731">
        <f t="shared" si="11"/>
        <v>111</v>
      </c>
      <c r="R27" s="3873" t="s">
        <v>13</v>
      </c>
      <c r="S27" s="3654">
        <f>F27</f>
        <v>100</v>
      </c>
      <c r="T27" s="3873" t="s">
        <v>13</v>
      </c>
      <c r="U27" s="3654">
        <f>H27</f>
        <v>100</v>
      </c>
      <c r="V27" s="3873" t="s">
        <v>13</v>
      </c>
      <c r="W27" s="3654">
        <f>J27</f>
        <v>100</v>
      </c>
      <c r="X27" s="482"/>
      <c r="Y27" s="4599"/>
      <c r="Z27" s="28">
        <f>Q27</f>
        <v>111</v>
      </c>
      <c r="AA27" s="933">
        <f>D27/F27</f>
        <v>1</v>
      </c>
      <c r="AB27" s="933">
        <f>D27/H27</f>
        <v>1</v>
      </c>
      <c r="AC27" s="933">
        <f>D27/J27</f>
        <v>1</v>
      </c>
    </row>
    <row r="28" spans="1:29" ht="15.75" thickBot="1">
      <c r="A28" s="260"/>
      <c r="B28" s="783">
        <v>111</v>
      </c>
      <c r="C28" s="261">
        <v>111</v>
      </c>
      <c r="D28" s="2981">
        <v>100</v>
      </c>
      <c r="E28" s="259"/>
      <c r="F28" s="3866">
        <f>SUMIF(86:86,E28,87:87)-SUMIF(86:86,C28,87:87)+100</f>
        <v>100</v>
      </c>
      <c r="G28" s="278"/>
      <c r="H28" s="3862">
        <f>SUMIF(86:86,G28,87:87)-SUMIF(86:86,C28,87:87)+100</f>
        <v>100</v>
      </c>
      <c r="I28" s="278"/>
      <c r="J28" s="3862">
        <f>SUMIF(86:86,I28,87:87)-SUMIF(86:86,C28,87:87)+100</f>
        <v>100</v>
      </c>
      <c r="K28" s="395"/>
      <c r="L28" s="620"/>
      <c r="M28" s="611"/>
      <c r="N28" s="611"/>
      <c r="O28" s="619"/>
      <c r="P28" s="4694"/>
      <c r="Q28" s="1533">
        <f t="shared" si="11"/>
        <v>111</v>
      </c>
      <c r="R28" s="3874" t="s">
        <v>13</v>
      </c>
      <c r="S28" s="3876">
        <f t="shared" ref="S28:S40" si="12">F28</f>
        <v>100</v>
      </c>
      <c r="T28" s="3874" t="s">
        <v>13</v>
      </c>
      <c r="U28" s="3876">
        <f t="shared" ref="U28:U40" si="13">H28</f>
        <v>100</v>
      </c>
      <c r="V28" s="3874" t="s">
        <v>13</v>
      </c>
      <c r="W28" s="3876">
        <f t="shared" ref="W28:W40" si="14">J28</f>
        <v>100</v>
      </c>
      <c r="X28" s="935"/>
      <c r="Y28" s="4599"/>
      <c r="Z28" s="933">
        <f t="shared" ref="Z28:Z40" si="15">Q28</f>
        <v>111</v>
      </c>
      <c r="AA28" s="933">
        <f t="shared" si="3"/>
        <v>1</v>
      </c>
      <c r="AB28" s="933">
        <f t="shared" si="4"/>
        <v>1</v>
      </c>
      <c r="AC28" s="933">
        <f t="shared" si="5"/>
        <v>1</v>
      </c>
    </row>
    <row r="29" spans="1:29" ht="28.5">
      <c r="A29" s="276" t="s">
        <v>1606</v>
      </c>
      <c r="B29" s="34" t="s">
        <v>1729</v>
      </c>
      <c r="C29" s="1446"/>
      <c r="D29" s="2987">
        <v>100</v>
      </c>
      <c r="E29" s="1446"/>
      <c r="F29" s="934">
        <f>SUMIF(88:88,E29,89:89)-SUMIF(88:88,C29,89:89)+100</f>
        <v>100</v>
      </c>
      <c r="G29" s="1446"/>
      <c r="H29" s="3865">
        <f>SUMIF(88:88,G29,89:89)-SUMIF(88:88,C29,89:89)+100</f>
        <v>100</v>
      </c>
      <c r="I29" s="1446"/>
      <c r="J29" s="3868">
        <f>SUMIF(88:88,I29,89:89)-SUMIF(88:88,C29,89:89)+100</f>
        <v>100</v>
      </c>
      <c r="K29" s="394"/>
      <c r="L29" s="620"/>
      <c r="M29" s="611"/>
      <c r="N29" s="611"/>
      <c r="O29" s="619"/>
      <c r="P29" s="4695" t="s">
        <v>1608</v>
      </c>
      <c r="Q29" s="1533" t="str">
        <f t="shared" si="11"/>
        <v>建筑类型</v>
      </c>
      <c r="R29" s="3874" t="s">
        <v>13</v>
      </c>
      <c r="S29" s="3876">
        <f t="shared" si="12"/>
        <v>100</v>
      </c>
      <c r="T29" s="3874" t="s">
        <v>13</v>
      </c>
      <c r="U29" s="3876">
        <f t="shared" si="13"/>
        <v>100</v>
      </c>
      <c r="V29" s="3874" t="s">
        <v>13</v>
      </c>
      <c r="W29" s="3876">
        <f t="shared" si="14"/>
        <v>100</v>
      </c>
      <c r="X29" s="935"/>
      <c r="Y29" s="4603" t="s">
        <v>1608</v>
      </c>
      <c r="Z29" s="933" t="str">
        <f t="shared" si="15"/>
        <v>建筑类型</v>
      </c>
      <c r="AA29" s="933">
        <f t="shared" si="3"/>
        <v>1</v>
      </c>
      <c r="AB29" s="933">
        <f t="shared" si="4"/>
        <v>1</v>
      </c>
      <c r="AC29" s="933">
        <f t="shared" si="5"/>
        <v>1</v>
      </c>
    </row>
    <row r="30" spans="1:29" s="279" customFormat="1" ht="15">
      <c r="A30" s="277"/>
      <c r="B30" s="252" t="s">
        <v>1609</v>
      </c>
      <c r="C30" s="278"/>
      <c r="D30" s="2978">
        <v>100</v>
      </c>
      <c r="E30" s="256"/>
      <c r="F30" s="252" t="e">
        <f>LOOKUP(E30,91:91,92:92)-LOOKUP(C30,91:91,92:92)+100</f>
        <v>#N/A</v>
      </c>
      <c r="G30" s="255"/>
      <c r="H30" s="422" t="e">
        <f>LOOKUP(G30,91:91,92:92)-LOOKUP(C30,91:91,92:92)+100</f>
        <v>#N/A</v>
      </c>
      <c r="I30" s="255"/>
      <c r="J30" s="422" t="e">
        <f>LOOKUP(I30,91:91,92:92)-LOOKUP(C30,91:91,92:92)+100</f>
        <v>#N/A</v>
      </c>
      <c r="K30" s="395"/>
      <c r="L30" s="618"/>
      <c r="M30" s="621"/>
      <c r="N30" s="621"/>
      <c r="O30" s="622"/>
      <c r="P30" s="4696"/>
      <c r="Q30" s="2941" t="str">
        <f t="shared" si="11"/>
        <v>项目建筑规模</v>
      </c>
      <c r="R30" s="3875" t="s">
        <v>13</v>
      </c>
      <c r="S30" s="3877" t="e">
        <f t="shared" si="12"/>
        <v>#N/A</v>
      </c>
      <c r="T30" s="3875" t="s">
        <v>13</v>
      </c>
      <c r="U30" s="3877" t="e">
        <f t="shared" si="13"/>
        <v>#N/A</v>
      </c>
      <c r="V30" s="3875" t="s">
        <v>13</v>
      </c>
      <c r="W30" s="3877" t="e">
        <f t="shared" si="14"/>
        <v>#N/A</v>
      </c>
      <c r="X30" s="484"/>
      <c r="Y30" s="4603"/>
      <c r="Z30" s="485" t="str">
        <f t="shared" si="15"/>
        <v>项目建筑规模</v>
      </c>
      <c r="AA30" s="933" t="e">
        <f t="shared" si="3"/>
        <v>#N/A</v>
      </c>
      <c r="AB30" s="933" t="e">
        <f t="shared" si="4"/>
        <v>#N/A</v>
      </c>
      <c r="AC30" s="933" t="e">
        <f t="shared" si="5"/>
        <v>#N/A</v>
      </c>
    </row>
    <row r="31" spans="1:29" ht="15">
      <c r="A31" s="280"/>
      <c r="B31" s="252" t="s">
        <v>1610</v>
      </c>
      <c r="C31" s="275"/>
      <c r="D31" s="2980">
        <v>100</v>
      </c>
      <c r="E31" s="275"/>
      <c r="F31" s="934">
        <f>SUMIF(93:93,E31,94:94)-SUMIF(93:93,C31,94:94)+100</f>
        <v>100</v>
      </c>
      <c r="G31" s="275"/>
      <c r="H31" s="3865">
        <f>SUMIF(93:93,G31,94:94)-SUMIF(93:93,C31,94:94)+100</f>
        <v>100</v>
      </c>
      <c r="I31" s="275"/>
      <c r="J31" s="3865">
        <f>SUMIF(93:93,I31,94:94)-SUMIF(93:93,C31,94:94)+100</f>
        <v>100</v>
      </c>
      <c r="K31" s="394"/>
      <c r="L31" s="620"/>
      <c r="M31" s="611"/>
      <c r="N31" s="611"/>
      <c r="O31" s="619"/>
      <c r="P31" s="4696"/>
      <c r="Q31" s="1533" t="str">
        <f t="shared" si="11"/>
        <v>建筑结构</v>
      </c>
      <c r="R31" s="3874" t="s">
        <v>13</v>
      </c>
      <c r="S31" s="3876">
        <f t="shared" si="12"/>
        <v>100</v>
      </c>
      <c r="T31" s="3874" t="s">
        <v>13</v>
      </c>
      <c r="U31" s="3876">
        <f t="shared" si="13"/>
        <v>100</v>
      </c>
      <c r="V31" s="3874" t="s">
        <v>13</v>
      </c>
      <c r="W31" s="3876">
        <f t="shared" si="14"/>
        <v>100</v>
      </c>
      <c r="X31" s="935"/>
      <c r="Y31" s="4603"/>
      <c r="Z31" s="933" t="str">
        <f t="shared" si="15"/>
        <v>建筑结构</v>
      </c>
      <c r="AA31" s="933">
        <f t="shared" si="3"/>
        <v>1</v>
      </c>
      <c r="AB31" s="933">
        <f t="shared" si="4"/>
        <v>1</v>
      </c>
      <c r="AC31" s="933">
        <f t="shared" si="5"/>
        <v>1</v>
      </c>
    </row>
    <row r="32" spans="1:29" ht="15">
      <c r="A32" s="280"/>
      <c r="B32" s="252" t="s">
        <v>1697</v>
      </c>
      <c r="C32" s="275"/>
      <c r="D32" s="2980">
        <v>100</v>
      </c>
      <c r="E32" s="275"/>
      <c r="F32" s="934">
        <f>SUMIF(95:95,E32,96:96)-SUMIF(95:95,C32,96:96)+100</f>
        <v>100</v>
      </c>
      <c r="G32" s="275"/>
      <c r="H32" s="3865">
        <f>SUMIF(95:95,G32,96:96)-SUMIF(95:95,C32,96:96)+100</f>
        <v>100</v>
      </c>
      <c r="I32" s="275"/>
      <c r="J32" s="3865">
        <f>SUMIF(95:95,I32,96:96)-SUMIF(95:95,C32,96:96)+100</f>
        <v>100</v>
      </c>
      <c r="K32" s="394"/>
      <c r="L32" s="620"/>
      <c r="M32" s="611"/>
      <c r="N32" s="611"/>
      <c r="O32" s="619"/>
      <c r="P32" s="4696"/>
      <c r="Q32" s="1533" t="str">
        <f t="shared" si="11"/>
        <v>公共部分装修</v>
      </c>
      <c r="R32" s="3874" t="s">
        <v>13</v>
      </c>
      <c r="S32" s="3876">
        <f t="shared" si="12"/>
        <v>100</v>
      </c>
      <c r="T32" s="3874" t="s">
        <v>13</v>
      </c>
      <c r="U32" s="3876">
        <f t="shared" si="13"/>
        <v>100</v>
      </c>
      <c r="V32" s="3874" t="s">
        <v>13</v>
      </c>
      <c r="W32" s="3876">
        <f t="shared" si="14"/>
        <v>100</v>
      </c>
      <c r="X32" s="935"/>
      <c r="Y32" s="4603"/>
      <c r="Z32" s="933" t="str">
        <f t="shared" si="15"/>
        <v>公共部分装修</v>
      </c>
      <c r="AA32" s="933">
        <f t="shared" si="3"/>
        <v>1</v>
      </c>
      <c r="AB32" s="933">
        <f t="shared" si="4"/>
        <v>1</v>
      </c>
      <c r="AC32" s="933">
        <f t="shared" si="5"/>
        <v>1</v>
      </c>
    </row>
    <row r="33" spans="1:29" ht="15">
      <c r="A33" s="280"/>
      <c r="B33" s="252" t="s">
        <v>1698</v>
      </c>
      <c r="C33" s="278"/>
      <c r="D33" s="2980">
        <v>100</v>
      </c>
      <c r="E33" s="282"/>
      <c r="F33" s="934" t="e">
        <f>LOOKUP(E33,98:98,99:99)-LOOKUP(C33,98:98,99:99)+100</f>
        <v>#N/A</v>
      </c>
      <c r="G33" s="282"/>
      <c r="H33" s="934" t="e">
        <f>LOOKUP(G33,98:98,99:99)-LOOKUP(C33,98:98,99:99)+100</f>
        <v>#N/A</v>
      </c>
      <c r="I33" s="282"/>
      <c r="J33" s="3865" t="e">
        <f>LOOKUP(I33,98:98,99:99)-LOOKUP(C33,98:98,99:99)+100</f>
        <v>#N/A</v>
      </c>
      <c r="K33" s="394"/>
      <c r="L33" s="620"/>
      <c r="M33" s="611"/>
      <c r="N33" s="611"/>
      <c r="O33" s="619"/>
      <c r="P33" s="4696"/>
      <c r="Q33" s="1533" t="str">
        <f t="shared" si="11"/>
        <v>成新度</v>
      </c>
      <c r="R33" s="3874" t="s">
        <v>13</v>
      </c>
      <c r="S33" s="3876" t="e">
        <f t="shared" si="12"/>
        <v>#N/A</v>
      </c>
      <c r="T33" s="3874" t="s">
        <v>13</v>
      </c>
      <c r="U33" s="3876" t="e">
        <f t="shared" si="13"/>
        <v>#N/A</v>
      </c>
      <c r="V33" s="3874" t="s">
        <v>13</v>
      </c>
      <c r="W33" s="3876" t="e">
        <f t="shared" si="14"/>
        <v>#N/A</v>
      </c>
      <c r="X33" s="935"/>
      <c r="Y33" s="4603"/>
      <c r="Z33" s="933" t="str">
        <f t="shared" si="15"/>
        <v>成新度</v>
      </c>
      <c r="AA33" s="933" t="e">
        <f t="shared" si="3"/>
        <v>#N/A</v>
      </c>
      <c r="AB33" s="933" t="e">
        <f t="shared" si="4"/>
        <v>#N/A</v>
      </c>
      <c r="AC33" s="933" t="e">
        <f t="shared" si="5"/>
        <v>#N/A</v>
      </c>
    </row>
    <row r="34" spans="1:29" s="46" customFormat="1" ht="15">
      <c r="A34" s="281"/>
      <c r="B34" s="252" t="s">
        <v>1731</v>
      </c>
      <c r="C34" s="275"/>
      <c r="D34" s="2978">
        <v>100</v>
      </c>
      <c r="E34" s="275"/>
      <c r="F34" s="934">
        <f>SUMIF(100:100,E34,101:101)-SUMIF(100:100,C34,101:101)+100</f>
        <v>100</v>
      </c>
      <c r="G34" s="275"/>
      <c r="H34" s="3865">
        <f>SUMIF(100:100,G34,101:101)-SUMIF(100:100,C34,101:101)+100</f>
        <v>100</v>
      </c>
      <c r="I34" s="275"/>
      <c r="J34" s="3865">
        <f>SUMIF(100:100,I34,101:101)-SUMIF(100:100,C34,101:101)+100</f>
        <v>100</v>
      </c>
      <c r="K34" s="394"/>
      <c r="L34" s="612"/>
      <c r="M34" s="613"/>
      <c r="N34" s="613"/>
      <c r="O34" s="614"/>
      <c r="P34" s="4696"/>
      <c r="Q34" s="1731" t="str">
        <f t="shared" si="11"/>
        <v>物业管理</v>
      </c>
      <c r="R34" s="3873" t="s">
        <v>13</v>
      </c>
      <c r="S34" s="3654">
        <f t="shared" si="12"/>
        <v>100</v>
      </c>
      <c r="T34" s="3873" t="s">
        <v>13</v>
      </c>
      <c r="U34" s="3654">
        <f t="shared" si="13"/>
        <v>100</v>
      </c>
      <c r="V34" s="3873" t="s">
        <v>13</v>
      </c>
      <c r="W34" s="3654">
        <f t="shared" si="14"/>
        <v>100</v>
      </c>
      <c r="X34" s="482"/>
      <c r="Y34" s="4603"/>
      <c r="Z34" s="28" t="str">
        <f t="shared" si="15"/>
        <v>物业管理</v>
      </c>
      <c r="AA34" s="28">
        <f t="shared" si="3"/>
        <v>1</v>
      </c>
      <c r="AB34" s="28">
        <f t="shared" si="4"/>
        <v>1</v>
      </c>
      <c r="AC34" s="28">
        <f t="shared" si="5"/>
        <v>1</v>
      </c>
    </row>
    <row r="35" spans="1:29" ht="15">
      <c r="A35" s="280"/>
      <c r="B35" s="252" t="s">
        <v>1699</v>
      </c>
      <c r="C35" s="275"/>
      <c r="D35" s="2980">
        <v>100</v>
      </c>
      <c r="E35" s="275"/>
      <c r="F35" s="934">
        <f>SUMIF(102:102,E35,103:103)-SUMIF(102:102,C35,103:103)+100</f>
        <v>100</v>
      </c>
      <c r="G35" s="275"/>
      <c r="H35" s="3865">
        <f>SUMIF(102:102,G35,103:103)-SUMIF(102:102,C35,103:103)+100</f>
        <v>100</v>
      </c>
      <c r="I35" s="275"/>
      <c r="J35" s="3865">
        <f>SUMIF(102:102,I35,103:103)-SUMIF(102:102,C35,103:103)+100</f>
        <v>100</v>
      </c>
      <c r="K35" s="394"/>
      <c r="L35" s="620"/>
      <c r="M35" s="611"/>
      <c r="N35" s="611"/>
      <c r="O35" s="619"/>
      <c r="P35" s="4696" t="s">
        <v>1608</v>
      </c>
      <c r="Q35" s="1533" t="str">
        <f t="shared" si="11"/>
        <v>市政基础设施</v>
      </c>
      <c r="R35" s="3874" t="s">
        <v>13</v>
      </c>
      <c r="S35" s="3876">
        <f t="shared" si="12"/>
        <v>100</v>
      </c>
      <c r="T35" s="3874" t="s">
        <v>13</v>
      </c>
      <c r="U35" s="3876">
        <f t="shared" si="13"/>
        <v>100</v>
      </c>
      <c r="V35" s="3874" t="s">
        <v>13</v>
      </c>
      <c r="W35" s="3876">
        <f t="shared" si="14"/>
        <v>100</v>
      </c>
      <c r="X35" s="935"/>
      <c r="Y35" s="4603" t="s">
        <v>1608</v>
      </c>
      <c r="Z35" s="933" t="str">
        <f t="shared" si="15"/>
        <v>市政基础设施</v>
      </c>
      <c r="AA35" s="933">
        <f t="shared" si="3"/>
        <v>1</v>
      </c>
      <c r="AB35" s="933">
        <f t="shared" si="4"/>
        <v>1</v>
      </c>
      <c r="AC35" s="933">
        <f t="shared" si="5"/>
        <v>1</v>
      </c>
    </row>
    <row r="36" spans="1:29" ht="15">
      <c r="A36" s="280"/>
      <c r="B36" s="252" t="s">
        <v>1704</v>
      </c>
      <c r="C36" s="275"/>
      <c r="D36" s="2980">
        <v>100</v>
      </c>
      <c r="E36" s="275"/>
      <c r="F36" s="934">
        <f>SUMIF(104:104,E36,105:105)-SUMIF(104:104,C36,105:105)+100</f>
        <v>100</v>
      </c>
      <c r="G36" s="275"/>
      <c r="H36" s="3865">
        <f>SUMIF(104:104,G36,105:105)-SUMIF(104:104,C36,105:105)+100</f>
        <v>100</v>
      </c>
      <c r="I36" s="275"/>
      <c r="J36" s="3865">
        <f>SUMIF(104:104,I36,105:105)-SUMIF(104:104,C36,105:105)+100</f>
        <v>100</v>
      </c>
      <c r="K36" s="394"/>
      <c r="L36" s="620"/>
      <c r="M36" s="611"/>
      <c r="N36" s="611"/>
      <c r="O36" s="619"/>
      <c r="P36" s="4696"/>
      <c r="Q36" s="1533" t="str">
        <f t="shared" si="11"/>
        <v>内部装修</v>
      </c>
      <c r="R36" s="3874" t="s">
        <v>13</v>
      </c>
      <c r="S36" s="3876">
        <f t="shared" si="12"/>
        <v>100</v>
      </c>
      <c r="T36" s="3874" t="s">
        <v>13</v>
      </c>
      <c r="U36" s="3876">
        <f t="shared" si="13"/>
        <v>100</v>
      </c>
      <c r="V36" s="3874" t="s">
        <v>13</v>
      </c>
      <c r="W36" s="3876">
        <f t="shared" si="14"/>
        <v>100</v>
      </c>
      <c r="X36" s="935"/>
      <c r="Y36" s="4603"/>
      <c r="Z36" s="933" t="str">
        <f t="shared" si="15"/>
        <v>内部装修</v>
      </c>
      <c r="AA36" s="933">
        <f t="shared" si="3"/>
        <v>1</v>
      </c>
      <c r="AB36" s="933">
        <f t="shared" si="4"/>
        <v>1</v>
      </c>
      <c r="AC36" s="933">
        <f t="shared" si="5"/>
        <v>1</v>
      </c>
    </row>
    <row r="37" spans="1:29" ht="15">
      <c r="A37" s="280"/>
      <c r="B37" s="252" t="s">
        <v>1740</v>
      </c>
      <c r="C37" s="398"/>
      <c r="D37" s="2980">
        <v>100</v>
      </c>
      <c r="E37" s="398"/>
      <c r="F37" s="934">
        <f>SUMIF(106:106,E37,107:107)-SUMIF(106:106,C37,107:107)+100</f>
        <v>100</v>
      </c>
      <c r="G37" s="398"/>
      <c r="H37" s="3865">
        <f>SUMIF(106:106,G37,107:107)-SUMIF(106:106,C37,107:107)+100</f>
        <v>100</v>
      </c>
      <c r="I37" s="398"/>
      <c r="J37" s="3865">
        <f>SUMIF(106:106,I37,107:107)-SUMIF(106:106,C37,107:107)+100</f>
        <v>100</v>
      </c>
      <c r="K37" s="394"/>
      <c r="L37" s="620"/>
      <c r="M37" s="611"/>
      <c r="N37" s="611"/>
      <c r="O37" s="619"/>
      <c r="P37" s="4696"/>
      <c r="Q37" s="1533" t="str">
        <f t="shared" si="11"/>
        <v>内部装修状况</v>
      </c>
      <c r="R37" s="3874" t="s">
        <v>13</v>
      </c>
      <c r="S37" s="3876">
        <f t="shared" si="12"/>
        <v>100</v>
      </c>
      <c r="T37" s="3874" t="s">
        <v>13</v>
      </c>
      <c r="U37" s="3876">
        <f t="shared" si="13"/>
        <v>100</v>
      </c>
      <c r="V37" s="3874" t="s">
        <v>13</v>
      </c>
      <c r="W37" s="3876">
        <f t="shared" si="14"/>
        <v>100</v>
      </c>
      <c r="X37" s="935"/>
      <c r="Y37" s="4603"/>
      <c r="Z37" s="933" t="str">
        <f t="shared" si="15"/>
        <v>内部装修状况</v>
      </c>
      <c r="AA37" s="933">
        <f t="shared" si="3"/>
        <v>1</v>
      </c>
      <c r="AB37" s="933">
        <f t="shared" si="4"/>
        <v>1</v>
      </c>
      <c r="AC37" s="933">
        <f t="shared" si="5"/>
        <v>1</v>
      </c>
    </row>
    <row r="38" spans="1:29" s="279" customFormat="1" ht="15">
      <c r="A38" s="277"/>
      <c r="B38" s="783">
        <v>111</v>
      </c>
      <c r="C38" s="278"/>
      <c r="D38" s="2980">
        <v>100</v>
      </c>
      <c r="E38" s="259"/>
      <c r="F38" s="934">
        <f>SUMIF(108:108,E38,109:109)-SUMIF(108:108,C38,109:109)+100</f>
        <v>100</v>
      </c>
      <c r="G38" s="278"/>
      <c r="H38" s="3865">
        <f>SUMIF(108:108,G38,109:109)-SUMIF(108:108,C38,109:109)+100</f>
        <v>100</v>
      </c>
      <c r="I38" s="278"/>
      <c r="J38" s="3865">
        <f>SUMIF(108:108,I38,109:1038)-SUMIF(108:108,C38,109:109)+100</f>
        <v>100</v>
      </c>
      <c r="K38" s="395"/>
      <c r="L38" s="618"/>
      <c r="M38" s="621"/>
      <c r="N38" s="621"/>
      <c r="O38" s="622"/>
      <c r="P38" s="4696"/>
      <c r="Q38" s="2941">
        <f t="shared" si="11"/>
        <v>111</v>
      </c>
      <c r="R38" s="3875" t="s">
        <v>13</v>
      </c>
      <c r="S38" s="3877">
        <f t="shared" si="12"/>
        <v>100</v>
      </c>
      <c r="T38" s="3875" t="s">
        <v>13</v>
      </c>
      <c r="U38" s="3877">
        <f t="shared" si="13"/>
        <v>100</v>
      </c>
      <c r="V38" s="3875" t="s">
        <v>13</v>
      </c>
      <c r="W38" s="3877">
        <f t="shared" si="14"/>
        <v>100</v>
      </c>
      <c r="X38" s="484"/>
      <c r="Y38" s="4603"/>
      <c r="Z38" s="485">
        <f t="shared" si="15"/>
        <v>111</v>
      </c>
      <c r="AA38" s="933">
        <f t="shared" si="3"/>
        <v>1</v>
      </c>
      <c r="AB38" s="933">
        <f t="shared" si="4"/>
        <v>1</v>
      </c>
      <c r="AC38" s="933">
        <f t="shared" si="5"/>
        <v>1</v>
      </c>
    </row>
    <row r="39" spans="1:29" ht="15">
      <c r="A39" s="280"/>
      <c r="B39" s="783">
        <v>111</v>
      </c>
      <c r="C39" s="278"/>
      <c r="D39" s="2980">
        <v>100</v>
      </c>
      <c r="E39" s="259"/>
      <c r="F39" s="934">
        <f>SUMIF(110:110,E39,111:111)-SUMIF(110:110,C39,111:111)+100</f>
        <v>100</v>
      </c>
      <c r="G39" s="278"/>
      <c r="H39" s="3865">
        <f>SUMIF(110:110,G39,111:111)-SUMIF(110:110,C39,111:111)+100</f>
        <v>100</v>
      </c>
      <c r="I39" s="278"/>
      <c r="J39" s="3865">
        <f>SUMIF(110:110,I39,111:111)-SUMIF(110:110,C39,111:111)+100</f>
        <v>100</v>
      </c>
      <c r="K39" s="395"/>
      <c r="L39" s="620"/>
      <c r="M39" s="611"/>
      <c r="N39" s="611"/>
      <c r="O39" s="619"/>
      <c r="P39" s="4696"/>
      <c r="Q39" s="1533">
        <f t="shared" si="11"/>
        <v>111</v>
      </c>
      <c r="R39" s="3874" t="s">
        <v>13</v>
      </c>
      <c r="S39" s="3876">
        <f t="shared" si="12"/>
        <v>100</v>
      </c>
      <c r="T39" s="3874" t="s">
        <v>13</v>
      </c>
      <c r="U39" s="3876">
        <f t="shared" si="13"/>
        <v>100</v>
      </c>
      <c r="V39" s="3874" t="s">
        <v>13</v>
      </c>
      <c r="W39" s="3876">
        <f t="shared" si="14"/>
        <v>100</v>
      </c>
      <c r="X39" s="935"/>
      <c r="Y39" s="4603"/>
      <c r="Z39" s="933">
        <f t="shared" si="15"/>
        <v>111</v>
      </c>
      <c r="AA39" s="933">
        <f t="shared" si="3"/>
        <v>1</v>
      </c>
      <c r="AB39" s="933">
        <f t="shared" si="4"/>
        <v>1</v>
      </c>
      <c r="AC39" s="933">
        <f t="shared" si="5"/>
        <v>1</v>
      </c>
    </row>
    <row r="40" spans="1:29" ht="15.75" thickBot="1">
      <c r="A40" s="285"/>
      <c r="B40" s="1387">
        <v>111</v>
      </c>
      <c r="C40" s="261"/>
      <c r="D40" s="2981">
        <v>100</v>
      </c>
      <c r="E40" s="259"/>
      <c r="F40" s="3866">
        <f>SUMIF(112:112,E40,113:113)-SUMIF(112:112,C40,113:113)+100</f>
        <v>100</v>
      </c>
      <c r="G40" s="278"/>
      <c r="H40" s="3862">
        <f>SUMIF(112:112,G40,113:113)-SUMIF(112:112,C40,113:113)+100</f>
        <v>100</v>
      </c>
      <c r="I40" s="278"/>
      <c r="J40" s="3862">
        <f>SUMIF(112:112,I40,113:113)-SUMIF(112:112,C40,113:113)+100</f>
        <v>100</v>
      </c>
      <c r="K40" s="395"/>
      <c r="L40" s="620"/>
      <c r="M40" s="611"/>
      <c r="N40" s="611"/>
      <c r="O40" s="619"/>
      <c r="P40" s="4697"/>
      <c r="Q40" s="1533">
        <f t="shared" si="11"/>
        <v>111</v>
      </c>
      <c r="R40" s="3874" t="s">
        <v>13</v>
      </c>
      <c r="S40" s="3876">
        <f t="shared" si="12"/>
        <v>100</v>
      </c>
      <c r="T40" s="3874" t="s">
        <v>13</v>
      </c>
      <c r="U40" s="3876">
        <f t="shared" si="13"/>
        <v>100</v>
      </c>
      <c r="V40" s="3874" t="s">
        <v>13</v>
      </c>
      <c r="W40" s="3876">
        <f t="shared" si="14"/>
        <v>100</v>
      </c>
      <c r="X40" s="935"/>
      <c r="Y40" s="4604"/>
      <c r="Z40" s="933">
        <f t="shared" si="15"/>
        <v>111</v>
      </c>
      <c r="AA40" s="933">
        <f t="shared" si="3"/>
        <v>1</v>
      </c>
      <c r="AB40" s="933">
        <f t="shared" si="4"/>
        <v>1</v>
      </c>
      <c r="AC40" s="933">
        <f t="shared" si="5"/>
        <v>1</v>
      </c>
    </row>
    <row r="41" spans="1:29" ht="15">
      <c r="A41" s="286" t="s">
        <v>1620</v>
      </c>
      <c r="B41" s="287"/>
      <c r="C41" s="787" t="s">
        <v>0</v>
      </c>
      <c r="D41" s="288"/>
      <c r="E41" s="3311"/>
      <c r="F41" s="3259"/>
      <c r="G41" s="3312"/>
      <c r="H41" s="3260"/>
      <c r="I41" s="3311"/>
      <c r="J41" s="3260"/>
      <c r="K41" s="2939"/>
      <c r="L41" s="623"/>
      <c r="M41" s="611"/>
      <c r="N41" s="611"/>
      <c r="O41" s="611"/>
      <c r="P41" s="4605" t="str">
        <f>A41</f>
        <v>成交单价（元/平方米）</v>
      </c>
      <c r="Q41" s="4605"/>
      <c r="R41" s="4606">
        <f>E41</f>
        <v>0</v>
      </c>
      <c r="S41" s="4606"/>
      <c r="T41" s="4606">
        <f>G41</f>
        <v>0</v>
      </c>
      <c r="U41" s="4606"/>
      <c r="V41" s="4606">
        <f>I41</f>
        <v>0</v>
      </c>
      <c r="W41" s="4606"/>
      <c r="X41" s="265"/>
      <c r="Y41" s="486"/>
      <c r="Z41" s="265"/>
      <c r="AA41" s="265"/>
      <c r="AB41" s="265"/>
      <c r="AC41" s="265"/>
    </row>
    <row r="42" spans="1:29" ht="15.75" thickBot="1">
      <c r="A42" s="289" t="s">
        <v>1705</v>
      </c>
      <c r="B42" s="290"/>
      <c r="C42" s="3847" t="e">
        <f>R43</f>
        <v>#DIV/0!</v>
      </c>
      <c r="D42" s="3960" t="s">
        <v>2047</v>
      </c>
      <c r="E42" s="2962" t="e">
        <f>R42</f>
        <v>#DIV/0!</v>
      </c>
      <c r="F42" s="2878"/>
      <c r="G42" s="2961" t="e">
        <f>T42</f>
        <v>#DIV/0!</v>
      </c>
      <c r="H42" s="2878"/>
      <c r="I42" s="2962" t="e">
        <f>V42</f>
        <v>#DIV/0!</v>
      </c>
      <c r="J42" s="2878"/>
      <c r="K42" s="2932">
        <f>F42+H42+J42</f>
        <v>0</v>
      </c>
      <c r="L42" s="623"/>
      <c r="M42" s="611"/>
      <c r="N42" s="611"/>
      <c r="O42" s="611"/>
      <c r="P42" s="4605" t="str">
        <f>A42</f>
        <v>比较价值（元/平方米）</v>
      </c>
      <c r="Q42" s="4605"/>
      <c r="R42" s="4606" t="e">
        <f>IF(F1="售价",ROUND(PRODUCT(R41,AA7:AA40),0),ROUND(PRODUCT(R41,AA7:AA40),1))</f>
        <v>#DIV/0!</v>
      </c>
      <c r="S42" s="4606"/>
      <c r="T42" s="4606" t="e">
        <f>IF(F1="售价",ROUND(PRODUCT(T41,AB7:AB40),0),ROUND(PRODUCT(T41,AB7:AB40),1))</f>
        <v>#DIV/0!</v>
      </c>
      <c r="U42" s="4606"/>
      <c r="V42" s="4606" t="e">
        <f>IF(F1="售价",ROUND(PRODUCT(V41,AC7:AC40),0),ROUND(PRODUCT(V41,AC7:AC40),1))</f>
        <v>#DIV/0!</v>
      </c>
      <c r="W42" s="4606"/>
      <c r="X42" s="265"/>
      <c r="Y42" s="265"/>
      <c r="Z42" s="265"/>
      <c r="AA42" s="265"/>
      <c r="AB42" s="265"/>
      <c r="AC42" s="265"/>
    </row>
    <row r="43" spans="1:29" ht="15.75" thickBot="1">
      <c r="A43" s="291" t="s">
        <v>1706</v>
      </c>
      <c r="B43" s="292"/>
      <c r="C43" s="3859" t="e">
        <f>R43</f>
        <v>#DIV/0!</v>
      </c>
      <c r="D43" s="241"/>
      <c r="E43" s="241"/>
      <c r="F43" s="241"/>
      <c r="G43" s="241"/>
      <c r="H43" s="241"/>
      <c r="I43" s="241"/>
      <c r="J43" s="241"/>
      <c r="K43" s="487"/>
      <c r="L43" s="623"/>
      <c r="M43" s="611"/>
      <c r="N43" s="611"/>
      <c r="O43" s="611"/>
      <c r="P43" s="4688" t="str">
        <f>A43</f>
        <v>估价对象XX用房的比较价值（楼面单价，元/平方米）</v>
      </c>
      <c r="Q43" s="4689"/>
      <c r="R43" s="4690" t="e">
        <f>IF(F1="售价",ROUND(IF(D42="简单平均",AVERAGE(R42:V42),R42*F42+T42*H42+V42*J42),0),ROUND(IF(D42="简单平均",AVERAGE(R42:V42),R42*F42+T42*H42+V42*J42),1))</f>
        <v>#DIV/0!</v>
      </c>
      <c r="S43" s="4690"/>
      <c r="T43" s="4690"/>
      <c r="U43" s="4690"/>
      <c r="V43" s="4690"/>
      <c r="W43" s="4690"/>
      <c r="X43" s="265"/>
      <c r="Y43" s="265"/>
      <c r="Z43" s="265"/>
      <c r="AA43" s="265"/>
      <c r="AB43" s="265"/>
      <c r="AC43" s="265"/>
    </row>
    <row r="44" spans="1:29">
      <c r="A44" s="2008"/>
      <c r="B44" s="2008"/>
      <c r="C44" s="2008"/>
      <c r="D44" s="2008"/>
      <c r="E44" s="2008"/>
      <c r="F44" s="2008"/>
      <c r="G44" s="2019"/>
      <c r="H44" s="2008"/>
      <c r="I44" s="2008"/>
      <c r="J44" s="2008"/>
      <c r="K44" s="2020"/>
      <c r="L44" s="594"/>
      <c r="M44" s="611"/>
      <c r="N44" s="611"/>
      <c r="O44" s="611"/>
    </row>
    <row r="45" spans="1:29">
      <c r="A45" s="2008"/>
      <c r="B45" s="2008"/>
      <c r="C45" s="2008"/>
      <c r="D45" s="2008"/>
      <c r="E45" s="2008"/>
      <c r="F45" s="2008"/>
      <c r="G45" s="2008"/>
      <c r="H45" s="2008"/>
      <c r="I45" s="2008"/>
      <c r="J45" s="2008"/>
      <c r="K45" s="2020"/>
      <c r="L45" s="594"/>
      <c r="M45" s="611"/>
      <c r="N45" s="611"/>
      <c r="O45" s="611"/>
    </row>
    <row r="46" spans="1:29" ht="13.5" customHeight="1">
      <c r="A46" s="2008"/>
      <c r="B46" s="2008"/>
      <c r="C46" s="296" t="s">
        <v>1707</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2020"/>
      <c r="L46" s="594"/>
      <c r="M46" s="611"/>
      <c r="N46" s="611"/>
      <c r="O46" s="611"/>
    </row>
    <row r="47" spans="1:29" ht="13.5" customHeight="1">
      <c r="A47" s="2008"/>
      <c r="B47" s="2008"/>
      <c r="C47" s="296" t="s">
        <v>1708</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2020"/>
      <c r="L47" s="594"/>
      <c r="M47" s="611"/>
      <c r="N47" s="611"/>
      <c r="O47" s="611"/>
    </row>
    <row r="48" spans="1:29" s="301" customFormat="1" ht="13.5" customHeight="1">
      <c r="A48" s="2018"/>
      <c r="B48" s="2018"/>
      <c r="C48" s="296" t="s">
        <v>1709</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2023"/>
      <c r="L48" s="626"/>
      <c r="M48" s="624"/>
      <c r="N48" s="624"/>
      <c r="O48" s="624"/>
      <c r="P48" s="3294"/>
      <c r="Q48" s="3294"/>
      <c r="R48" s="3294"/>
      <c r="S48" s="3294"/>
      <c r="T48" s="3294"/>
      <c r="U48" s="3294"/>
      <c r="V48" s="3294"/>
      <c r="W48" s="3294"/>
    </row>
    <row r="49" spans="1:23" s="301" customFormat="1">
      <c r="A49" s="2018"/>
      <c r="B49" s="2021"/>
      <c r="C49" s="2022"/>
      <c r="D49" s="2018"/>
      <c r="E49" s="2018"/>
      <c r="F49" s="2018"/>
      <c r="G49" s="2018"/>
      <c r="H49" s="2018"/>
      <c r="I49" s="2018"/>
      <c r="J49" s="2018"/>
      <c r="K49" s="2023"/>
      <c r="L49" s="626"/>
      <c r="M49" s="624"/>
      <c r="N49" s="624"/>
      <c r="O49" s="624"/>
      <c r="P49" s="3294"/>
      <c r="Q49" s="3294"/>
      <c r="R49" s="3294"/>
      <c r="S49" s="3294"/>
      <c r="T49" s="3294"/>
      <c r="U49" s="3294"/>
      <c r="V49" s="3294"/>
      <c r="W49" s="3294"/>
    </row>
    <row r="50" spans="1:23">
      <c r="A50" s="2008"/>
      <c r="B50" s="2021"/>
      <c r="C50" s="2022"/>
      <c r="D50" s="2008"/>
      <c r="E50" s="2008"/>
      <c r="F50" s="2008"/>
      <c r="G50" s="2008"/>
      <c r="H50" s="2008"/>
      <c r="I50" s="2008"/>
      <c r="J50" s="2008"/>
      <c r="K50" s="2020"/>
      <c r="L50" s="594"/>
      <c r="M50" s="611"/>
      <c r="N50" s="611"/>
      <c r="O50" s="611"/>
    </row>
    <row r="51" spans="1:23" ht="21.75" thickBot="1">
      <c r="A51" s="476" t="s">
        <v>1710</v>
      </c>
      <c r="B51" s="265"/>
      <c r="C51" s="477"/>
      <c r="D51" s="477"/>
      <c r="E51" s="477"/>
      <c r="F51" s="478"/>
      <c r="G51" s="478"/>
      <c r="H51" s="477"/>
      <c r="I51" s="477"/>
      <c r="J51" s="477"/>
      <c r="K51" s="637"/>
      <c r="L51" s="638"/>
      <c r="M51" s="636"/>
      <c r="N51" s="636"/>
      <c r="O51" s="636"/>
      <c r="P51" s="3295"/>
      <c r="Q51" s="3296"/>
    </row>
    <row r="52" spans="1:23" s="305" customFormat="1" ht="15">
      <c r="A52" s="303" t="s">
        <v>1591</v>
      </c>
      <c r="B52" s="304"/>
      <c r="C52" s="803" t="str">
        <f>YEAR(C7)&amp;"-"&amp;MONTH(C7)</f>
        <v>2026-1</v>
      </c>
      <c r="D52" s="804">
        <f>EDATE(C52,-1)</f>
        <v>45992</v>
      </c>
      <c r="E52" s="804">
        <f t="shared" ref="E52:O52" si="16">EDATE(D52,-1)</f>
        <v>45962</v>
      </c>
      <c r="F52" s="804">
        <f t="shared" si="16"/>
        <v>45931</v>
      </c>
      <c r="G52" s="804">
        <f t="shared" si="16"/>
        <v>45901</v>
      </c>
      <c r="H52" s="804">
        <f t="shared" si="16"/>
        <v>45870</v>
      </c>
      <c r="I52" s="804">
        <f t="shared" si="16"/>
        <v>45839</v>
      </c>
      <c r="J52" s="804">
        <f t="shared" si="16"/>
        <v>45809</v>
      </c>
      <c r="K52" s="804">
        <f t="shared" si="16"/>
        <v>45778</v>
      </c>
      <c r="L52" s="804">
        <f t="shared" si="16"/>
        <v>45748</v>
      </c>
      <c r="M52" s="804">
        <f t="shared" si="16"/>
        <v>45717</v>
      </c>
      <c r="N52" s="804">
        <f t="shared" si="16"/>
        <v>45689</v>
      </c>
      <c r="O52" s="804">
        <f t="shared" si="16"/>
        <v>45658</v>
      </c>
      <c r="P52" s="3297"/>
      <c r="Q52" s="3297"/>
      <c r="R52" s="3297"/>
      <c r="S52" s="3297"/>
      <c r="T52" s="3297"/>
      <c r="U52" s="3297"/>
      <c r="V52" s="3297"/>
      <c r="W52" s="3297"/>
    </row>
    <row r="53" spans="1:23" s="46" customFormat="1" ht="15">
      <c r="A53" s="306"/>
      <c r="B53" s="307"/>
      <c r="C53" s="802">
        <v>100</v>
      </c>
      <c r="D53" s="309"/>
      <c r="E53" s="309"/>
      <c r="F53" s="309"/>
      <c r="G53" s="309"/>
      <c r="H53" s="309"/>
      <c r="I53" s="309"/>
      <c r="J53" s="309"/>
      <c r="K53" s="309"/>
      <c r="L53" s="309"/>
      <c r="M53" s="310"/>
      <c r="N53" s="309"/>
      <c r="O53" s="311"/>
      <c r="P53" s="3296"/>
      <c r="Q53" s="3298"/>
      <c r="R53" s="3298"/>
      <c r="S53" s="3298"/>
      <c r="T53" s="3298"/>
      <c r="U53" s="3298"/>
      <c r="V53" s="3298"/>
      <c r="W53" s="3298"/>
    </row>
    <row r="54" spans="1:23" s="46" customFormat="1" ht="15.75" thickBot="1">
      <c r="A54" s="312" t="s">
        <v>1628</v>
      </c>
      <c r="B54" s="313"/>
      <c r="C54" s="314"/>
      <c r="D54" s="315"/>
      <c r="E54" s="315"/>
      <c r="F54" s="315"/>
      <c r="G54" s="315"/>
      <c r="H54" s="315"/>
      <c r="I54" s="315"/>
      <c r="J54" s="315"/>
      <c r="K54" s="315"/>
      <c r="L54" s="315"/>
      <c r="M54" s="316"/>
      <c r="N54" s="2059"/>
      <c r="O54" s="2060"/>
      <c r="P54" s="3296"/>
      <c r="Q54" s="3296"/>
      <c r="R54" s="3298"/>
      <c r="S54" s="3298"/>
      <c r="T54" s="3298"/>
      <c r="U54" s="3298"/>
      <c r="V54" s="3298"/>
      <c r="W54" s="3298"/>
    </row>
    <row r="55" spans="1:23" s="46" customFormat="1" ht="15">
      <c r="A55" s="318" t="s">
        <v>1593</v>
      </c>
      <c r="B55" s="307"/>
      <c r="C55" s="319" t="s">
        <v>1688</v>
      </c>
      <c r="D55" s="20"/>
      <c r="E55" s="20"/>
      <c r="F55" s="20"/>
      <c r="G55" s="20"/>
      <c r="H55" s="20"/>
      <c r="I55" s="20"/>
      <c r="J55" s="20"/>
      <c r="K55" s="20"/>
      <c r="L55" s="320"/>
      <c r="M55" s="321"/>
      <c r="N55" s="628"/>
      <c r="O55" s="628"/>
      <c r="P55" s="2670"/>
      <c r="Q55" s="3296"/>
      <c r="R55" s="3298"/>
      <c r="S55" s="3298"/>
      <c r="T55" s="3298"/>
      <c r="U55" s="3298"/>
      <c r="V55" s="3298"/>
      <c r="W55" s="3298"/>
    </row>
    <row r="56" spans="1:23" s="46" customFormat="1" ht="15.75" thickBot="1">
      <c r="A56" s="318"/>
      <c r="B56" s="307"/>
      <c r="C56" s="411">
        <v>100</v>
      </c>
      <c r="D56" s="309"/>
      <c r="E56" s="309"/>
      <c r="F56" s="309"/>
      <c r="G56" s="309"/>
      <c r="H56" s="309"/>
      <c r="I56" s="309"/>
      <c r="J56" s="309"/>
      <c r="K56" s="309"/>
      <c r="L56" s="309"/>
      <c r="M56" s="311"/>
      <c r="N56" s="628"/>
      <c r="O56" s="628"/>
      <c r="P56" s="3296"/>
      <c r="Q56" s="3296"/>
      <c r="R56" s="3298"/>
      <c r="S56" s="3298"/>
      <c r="T56" s="3298"/>
      <c r="U56" s="3298"/>
      <c r="V56" s="3298"/>
      <c r="W56" s="3298"/>
    </row>
    <row r="57" spans="1:23">
      <c r="A57" s="262" t="s">
        <v>1631</v>
      </c>
      <c r="B57" s="322" t="s">
        <v>1597</v>
      </c>
      <c r="C57" s="323">
        <f>C9</f>
        <v>0</v>
      </c>
      <c r="D57" s="324"/>
      <c r="E57" s="324"/>
      <c r="F57" s="324"/>
      <c r="G57" s="324"/>
      <c r="H57" s="324"/>
      <c r="I57" s="324"/>
      <c r="J57" s="324"/>
      <c r="K57" s="325"/>
      <c r="L57" s="326"/>
      <c r="M57" s="327"/>
      <c r="N57" s="629"/>
      <c r="O57" s="629"/>
      <c r="P57" s="3299"/>
      <c r="Q57" s="3296"/>
    </row>
    <row r="58" spans="1:23" ht="15.75" thickBot="1">
      <c r="A58" s="254"/>
      <c r="B58" s="328"/>
      <c r="C58" s="329">
        <v>100</v>
      </c>
      <c r="D58" s="329"/>
      <c r="E58" s="329"/>
      <c r="F58" s="329"/>
      <c r="G58" s="329"/>
      <c r="H58" s="329"/>
      <c r="I58" s="329"/>
      <c r="J58" s="329"/>
      <c r="K58" s="329"/>
      <c r="L58" s="329"/>
      <c r="M58" s="330"/>
      <c r="N58" s="630"/>
      <c r="O58" s="630"/>
      <c r="P58" s="3299"/>
      <c r="Q58" s="3296"/>
    </row>
    <row r="59" spans="1:23" ht="27.75" thickTop="1">
      <c r="A59" s="254"/>
      <c r="B59" s="331" t="s">
        <v>1600</v>
      </c>
      <c r="C59" s="372"/>
      <c r="D59" s="372"/>
      <c r="E59" s="372"/>
      <c r="F59" s="372"/>
      <c r="G59" s="372"/>
      <c r="H59" s="372"/>
      <c r="I59" s="372"/>
      <c r="J59" s="372"/>
      <c r="K59" s="373"/>
      <c r="L59" s="374"/>
      <c r="M59" s="375"/>
      <c r="N59" s="629"/>
      <c r="O59" s="629"/>
      <c r="P59" s="3299"/>
      <c r="Q59" s="3296"/>
    </row>
    <row r="60" spans="1:23" ht="15.75" thickBot="1">
      <c r="A60" s="254"/>
      <c r="B60" s="336" t="s">
        <v>3883</v>
      </c>
      <c r="C60" s="329"/>
      <c r="D60" s="329"/>
      <c r="E60" s="329"/>
      <c r="F60" s="329"/>
      <c r="G60" s="329"/>
      <c r="H60" s="329"/>
      <c r="I60" s="329"/>
      <c r="J60" s="329"/>
      <c r="K60" s="329"/>
      <c r="L60" s="329"/>
      <c r="M60" s="330"/>
      <c r="N60" s="630"/>
      <c r="O60" s="630"/>
      <c r="P60" s="3299"/>
      <c r="Q60" s="3296"/>
    </row>
    <row r="61" spans="1:23" ht="15.75" thickTop="1">
      <c r="A61" s="254"/>
      <c r="B61" s="339" t="s">
        <v>1601</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30"/>
      <c r="O61" s="630"/>
      <c r="P61" s="3299"/>
      <c r="Q61" s="3296"/>
    </row>
    <row r="62" spans="1:23" ht="15">
      <c r="A62" s="254"/>
      <c r="B62" s="341"/>
      <c r="C62" s="342">
        <v>0</v>
      </c>
      <c r="D62" s="342">
        <v>0.5</v>
      </c>
      <c r="E62" s="342">
        <v>1</v>
      </c>
      <c r="F62" s="342">
        <v>1.5</v>
      </c>
      <c r="G62" s="342">
        <v>2</v>
      </c>
      <c r="H62" s="342"/>
      <c r="I62" s="342"/>
      <c r="J62" s="342"/>
      <c r="K62" s="343"/>
      <c r="L62" s="344"/>
      <c r="M62" s="345"/>
      <c r="N62" s="629"/>
      <c r="O62" s="629"/>
      <c r="P62" s="3299"/>
      <c r="Q62" s="3296"/>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30"/>
      <c r="O63" s="630"/>
      <c r="P63" s="3299"/>
      <c r="Q63" s="3296"/>
    </row>
    <row r="64" spans="1:23" s="279" customFormat="1" ht="15.75" thickTop="1">
      <c r="A64" s="346"/>
      <c r="B64" s="331">
        <f>B12</f>
        <v>111</v>
      </c>
      <c r="C64" s="347"/>
      <c r="D64" s="347"/>
      <c r="E64" s="347"/>
      <c r="F64" s="347"/>
      <c r="G64" s="347"/>
      <c r="H64" s="348"/>
      <c r="I64" s="348"/>
      <c r="J64" s="348"/>
      <c r="K64" s="348"/>
      <c r="L64" s="349"/>
      <c r="M64" s="350"/>
      <c r="N64" s="631"/>
      <c r="O64" s="631"/>
      <c r="P64" s="3300"/>
      <c r="Q64" s="3301"/>
      <c r="R64" s="3302"/>
      <c r="S64" s="3302"/>
      <c r="T64" s="3302"/>
      <c r="U64" s="3302"/>
      <c r="V64" s="3302"/>
      <c r="W64" s="3302"/>
    </row>
    <row r="65" spans="1:23" s="279" customFormat="1" ht="15.75" thickBot="1">
      <c r="A65" s="346"/>
      <c r="B65" s="336"/>
      <c r="C65" s="352"/>
      <c r="D65" s="329"/>
      <c r="E65" s="329"/>
      <c r="F65" s="329"/>
      <c r="G65" s="329"/>
      <c r="H65" s="329"/>
      <c r="I65" s="329"/>
      <c r="J65" s="329"/>
      <c r="K65" s="329"/>
      <c r="L65" s="329"/>
      <c r="M65" s="330"/>
      <c r="N65" s="630"/>
      <c r="O65" s="630"/>
      <c r="P65" s="3300"/>
      <c r="Q65" s="3301"/>
      <c r="R65" s="3302"/>
      <c r="S65" s="3302"/>
      <c r="T65" s="3302"/>
      <c r="U65" s="3302"/>
      <c r="V65" s="3302"/>
      <c r="W65" s="3302"/>
    </row>
    <row r="66" spans="1:23" s="279" customFormat="1" ht="15.75" thickTop="1">
      <c r="A66" s="346"/>
      <c r="B66" s="331">
        <f>B13</f>
        <v>111</v>
      </c>
      <c r="C66" s="347"/>
      <c r="D66" s="347"/>
      <c r="E66" s="347"/>
      <c r="F66" s="347"/>
      <c r="G66" s="347"/>
      <c r="H66" s="348"/>
      <c r="I66" s="348"/>
      <c r="J66" s="348"/>
      <c r="K66" s="348"/>
      <c r="L66" s="349"/>
      <c r="M66" s="350"/>
      <c r="N66" s="631"/>
      <c r="O66" s="631"/>
      <c r="P66" s="3302"/>
      <c r="Q66" s="3303"/>
      <c r="R66" s="3302"/>
      <c r="S66" s="3302"/>
      <c r="T66" s="3302"/>
      <c r="U66" s="3302"/>
      <c r="V66" s="3302"/>
      <c r="W66" s="3302"/>
    </row>
    <row r="67" spans="1:23" s="279" customFormat="1" ht="15.75" thickBot="1">
      <c r="A67" s="346"/>
      <c r="B67" s="336"/>
      <c r="C67" s="352"/>
      <c r="D67" s="329"/>
      <c r="E67" s="329"/>
      <c r="F67" s="329"/>
      <c r="G67" s="352"/>
      <c r="H67" s="354"/>
      <c r="I67" s="354"/>
      <c r="J67" s="354"/>
      <c r="K67" s="354"/>
      <c r="L67" s="354"/>
      <c r="M67" s="355"/>
      <c r="N67" s="631"/>
      <c r="O67" s="631"/>
      <c r="P67" s="3300"/>
      <c r="Q67" s="3301"/>
      <c r="R67" s="3302"/>
      <c r="S67" s="3302"/>
      <c r="T67" s="3302"/>
      <c r="U67" s="3302"/>
      <c r="V67" s="3302"/>
      <c r="W67" s="3302"/>
    </row>
    <row r="68" spans="1:23" s="279" customFormat="1" ht="15.75" thickTop="1">
      <c r="A68" s="346"/>
      <c r="B68" s="339">
        <f>B14</f>
        <v>111</v>
      </c>
      <c r="C68" s="20"/>
      <c r="D68" s="20"/>
      <c r="E68" s="20"/>
      <c r="F68" s="20"/>
      <c r="G68" s="20"/>
      <c r="H68" s="356"/>
      <c r="I68" s="356"/>
      <c r="J68" s="356"/>
      <c r="K68" s="356"/>
      <c r="L68" s="357"/>
      <c r="M68" s="358"/>
      <c r="N68" s="631"/>
      <c r="O68" s="631"/>
      <c r="P68" s="3300"/>
      <c r="Q68" s="3301"/>
      <c r="R68" s="3302"/>
      <c r="S68" s="3302"/>
      <c r="T68" s="3302"/>
      <c r="U68" s="3302"/>
      <c r="V68" s="3302"/>
      <c r="W68" s="3302"/>
    </row>
    <row r="69" spans="1:23" s="279" customFormat="1" ht="15.75" thickBot="1">
      <c r="A69" s="359"/>
      <c r="B69" s="360"/>
      <c r="C69" s="361"/>
      <c r="D69" s="361"/>
      <c r="E69" s="361"/>
      <c r="F69" s="361"/>
      <c r="G69" s="361"/>
      <c r="H69" s="362"/>
      <c r="I69" s="362"/>
      <c r="J69" s="362"/>
      <c r="K69" s="362"/>
      <c r="L69" s="362"/>
      <c r="M69" s="363"/>
      <c r="N69" s="631"/>
      <c r="O69" s="631"/>
      <c r="P69" s="3300"/>
      <c r="Q69" s="3301"/>
      <c r="R69" s="3302"/>
      <c r="S69" s="3302"/>
      <c r="T69" s="3302"/>
      <c r="U69" s="3302"/>
      <c r="V69" s="3302"/>
      <c r="W69" s="3302"/>
    </row>
    <row r="70" spans="1:23">
      <c r="A70" s="262" t="s">
        <v>1602</v>
      </c>
      <c r="B70" s="322" t="s">
        <v>1741</v>
      </c>
      <c r="C70" s="364" t="s">
        <v>1633</v>
      </c>
      <c r="D70" s="364" t="s">
        <v>1634</v>
      </c>
      <c r="E70" s="364" t="s">
        <v>1635</v>
      </c>
      <c r="F70" s="364" t="s">
        <v>1636</v>
      </c>
      <c r="G70" s="364" t="s">
        <v>1637</v>
      </c>
      <c r="H70" s="323"/>
      <c r="I70" s="323"/>
      <c r="J70" s="323"/>
      <c r="K70" s="365"/>
      <c r="L70" s="366"/>
      <c r="M70" s="367"/>
      <c r="N70" s="629"/>
      <c r="O70" s="629"/>
      <c r="P70" s="3299"/>
      <c r="Q70" s="3296"/>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30"/>
      <c r="O71" s="630"/>
      <c r="P71" s="3299"/>
      <c r="Q71" s="3296"/>
    </row>
    <row r="72" spans="1:23" ht="15.75" thickTop="1">
      <c r="A72" s="254"/>
      <c r="B72" s="331" t="s">
        <v>1638</v>
      </c>
      <c r="C72" s="368" t="s">
        <v>1633</v>
      </c>
      <c r="D72" s="368" t="s">
        <v>1634</v>
      </c>
      <c r="E72" s="368" t="s">
        <v>1635</v>
      </c>
      <c r="F72" s="368" t="s">
        <v>1636</v>
      </c>
      <c r="G72" s="368" t="s">
        <v>1637</v>
      </c>
      <c r="H72" s="332"/>
      <c r="I72" s="332"/>
      <c r="J72" s="332"/>
      <c r="K72" s="333"/>
      <c r="L72" s="334"/>
      <c r="M72" s="335"/>
      <c r="N72" s="629"/>
      <c r="O72" s="629"/>
      <c r="P72" s="3299"/>
      <c r="Q72" s="3296"/>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30"/>
      <c r="O73" s="630"/>
      <c r="P73" s="3299"/>
      <c r="Q73" s="3296"/>
    </row>
    <row r="74" spans="1:23" ht="15.75" thickTop="1">
      <c r="A74" s="254"/>
      <c r="B74" s="331" t="s">
        <v>1639</v>
      </c>
      <c r="C74" s="368" t="s">
        <v>1633</v>
      </c>
      <c r="D74" s="368" t="s">
        <v>1634</v>
      </c>
      <c r="E74" s="368" t="s">
        <v>1635</v>
      </c>
      <c r="F74" s="368" t="s">
        <v>1636</v>
      </c>
      <c r="G74" s="368" t="s">
        <v>1637</v>
      </c>
      <c r="H74" s="332"/>
      <c r="I74" s="332"/>
      <c r="J74" s="332"/>
      <c r="K74" s="333"/>
      <c r="L74" s="334"/>
      <c r="M74" s="335"/>
      <c r="N74" s="629"/>
      <c r="O74" s="629"/>
      <c r="P74" s="3299"/>
      <c r="Q74" s="3296"/>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30"/>
      <c r="O75" s="630"/>
      <c r="P75" s="3299"/>
      <c r="Q75" s="3296"/>
    </row>
    <row r="76" spans="1:23" ht="15.75" thickTop="1">
      <c r="A76" s="254"/>
      <c r="B76" s="339" t="s">
        <v>1725</v>
      </c>
      <c r="C76" s="428" t="s">
        <v>1711</v>
      </c>
      <c r="D76" s="428" t="s">
        <v>1712</v>
      </c>
      <c r="E76" s="428" t="s">
        <v>1713</v>
      </c>
      <c r="F76" s="428" t="s">
        <v>1714</v>
      </c>
      <c r="G76" s="428" t="s">
        <v>1715</v>
      </c>
      <c r="H76" s="332"/>
      <c r="I76" s="332"/>
      <c r="J76" s="332"/>
      <c r="K76" s="332"/>
      <c r="L76" s="332"/>
      <c r="M76" s="779"/>
      <c r="N76" s="630"/>
      <c r="O76" s="630"/>
      <c r="P76" s="3299"/>
      <c r="Q76" s="3296"/>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30"/>
      <c r="O77" s="630"/>
      <c r="P77" s="3299"/>
      <c r="Q77" s="3296"/>
    </row>
    <row r="78" spans="1:23" ht="15.75" thickTop="1">
      <c r="A78" s="254"/>
      <c r="B78" s="331" t="s">
        <v>1734</v>
      </c>
      <c r="C78" s="368" t="s">
        <v>1633</v>
      </c>
      <c r="D78" s="368" t="s">
        <v>1634</v>
      </c>
      <c r="E78" s="368" t="s">
        <v>1635</v>
      </c>
      <c r="F78" s="368" t="s">
        <v>1636</v>
      </c>
      <c r="G78" s="368" t="s">
        <v>1637</v>
      </c>
      <c r="H78" s="332"/>
      <c r="I78" s="332"/>
      <c r="J78" s="332"/>
      <c r="K78" s="333"/>
      <c r="L78" s="334"/>
      <c r="M78" s="335"/>
      <c r="N78" s="629"/>
      <c r="O78" s="629"/>
      <c r="P78" s="3299"/>
      <c r="Q78" s="3296"/>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30"/>
      <c r="O79" s="630"/>
      <c r="P79" s="3299"/>
      <c r="Q79" s="3296"/>
    </row>
    <row r="80" spans="1:23" s="46" customFormat="1" ht="15.75" thickTop="1">
      <c r="A80" s="257"/>
      <c r="B80" s="331">
        <f>B25</f>
        <v>111</v>
      </c>
      <c r="C80" s="347"/>
      <c r="D80" s="347"/>
      <c r="E80" s="347"/>
      <c r="F80" s="347"/>
      <c r="G80" s="347"/>
      <c r="H80" s="347"/>
      <c r="I80" s="347"/>
      <c r="J80" s="347"/>
      <c r="K80" s="347"/>
      <c r="L80" s="369"/>
      <c r="M80" s="370"/>
      <c r="N80" s="628"/>
      <c r="O80" s="628"/>
      <c r="P80" s="3299"/>
      <c r="Q80" s="3296"/>
      <c r="R80" s="3298"/>
      <c r="S80" s="3298"/>
      <c r="T80" s="3298"/>
      <c r="U80" s="3298"/>
      <c r="V80" s="3298"/>
      <c r="W80" s="3298"/>
    </row>
    <row r="81" spans="1:23" s="46" customFormat="1" ht="15.75" thickBot="1">
      <c r="A81" s="257"/>
      <c r="B81" s="336"/>
      <c r="C81" s="352"/>
      <c r="D81" s="329"/>
      <c r="E81" s="329"/>
      <c r="F81" s="329"/>
      <c r="G81" s="329"/>
      <c r="H81" s="329"/>
      <c r="I81" s="329"/>
      <c r="J81" s="329"/>
      <c r="K81" s="329"/>
      <c r="L81" s="329"/>
      <c r="M81" s="330"/>
      <c r="N81" s="630"/>
      <c r="O81" s="630"/>
      <c r="P81" s="3299"/>
      <c r="Q81" s="3296"/>
      <c r="R81" s="3298"/>
      <c r="S81" s="3298"/>
      <c r="T81" s="3298"/>
      <c r="U81" s="3298"/>
      <c r="V81" s="3298"/>
      <c r="W81" s="3298"/>
    </row>
    <row r="82" spans="1:23" s="46" customFormat="1" ht="15.75" thickTop="1">
      <c r="A82" s="257"/>
      <c r="B82" s="331">
        <f>B26</f>
        <v>111</v>
      </c>
      <c r="C82" s="347"/>
      <c r="D82" s="347"/>
      <c r="E82" s="347"/>
      <c r="F82" s="347"/>
      <c r="G82" s="347"/>
      <c r="H82" s="347"/>
      <c r="I82" s="347"/>
      <c r="J82" s="347"/>
      <c r="K82" s="347"/>
      <c r="L82" s="369"/>
      <c r="M82" s="370"/>
      <c r="N82" s="628"/>
      <c r="O82" s="628"/>
      <c r="P82" s="3299"/>
      <c r="Q82" s="3296"/>
      <c r="R82" s="3298"/>
      <c r="S82" s="3298"/>
      <c r="T82" s="3298"/>
      <c r="U82" s="3298"/>
      <c r="V82" s="3298"/>
      <c r="W82" s="3298"/>
    </row>
    <row r="83" spans="1:23" s="46" customFormat="1" ht="15.75" thickBot="1">
      <c r="A83" s="257"/>
      <c r="B83" s="336"/>
      <c r="C83" s="352"/>
      <c r="D83" s="329"/>
      <c r="E83" s="329"/>
      <c r="F83" s="329"/>
      <c r="G83" s="329"/>
      <c r="H83" s="329"/>
      <c r="I83" s="329"/>
      <c r="J83" s="329"/>
      <c r="K83" s="329"/>
      <c r="L83" s="329"/>
      <c r="M83" s="330"/>
      <c r="N83" s="630"/>
      <c r="O83" s="630"/>
      <c r="P83" s="3299"/>
      <c r="Q83" s="3296"/>
      <c r="R83" s="3298"/>
      <c r="S83" s="3298"/>
      <c r="T83" s="3298"/>
      <c r="U83" s="3298"/>
      <c r="V83" s="3298"/>
      <c r="W83" s="3298"/>
    </row>
    <row r="84" spans="1:23" s="279" customFormat="1" ht="15.75" thickTop="1">
      <c r="A84" s="346"/>
      <c r="B84" s="331">
        <f>B27</f>
        <v>111</v>
      </c>
      <c r="C84" s="347"/>
      <c r="D84" s="347"/>
      <c r="E84" s="347"/>
      <c r="F84" s="347"/>
      <c r="G84" s="347"/>
      <c r="H84" s="347"/>
      <c r="I84" s="347"/>
      <c r="J84" s="347"/>
      <c r="K84" s="347"/>
      <c r="L84" s="369"/>
      <c r="M84" s="370"/>
      <c r="N84" s="631"/>
      <c r="O84" s="631"/>
      <c r="P84" s="3300"/>
      <c r="Q84" s="3301"/>
      <c r="R84" s="3302"/>
      <c r="S84" s="3302"/>
      <c r="T84" s="3302"/>
      <c r="U84" s="3302"/>
      <c r="V84" s="3302"/>
      <c r="W84" s="3302"/>
    </row>
    <row r="85" spans="1:23" s="279" customFormat="1" ht="15.75" thickBot="1">
      <c r="A85" s="346"/>
      <c r="B85" s="336"/>
      <c r="C85" s="352"/>
      <c r="D85" s="329"/>
      <c r="E85" s="329"/>
      <c r="F85" s="329"/>
      <c r="G85" s="329"/>
      <c r="H85" s="329"/>
      <c r="I85" s="329"/>
      <c r="J85" s="329"/>
      <c r="K85" s="329"/>
      <c r="L85" s="329"/>
      <c r="M85" s="330"/>
      <c r="N85" s="631"/>
      <c r="O85" s="631"/>
      <c r="P85" s="3300"/>
      <c r="Q85" s="3301"/>
      <c r="R85" s="3302"/>
      <c r="S85" s="3302"/>
      <c r="T85" s="3302"/>
      <c r="U85" s="3302"/>
      <c r="V85" s="3302"/>
      <c r="W85" s="3302"/>
    </row>
    <row r="86" spans="1:23" ht="15.75" thickTop="1">
      <c r="A86" s="254"/>
      <c r="B86" s="339">
        <f>B28</f>
        <v>111</v>
      </c>
      <c r="C86" s="20"/>
      <c r="D86" s="20"/>
      <c r="E86" s="20"/>
      <c r="F86" s="20"/>
      <c r="G86" s="376"/>
      <c r="H86" s="376"/>
      <c r="I86" s="376"/>
      <c r="J86" s="376"/>
      <c r="K86" s="377"/>
      <c r="L86" s="378"/>
      <c r="M86" s="379"/>
      <c r="N86" s="629"/>
      <c r="O86" s="629"/>
      <c r="P86" s="3299"/>
      <c r="Q86" s="3296"/>
    </row>
    <row r="87" spans="1:23" ht="15.75" thickBot="1">
      <c r="A87" s="260"/>
      <c r="B87" s="360"/>
      <c r="C87" s="361"/>
      <c r="D87" s="361"/>
      <c r="E87" s="361"/>
      <c r="F87" s="361"/>
      <c r="G87" s="380"/>
      <c r="H87" s="380"/>
      <c r="I87" s="380"/>
      <c r="J87" s="380"/>
      <c r="K87" s="380"/>
      <c r="L87" s="380"/>
      <c r="M87" s="381"/>
      <c r="N87" s="630"/>
      <c r="O87" s="630"/>
      <c r="P87" s="3299"/>
      <c r="Q87" s="3296"/>
    </row>
    <row r="88" spans="1:23">
      <c r="A88" s="262" t="s">
        <v>1606</v>
      </c>
      <c r="B88" s="322" t="s">
        <v>1648</v>
      </c>
      <c r="C88" s="324"/>
      <c r="D88" s="324"/>
      <c r="E88" s="324"/>
      <c r="F88" s="324"/>
      <c r="G88" s="324"/>
      <c r="H88" s="324"/>
      <c r="I88" s="324"/>
      <c r="J88" s="324"/>
      <c r="K88" s="325"/>
      <c r="L88" s="326"/>
      <c r="M88" s="327"/>
      <c r="N88" s="629"/>
      <c r="O88" s="629"/>
      <c r="P88" s="3299"/>
      <c r="Q88" s="3296"/>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30"/>
      <c r="O89" s="630"/>
      <c r="P89" s="3299"/>
      <c r="Q89" s="3296"/>
    </row>
    <row r="90" spans="1:23" ht="15.75" thickTop="1">
      <c r="A90" s="254"/>
      <c r="B90" s="331" t="s">
        <v>1649</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28"/>
      <c r="O90" s="628"/>
      <c r="P90" s="3299"/>
      <c r="Q90" s="3296"/>
    </row>
    <row r="91" spans="1:23" s="279" customFormat="1">
      <c r="A91" s="277"/>
      <c r="B91" s="382"/>
      <c r="C91" s="5"/>
      <c r="D91" s="5"/>
      <c r="E91" s="5"/>
      <c r="F91" s="5"/>
      <c r="G91" s="5"/>
      <c r="H91" s="5"/>
      <c r="I91" s="5"/>
      <c r="J91" s="383"/>
      <c r="K91" s="383"/>
      <c r="L91" s="384"/>
      <c r="M91" s="385"/>
      <c r="N91" s="631"/>
      <c r="O91" s="631"/>
      <c r="P91" s="3300"/>
      <c r="Q91" s="3301"/>
      <c r="R91" s="3302"/>
      <c r="S91" s="3302"/>
      <c r="T91" s="3302"/>
      <c r="U91" s="3302"/>
      <c r="V91" s="3302"/>
      <c r="W91" s="3302"/>
    </row>
    <row r="92" spans="1:23" s="279" customFormat="1" ht="15.75" thickBot="1">
      <c r="A92" s="346"/>
      <c r="B92" s="336"/>
      <c r="C92" s="352"/>
      <c r="D92" s="329"/>
      <c r="E92" s="329"/>
      <c r="F92" s="329"/>
      <c r="G92" s="329"/>
      <c r="H92" s="329"/>
      <c r="I92" s="329"/>
      <c r="J92" s="329"/>
      <c r="K92" s="329"/>
      <c r="L92" s="329"/>
      <c r="M92" s="330"/>
      <c r="N92" s="630"/>
      <c r="O92" s="630"/>
      <c r="P92" s="3300"/>
      <c r="Q92" s="3301"/>
      <c r="R92" s="3302"/>
      <c r="S92" s="3302"/>
      <c r="T92" s="3302"/>
      <c r="U92" s="3302"/>
      <c r="V92" s="3302"/>
      <c r="W92" s="3302"/>
    </row>
    <row r="93" spans="1:23" ht="15" thickTop="1">
      <c r="A93" s="280"/>
      <c r="B93" s="331" t="s">
        <v>1650</v>
      </c>
      <c r="C93" s="347"/>
      <c r="D93" s="347"/>
      <c r="E93" s="372"/>
      <c r="F93" s="372"/>
      <c r="G93" s="372"/>
      <c r="H93" s="372"/>
      <c r="I93" s="372"/>
      <c r="J93" s="372"/>
      <c r="K93" s="373"/>
      <c r="L93" s="374"/>
      <c r="M93" s="375"/>
      <c r="N93" s="629"/>
      <c r="O93" s="629"/>
      <c r="P93" s="3299"/>
      <c r="Q93" s="3296"/>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30"/>
      <c r="O94" s="630"/>
      <c r="P94" s="3299"/>
      <c r="Q94" s="3296"/>
    </row>
    <row r="95" spans="1:23" ht="15" thickTop="1">
      <c r="A95" s="280"/>
      <c r="B95" s="331" t="s">
        <v>1652</v>
      </c>
      <c r="C95" s="347"/>
      <c r="D95" s="347"/>
      <c r="E95" s="347"/>
      <c r="F95" s="372"/>
      <c r="G95" s="372"/>
      <c r="H95" s="372"/>
      <c r="I95" s="372"/>
      <c r="J95" s="372"/>
      <c r="K95" s="373"/>
      <c r="L95" s="374"/>
      <c r="M95" s="375"/>
      <c r="N95" s="629"/>
      <c r="O95" s="629"/>
      <c r="P95" s="3299"/>
      <c r="Q95" s="3296"/>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30"/>
      <c r="O96" s="630"/>
      <c r="P96" s="3299"/>
      <c r="Q96" s="3296"/>
    </row>
    <row r="97" spans="1:23" ht="15" thickTop="1">
      <c r="A97" s="280"/>
      <c r="B97" s="331" t="s">
        <v>1174</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29"/>
      <c r="O97" s="629"/>
      <c r="P97" s="3299"/>
      <c r="Q97" s="3296"/>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29"/>
      <c r="O98" s="629"/>
      <c r="P98" s="3299"/>
      <c r="Q98" s="3296"/>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30"/>
      <c r="O99" s="630"/>
      <c r="P99" s="3299"/>
      <c r="Q99" s="3296"/>
    </row>
    <row r="100" spans="1:23" s="279" customFormat="1" ht="15" thickTop="1">
      <c r="A100" s="277"/>
      <c r="B100" s="331" t="s">
        <v>1653</v>
      </c>
      <c r="C100" s="347"/>
      <c r="D100" s="347"/>
      <c r="E100" s="347"/>
      <c r="F100" s="347"/>
      <c r="G100" s="347"/>
      <c r="H100" s="372"/>
      <c r="I100" s="372"/>
      <c r="J100" s="372"/>
      <c r="K100" s="373"/>
      <c r="L100" s="374"/>
      <c r="M100" s="375"/>
      <c r="N100" s="631"/>
      <c r="O100" s="631"/>
      <c r="P100" s="3300"/>
      <c r="Q100" s="3301"/>
      <c r="R100" s="3302"/>
      <c r="S100" s="3302"/>
      <c r="T100" s="3302"/>
      <c r="U100" s="3302"/>
      <c r="V100" s="3302"/>
      <c r="W100" s="3302"/>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31"/>
      <c r="O101" s="631"/>
      <c r="P101" s="3300"/>
      <c r="Q101" s="3301"/>
      <c r="R101" s="3302"/>
      <c r="S101" s="3302"/>
      <c r="T101" s="3302"/>
      <c r="U101" s="3302"/>
      <c r="V101" s="3302"/>
      <c r="W101" s="3302"/>
    </row>
    <row r="102" spans="1:23" ht="15" thickTop="1">
      <c r="A102" s="280"/>
      <c r="B102" s="331" t="s">
        <v>1654</v>
      </c>
      <c r="C102" s="347"/>
      <c r="D102" s="347"/>
      <c r="E102" s="347"/>
      <c r="F102" s="347"/>
      <c r="G102" s="347"/>
      <c r="H102" s="372"/>
      <c r="I102" s="372"/>
      <c r="J102" s="372"/>
      <c r="K102" s="373"/>
      <c r="L102" s="374"/>
      <c r="M102" s="375"/>
      <c r="N102" s="629"/>
      <c r="O102" s="629"/>
      <c r="P102" s="3299"/>
      <c r="Q102" s="3296"/>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30"/>
      <c r="O103" s="630"/>
      <c r="P103" s="3299"/>
      <c r="Q103" s="3296"/>
    </row>
    <row r="104" spans="1:23" ht="15" thickTop="1">
      <c r="A104" s="280"/>
      <c r="B104" s="331" t="s">
        <v>1656</v>
      </c>
      <c r="C104" s="347"/>
      <c r="D104" s="347"/>
      <c r="E104" s="347"/>
      <c r="F104" s="347"/>
      <c r="G104" s="347"/>
      <c r="H104" s="372"/>
      <c r="I104" s="372"/>
      <c r="J104" s="372"/>
      <c r="K104" s="373"/>
      <c r="L104" s="374"/>
      <c r="M104" s="375"/>
      <c r="N104" s="629"/>
      <c r="O104" s="629"/>
      <c r="P104" s="3299"/>
      <c r="Q104" s="3296"/>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30"/>
      <c r="O105" s="630"/>
      <c r="P105" s="3299"/>
      <c r="Q105" s="3296"/>
    </row>
    <row r="106" spans="1:23" ht="15" thickTop="1">
      <c r="A106" s="280"/>
      <c r="B106" s="410" t="s">
        <v>1742</v>
      </c>
      <c r="C106" s="368" t="s">
        <v>1633</v>
      </c>
      <c r="D106" s="368" t="s">
        <v>1634</v>
      </c>
      <c r="E106" s="368" t="s">
        <v>1635</v>
      </c>
      <c r="F106" s="368" t="s">
        <v>1636</v>
      </c>
      <c r="G106" s="368" t="s">
        <v>1637</v>
      </c>
      <c r="H106" s="332"/>
      <c r="I106" s="332"/>
      <c r="J106" s="332"/>
      <c r="K106" s="333"/>
      <c r="L106" s="334"/>
      <c r="M106" s="335"/>
      <c r="N106" s="630"/>
      <c r="O106" s="630"/>
      <c r="P106" s="3304"/>
      <c r="Q106" s="3305"/>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30"/>
      <c r="O107" s="630"/>
      <c r="P107" s="3299"/>
      <c r="Q107" s="3296"/>
    </row>
    <row r="108" spans="1:23" s="279" customFormat="1" ht="15" thickTop="1">
      <c r="A108" s="277"/>
      <c r="B108" s="331">
        <f>B38</f>
        <v>111</v>
      </c>
      <c r="C108" s="347"/>
      <c r="D108" s="347"/>
      <c r="E108" s="347"/>
      <c r="F108" s="347"/>
      <c r="G108" s="347"/>
      <c r="H108" s="348"/>
      <c r="I108" s="348"/>
      <c r="J108" s="348"/>
      <c r="K108" s="348"/>
      <c r="L108" s="349"/>
      <c r="M108" s="350"/>
      <c r="N108" s="631"/>
      <c r="O108" s="631"/>
      <c r="P108" s="3300"/>
      <c r="Q108" s="3301"/>
      <c r="R108" s="3302"/>
      <c r="S108" s="3302"/>
      <c r="T108" s="3302"/>
      <c r="U108" s="3302"/>
      <c r="V108" s="3302"/>
      <c r="W108" s="3302"/>
    </row>
    <row r="109" spans="1:23" s="279" customFormat="1" ht="15.75" thickBot="1">
      <c r="A109" s="346"/>
      <c r="B109" s="328"/>
      <c r="C109" s="352"/>
      <c r="D109" s="329"/>
      <c r="E109" s="329"/>
      <c r="F109" s="329"/>
      <c r="G109" s="352"/>
      <c r="H109" s="354"/>
      <c r="I109" s="354"/>
      <c r="J109" s="354"/>
      <c r="K109" s="354"/>
      <c r="L109" s="354"/>
      <c r="M109" s="355"/>
      <c r="N109" s="631"/>
      <c r="O109" s="631"/>
      <c r="P109" s="3300"/>
      <c r="Q109" s="3301"/>
      <c r="R109" s="3302"/>
      <c r="S109" s="3302"/>
      <c r="T109" s="3302"/>
      <c r="U109" s="3302"/>
      <c r="V109" s="3302"/>
      <c r="W109" s="3302"/>
    </row>
    <row r="110" spans="1:23" ht="15" thickTop="1">
      <c r="A110" s="280"/>
      <c r="B110" s="331">
        <f>B39</f>
        <v>111</v>
      </c>
      <c r="C110" s="347"/>
      <c r="D110" s="347"/>
      <c r="E110" s="347"/>
      <c r="F110" s="347"/>
      <c r="G110" s="347"/>
      <c r="H110" s="348"/>
      <c r="I110" s="348"/>
      <c r="J110" s="348"/>
      <c r="K110" s="348"/>
      <c r="L110" s="349"/>
      <c r="M110" s="350"/>
      <c r="N110" s="629"/>
      <c r="O110" s="629"/>
      <c r="P110" s="3299"/>
      <c r="Q110" s="3296"/>
    </row>
    <row r="111" spans="1:23" ht="15.75" thickBot="1">
      <c r="A111" s="254"/>
      <c r="B111" s="336"/>
      <c r="C111" s="352"/>
      <c r="D111" s="329"/>
      <c r="E111" s="329"/>
      <c r="F111" s="329"/>
      <c r="G111" s="352"/>
      <c r="H111" s="354"/>
      <c r="I111" s="354"/>
      <c r="J111" s="354"/>
      <c r="K111" s="354"/>
      <c r="L111" s="354"/>
      <c r="M111" s="355"/>
      <c r="N111" s="630"/>
      <c r="O111" s="630"/>
      <c r="P111" s="3299"/>
      <c r="Q111" s="3296"/>
    </row>
    <row r="112" spans="1:23" ht="15" thickTop="1">
      <c r="A112" s="280"/>
      <c r="B112" s="339">
        <f>B40</f>
        <v>111</v>
      </c>
      <c r="C112" s="20"/>
      <c r="D112" s="20"/>
      <c r="E112" s="20"/>
      <c r="F112" s="20"/>
      <c r="G112" s="376"/>
      <c r="H112" s="376"/>
      <c r="I112" s="376"/>
      <c r="J112" s="376"/>
      <c r="K112" s="20"/>
      <c r="L112" s="320"/>
      <c r="M112" s="379"/>
      <c r="N112" s="629"/>
      <c r="O112" s="629"/>
      <c r="P112" s="3299"/>
      <c r="Q112" s="3296"/>
    </row>
    <row r="113" spans="1:17" ht="15.75" thickBot="1">
      <c r="A113" s="260"/>
      <c r="B113" s="360"/>
      <c r="C113" s="361"/>
      <c r="D113" s="361"/>
      <c r="E113" s="361"/>
      <c r="F113" s="361"/>
      <c r="G113" s="380"/>
      <c r="H113" s="380"/>
      <c r="I113" s="380"/>
      <c r="J113" s="380"/>
      <c r="K113" s="380"/>
      <c r="L113" s="380"/>
      <c r="M113" s="381"/>
      <c r="N113" s="630"/>
      <c r="O113" s="630"/>
      <c r="P113" s="3299"/>
      <c r="Q113" s="3296"/>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603"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1743</v>
      </c>
      <c r="B1" s="836" t="s">
        <v>3216</v>
      </c>
      <c r="C1" s="837" t="s">
        <v>1574</v>
      </c>
      <c r="D1" s="838"/>
      <c r="E1" s="2540"/>
      <c r="F1" s="1379"/>
      <c r="G1" s="840" t="s">
        <v>1679</v>
      </c>
      <c r="H1" s="839"/>
      <c r="I1" s="839"/>
      <c r="J1" s="839"/>
      <c r="K1" s="841"/>
      <c r="L1" s="842"/>
      <c r="M1" s="843"/>
      <c r="N1" s="843"/>
      <c r="O1" s="843"/>
      <c r="P1" s="844"/>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IF(C2="含税",D2,ROUND(D2/(1+H3),0))</f>
        <v>0</v>
      </c>
      <c r="C2" s="2861"/>
      <c r="D2" s="229" t="b">
        <f>IF(E1="项目模式",IF(E2="——",IF(B37="元/平方米",ROUND(C39*D3/10000,0),ROUND(F3*C39/10000,0)),IF(B37="元/平方米",ROUND(C39*D3/10000,0),ROUND(F3*C39/10000,0))-F2),IF(E1="单套模式",IF(E2="——",IF(B37="元/平方米",ROUND(C39*D3/10000,0),ROUND(F3*C39/10000,0)),IF(B37="元/平方米",ROUND(C39*D3/10000,0),ROUND(F3*C39/10000,0))-F2)))</f>
        <v>0</v>
      </c>
      <c r="E2" s="1381"/>
      <c r="F2" s="604" t="e">
        <f ca="1">IF(E1="项目模式",SUMIF(INDIRECT("'"&amp;H2&amp;"'"&amp;"!A:A"),"承租人权益价值",INDIRECT("'"&amp;H2&amp;"'"&amp;"!c:c")),SUMIF(INDIRECT("'"&amp;H2&amp;"'"&amp;"!A:A"),"承租人权益价值（单套）",INDIRECT("'"&amp;H2&amp;"'"&amp;"!c:c")))</f>
        <v>#REF!</v>
      </c>
      <c r="G2" s="1382" t="s">
        <v>1434</v>
      </c>
      <c r="H2" s="1383"/>
      <c r="I2" s="605"/>
      <c r="J2" s="605"/>
      <c r="K2" s="607"/>
      <c r="L2" s="2024"/>
      <c r="M2" s="2025"/>
      <c r="N2" s="2025"/>
      <c r="O2" s="2025"/>
      <c r="P2" s="790"/>
      <c r="Q2" s="232"/>
      <c r="R2" s="232"/>
      <c r="S2" s="232"/>
      <c r="T2" s="232"/>
      <c r="U2" s="232"/>
      <c r="V2" s="232"/>
      <c r="W2" s="232"/>
      <c r="X2" s="232"/>
      <c r="Y2" s="232"/>
      <c r="Z2" s="232"/>
      <c r="AA2" s="232"/>
      <c r="AB2" s="232"/>
      <c r="AC2" s="481"/>
    </row>
    <row r="3" spans="1:29" s="233" customFormat="1" ht="28.5" customHeight="1" thickBot="1">
      <c r="A3" s="98" t="s">
        <v>1435</v>
      </c>
      <c r="B3" s="2957" t="e">
        <f>IF(AND(E2="——",B37="元/平方米"),C39,ROUND(B2*10000/D3,0))</f>
        <v>#DIV/0!</v>
      </c>
      <c r="C3" s="234" t="s">
        <v>1680</v>
      </c>
      <c r="D3" s="2957">
        <f>SUMIF('数据-汇总表'!$C19:$C33,D1,'数据-汇总表'!$E19:$E33)</f>
        <v>0</v>
      </c>
      <c r="E3" s="234" t="s">
        <v>1744</v>
      </c>
      <c r="F3" s="392">
        <f>SUMIF('数据-取费表'!A5:A15,D1,'数据-取费表'!AH5:AH15)</f>
        <v>0</v>
      </c>
      <c r="G3" s="3961" t="s">
        <v>3478</v>
      </c>
      <c r="H3" s="3962">
        <v>0.09</v>
      </c>
      <c r="I3" s="605"/>
      <c r="J3" s="605"/>
      <c r="K3" s="607"/>
      <c r="L3" s="2024"/>
      <c r="M3" s="2025" t="e">
        <f ca="1">IF(E2="——",IF(B37="元/平方米",ROUND(C39*D3/10000,0),ROUND(F3*C39/10000,0)),IF(B37="元/平方米",ROUND(C39*D3/10000,0),ROUND(F3*C39/10000,0))-F2)</f>
        <v>#DIV/0!</v>
      </c>
      <c r="N3" s="2025"/>
      <c r="O3" s="2025"/>
      <c r="P3" s="790"/>
      <c r="Q3" s="232"/>
      <c r="R3" s="232"/>
      <c r="S3" s="232"/>
      <c r="T3" s="232"/>
      <c r="U3" s="232"/>
      <c r="V3" s="232"/>
      <c r="W3" s="232"/>
      <c r="X3" s="232"/>
      <c r="Y3" s="232"/>
      <c r="Z3" s="232"/>
      <c r="AA3" s="232"/>
      <c r="AB3" s="488"/>
      <c r="AC3" s="481"/>
    </row>
    <row r="4" spans="1:29" ht="15">
      <c r="A4" s="235" t="s">
        <v>1681</v>
      </c>
      <c r="B4" s="236"/>
      <c r="C4" s="4573" t="s">
        <v>1682</v>
      </c>
      <c r="D4" s="4574"/>
      <c r="E4" s="4575" t="s">
        <v>1683</v>
      </c>
      <c r="F4" s="4576"/>
      <c r="G4" s="4573" t="s">
        <v>1684</v>
      </c>
      <c r="H4" s="4574"/>
      <c r="I4" s="4573" t="s">
        <v>1685</v>
      </c>
      <c r="J4" s="4574"/>
      <c r="K4" s="393" t="s">
        <v>1686</v>
      </c>
      <c r="L4" s="2007"/>
      <c r="M4" s="2008"/>
      <c r="N4" s="2008"/>
      <c r="O4" s="2008"/>
      <c r="P4" s="4699" t="s">
        <v>1687</v>
      </c>
      <c r="Q4" s="4700"/>
      <c r="R4" s="4686" t="s">
        <v>1683</v>
      </c>
      <c r="S4" s="4687"/>
      <c r="T4" s="4686" t="s">
        <v>1684</v>
      </c>
      <c r="U4" s="4687"/>
      <c r="V4" s="4691" t="s">
        <v>1685</v>
      </c>
      <c r="W4" s="4691"/>
      <c r="X4" s="935"/>
      <c r="Y4" s="4686" t="s">
        <v>1687</v>
      </c>
      <c r="Z4" s="4687"/>
      <c r="AA4" s="4666" t="s">
        <v>1683</v>
      </c>
      <c r="AB4" s="4551" t="s">
        <v>1684</v>
      </c>
      <c r="AC4" s="4666" t="s">
        <v>1685</v>
      </c>
    </row>
    <row r="5" spans="1:29" ht="15">
      <c r="A5" s="238"/>
      <c r="B5" s="239"/>
      <c r="C5" s="4561" t="s">
        <v>1585</v>
      </c>
      <c r="D5" s="4562"/>
      <c r="E5" s="4692" t="s">
        <v>1586</v>
      </c>
      <c r="F5" s="4560"/>
      <c r="G5" s="4561" t="s">
        <v>1587</v>
      </c>
      <c r="H5" s="4562"/>
      <c r="I5" s="4561" t="s">
        <v>1588</v>
      </c>
      <c r="J5" s="4562"/>
      <c r="K5" s="393"/>
      <c r="L5" s="2007"/>
      <c r="M5" s="2008"/>
      <c r="N5" s="2008"/>
      <c r="O5" s="2008"/>
      <c r="P5" s="4701"/>
      <c r="Q5" s="4702"/>
      <c r="R5" s="4591"/>
      <c r="S5" s="4592"/>
      <c r="T5" s="4591"/>
      <c r="U5" s="4592"/>
      <c r="V5" s="4691"/>
      <c r="W5" s="4691"/>
      <c r="X5" s="935"/>
      <c r="Y5" s="4591"/>
      <c r="Z5" s="4592"/>
      <c r="AA5" s="4551"/>
      <c r="AB5" s="4551"/>
      <c r="AC5" s="4551"/>
    </row>
    <row r="6" spans="1:29" ht="15.75" thickBot="1">
      <c r="A6" s="240"/>
      <c r="B6" s="241"/>
      <c r="C6" s="4563" t="s">
        <v>1589</v>
      </c>
      <c r="D6" s="4564"/>
      <c r="E6" s="4566" t="s">
        <v>1589</v>
      </c>
      <c r="F6" s="4567"/>
      <c r="G6" s="4563" t="s">
        <v>1589</v>
      </c>
      <c r="H6" s="4564"/>
      <c r="I6" s="4563" t="s">
        <v>1589</v>
      </c>
      <c r="J6" s="4564"/>
      <c r="K6" s="393" t="s">
        <v>1590</v>
      </c>
      <c r="L6" s="2007"/>
      <c r="M6" s="2008"/>
      <c r="N6" s="2008"/>
      <c r="O6" s="2008"/>
      <c r="P6" s="4703"/>
      <c r="Q6" s="4704"/>
      <c r="R6" s="4591"/>
      <c r="S6" s="4592"/>
      <c r="T6" s="4593"/>
      <c r="U6" s="4594"/>
      <c r="V6" s="4691"/>
      <c r="W6" s="4691"/>
      <c r="X6" s="935"/>
      <c r="Y6" s="4593"/>
      <c r="Z6" s="4594"/>
      <c r="AA6" s="4552"/>
      <c r="AB6" s="4552"/>
      <c r="AC6" s="4552"/>
    </row>
    <row r="7" spans="1:29" s="46" customFormat="1" ht="15.75" thickBot="1">
      <c r="A7" s="242" t="s">
        <v>1591</v>
      </c>
      <c r="B7" s="243"/>
      <c r="C7" s="244">
        <f>'数据-取费表'!B2</f>
        <v>46049</v>
      </c>
      <c r="D7" s="2976">
        <v>100</v>
      </c>
      <c r="E7" s="245"/>
      <c r="F7" s="3861">
        <f>SUMIF(48:48,YEAR(E7)&amp;"-"&amp;MONTH(E7),49:49)</f>
        <v>0</v>
      </c>
      <c r="G7" s="245"/>
      <c r="H7" s="3867">
        <f>SUMIF(48:48,YEAR(G7)&amp;"-"&amp;MONTH(G7),49:49)</f>
        <v>0</v>
      </c>
      <c r="I7" s="245"/>
      <c r="J7" s="3867">
        <f>SUMIF(48:48,YEAR(I7)&amp;"-"&amp;MONTH(I7),49:49)</f>
        <v>0</v>
      </c>
      <c r="K7" s="22"/>
      <c r="L7" s="2009"/>
      <c r="M7" s="1962"/>
      <c r="N7" s="1962"/>
      <c r="O7" s="1962"/>
      <c r="P7" s="4553" t="s">
        <v>1592</v>
      </c>
      <c r="Q7" s="4705"/>
      <c r="R7" s="3880" t="s">
        <v>13</v>
      </c>
      <c r="S7" s="3883">
        <f t="shared" ref="S7:S14" si="0">F7</f>
        <v>0</v>
      </c>
      <c r="T7" s="3880" t="s">
        <v>13</v>
      </c>
      <c r="U7" s="3883">
        <f t="shared" ref="U7:U14" si="1">H7</f>
        <v>0</v>
      </c>
      <c r="V7" s="3880" t="s">
        <v>13</v>
      </c>
      <c r="W7" s="3883">
        <f t="shared" ref="W7:W14" si="2">J7</f>
        <v>0</v>
      </c>
      <c r="X7" s="482"/>
      <c r="Y7" s="4553" t="s">
        <v>1592</v>
      </c>
      <c r="Z7" s="4554"/>
      <c r="AA7" s="28" t="e">
        <f>D7/F7</f>
        <v>#DIV/0!</v>
      </c>
      <c r="AB7" s="28" t="e">
        <f>D7/H7</f>
        <v>#DIV/0!</v>
      </c>
      <c r="AC7" s="28" t="e">
        <f>D7/J7</f>
        <v>#DIV/0!</v>
      </c>
    </row>
    <row r="8" spans="1:29" s="46" customFormat="1" ht="15.75" thickBot="1">
      <c r="A8" s="242" t="s">
        <v>1593</v>
      </c>
      <c r="B8" s="243"/>
      <c r="C8" s="246"/>
      <c r="D8" s="2976">
        <v>100</v>
      </c>
      <c r="E8" s="246"/>
      <c r="F8" s="3861">
        <f>SUMIF(51:51,E8,52:52)-SUMIF(51:51,C8,52:52)+100</f>
        <v>100</v>
      </c>
      <c r="G8" s="246"/>
      <c r="H8" s="3867">
        <f>SUMIF(51:51,G8,52:52)-SUMIF(51:51,C8,52:52)+100</f>
        <v>100</v>
      </c>
      <c r="I8" s="246"/>
      <c r="J8" s="3867">
        <f>SUMIF(51:51,I8,52:52)-SUMIF(51:51,C8,52:52)+100</f>
        <v>100</v>
      </c>
      <c r="K8" s="22"/>
      <c r="L8" s="2009"/>
      <c r="M8" s="1962"/>
      <c r="N8" s="1962"/>
      <c r="O8" s="1962"/>
      <c r="P8" s="4553" t="s">
        <v>1595</v>
      </c>
      <c r="Q8" s="4554"/>
      <c r="R8" s="3880" t="s">
        <v>13</v>
      </c>
      <c r="S8" s="3883">
        <f t="shared" si="0"/>
        <v>100</v>
      </c>
      <c r="T8" s="3880" t="s">
        <v>13</v>
      </c>
      <c r="U8" s="3883">
        <f t="shared" si="1"/>
        <v>100</v>
      </c>
      <c r="V8" s="3880" t="s">
        <v>13</v>
      </c>
      <c r="W8" s="3883">
        <f t="shared" si="2"/>
        <v>100</v>
      </c>
      <c r="X8" s="482"/>
      <c r="Y8" s="4553" t="s">
        <v>1595</v>
      </c>
      <c r="Z8" s="4554"/>
      <c r="AA8" s="28">
        <f t="shared" ref="AA8:AA36" si="3">D8/F8</f>
        <v>1</v>
      </c>
      <c r="AB8" s="28">
        <f t="shared" ref="AB8:AB36" si="4">D8/H8</f>
        <v>1</v>
      </c>
      <c r="AC8" s="28">
        <f t="shared" ref="AC8:AC36" si="5">D8/J8</f>
        <v>1</v>
      </c>
    </row>
    <row r="9" spans="1:29" s="46" customFormat="1">
      <c r="A9" s="31" t="s">
        <v>1596</v>
      </c>
      <c r="B9" s="412" t="s">
        <v>1597</v>
      </c>
      <c r="C9" s="248"/>
      <c r="D9" s="2977">
        <v>100</v>
      </c>
      <c r="E9" s="250"/>
      <c r="F9" s="33">
        <f>SUMIF(53:53,E9,54:54)-SUMIF(53:53,C9,54:54)+100</f>
        <v>100</v>
      </c>
      <c r="G9" s="249"/>
      <c r="H9" s="33">
        <f>SUMIF(53:53,G9,54:54)-SUMIF(53:53,C9,54:54)+100</f>
        <v>100</v>
      </c>
      <c r="I9" s="249"/>
      <c r="J9" s="33">
        <f>SUMIF(53:53,I9,54:54)-SUMIF(53:53,C9,54:54)+100</f>
        <v>100</v>
      </c>
      <c r="K9" s="22"/>
      <c r="L9" s="2009"/>
      <c r="M9" s="1962"/>
      <c r="N9" s="1962"/>
      <c r="O9" s="1962"/>
      <c r="P9" s="4698" t="s">
        <v>1598</v>
      </c>
      <c r="Q9" s="389" t="str">
        <f t="shared" ref="Q9:Q14" si="6">B9</f>
        <v>用途</v>
      </c>
      <c r="R9" s="3880" t="s">
        <v>13</v>
      </c>
      <c r="S9" s="3883">
        <f t="shared" si="0"/>
        <v>100</v>
      </c>
      <c r="T9" s="3880" t="s">
        <v>13</v>
      </c>
      <c r="U9" s="3883">
        <f t="shared" si="1"/>
        <v>100</v>
      </c>
      <c r="V9" s="3880" t="s">
        <v>13</v>
      </c>
      <c r="W9" s="3883">
        <f t="shared" si="2"/>
        <v>100</v>
      </c>
      <c r="X9" s="482"/>
      <c r="Y9" s="4569" t="s">
        <v>1599</v>
      </c>
      <c r="Z9" s="28" t="str">
        <f t="shared" ref="Z9:Z14" si="7">Q9</f>
        <v>用途</v>
      </c>
      <c r="AA9" s="28">
        <f t="shared" si="3"/>
        <v>1</v>
      </c>
      <c r="AB9" s="28">
        <f t="shared" si="4"/>
        <v>1</v>
      </c>
      <c r="AC9" s="28">
        <f t="shared" si="5"/>
        <v>1</v>
      </c>
    </row>
    <row r="10" spans="1:29" s="253" customFormat="1" ht="27">
      <c r="A10" s="413"/>
      <c r="B10" s="414" t="s">
        <v>1600</v>
      </c>
      <c r="C10" s="2541"/>
      <c r="D10" s="2978">
        <v>100</v>
      </c>
      <c r="E10" s="2541"/>
      <c r="F10" s="422">
        <f>SUMIF(55:55,E10,56:56)-SUMIF(55:55,C10,56:56)+100</f>
        <v>100</v>
      </c>
      <c r="G10" s="2542"/>
      <c r="H10" s="422">
        <f>SUMIF(55:55,G10,56:56)-SUMIF(55:55,C10,56:56)+100</f>
        <v>100</v>
      </c>
      <c r="I10" s="2541"/>
      <c r="J10" s="422">
        <f>SUMIF(55:55,I10,56:56)-SUMIF(55:55,C10,56:56)+100</f>
        <v>100</v>
      </c>
      <c r="K10" s="22"/>
      <c r="L10" s="2010"/>
      <c r="M10" s="2011"/>
      <c r="N10" s="2011"/>
      <c r="O10" s="2011"/>
      <c r="P10" s="4698"/>
      <c r="Q10" s="389" t="str">
        <f t="shared" si="6"/>
        <v>土地使用年限（年）</v>
      </c>
      <c r="R10" s="3880" t="s">
        <v>13</v>
      </c>
      <c r="S10" s="3883">
        <f t="shared" si="0"/>
        <v>100</v>
      </c>
      <c r="T10" s="3880" t="s">
        <v>13</v>
      </c>
      <c r="U10" s="3883">
        <f t="shared" si="1"/>
        <v>100</v>
      </c>
      <c r="V10" s="3880" t="s">
        <v>13</v>
      </c>
      <c r="W10" s="3883">
        <f t="shared" si="2"/>
        <v>100</v>
      </c>
      <c r="X10" s="482"/>
      <c r="Y10" s="4569"/>
      <c r="Z10" s="28" t="str">
        <f t="shared" si="7"/>
        <v>土地使用年限（年）</v>
      </c>
      <c r="AA10" s="28">
        <f t="shared" si="3"/>
        <v>1</v>
      </c>
      <c r="AB10" s="28">
        <f t="shared" si="4"/>
        <v>1</v>
      </c>
      <c r="AC10" s="28">
        <f t="shared" si="5"/>
        <v>1</v>
      </c>
    </row>
    <row r="11" spans="1:29" ht="15">
      <c r="A11" s="415"/>
      <c r="B11" s="416">
        <v>111</v>
      </c>
      <c r="C11" s="258"/>
      <c r="D11" s="2978">
        <v>100</v>
      </c>
      <c r="E11" s="258"/>
      <c r="F11" s="422">
        <f>SUMIF(57:57,E11,58:58)-SUMIF(57:57,C11,58:58)+100</f>
        <v>100</v>
      </c>
      <c r="G11" s="258"/>
      <c r="H11" s="422">
        <f>SUMIF(57:57,G11,58:58)-SUMIF(57:57,C11,58:58)+100</f>
        <v>100</v>
      </c>
      <c r="I11" s="258"/>
      <c r="J11" s="422">
        <f>SUMIF(57:57,I11,58:58)-SUMIF(57:57,C11,58:58)+100</f>
        <v>100</v>
      </c>
      <c r="K11" s="395"/>
      <c r="L11" s="2012"/>
      <c r="M11" s="2008"/>
      <c r="N11" s="2008"/>
      <c r="O11" s="2008"/>
      <c r="P11" s="4698"/>
      <c r="Q11" s="389">
        <f t="shared" si="6"/>
        <v>111</v>
      </c>
      <c r="R11" s="3880" t="s">
        <v>13</v>
      </c>
      <c r="S11" s="3883">
        <f t="shared" si="0"/>
        <v>100</v>
      </c>
      <c r="T11" s="3880" t="s">
        <v>13</v>
      </c>
      <c r="U11" s="3883">
        <f t="shared" si="1"/>
        <v>100</v>
      </c>
      <c r="V11" s="3880" t="s">
        <v>13</v>
      </c>
      <c r="W11" s="3883">
        <f t="shared" si="2"/>
        <v>100</v>
      </c>
      <c r="X11" s="482"/>
      <c r="Y11" s="4569"/>
      <c r="Z11" s="28">
        <f t="shared" si="7"/>
        <v>111</v>
      </c>
      <c r="AA11" s="28">
        <f t="shared" si="3"/>
        <v>1</v>
      </c>
      <c r="AB11" s="28">
        <f t="shared" si="4"/>
        <v>1</v>
      </c>
      <c r="AC11" s="28">
        <f t="shared" si="5"/>
        <v>1</v>
      </c>
    </row>
    <row r="12" spans="1:29" s="46" customFormat="1" ht="15">
      <c r="A12" s="417"/>
      <c r="B12" s="416">
        <v>111</v>
      </c>
      <c r="C12" s="258"/>
      <c r="D12" s="2979">
        <v>100</v>
      </c>
      <c r="E12" s="258"/>
      <c r="F12" s="422">
        <f>SUMIF(59:59,E12,60:60)-SUMIF(59:59,C12,60:60)+100</f>
        <v>100</v>
      </c>
      <c r="G12" s="258"/>
      <c r="H12" s="422">
        <f>SUMIF(59:59,G12,60:60)-SUMIF(59:59,C12,60:60)+100</f>
        <v>100</v>
      </c>
      <c r="I12" s="258"/>
      <c r="J12" s="422">
        <f>SUMIF(59:59,I12,60:60)-SUMIF(59:59,C12,60:60)+100</f>
        <v>100</v>
      </c>
      <c r="K12" s="395"/>
      <c r="L12" s="2009"/>
      <c r="M12" s="1962"/>
      <c r="N12" s="1962"/>
      <c r="O12" s="1962"/>
      <c r="P12" s="4698"/>
      <c r="Q12" s="389">
        <f t="shared" si="6"/>
        <v>111</v>
      </c>
      <c r="R12" s="3880" t="s">
        <v>13</v>
      </c>
      <c r="S12" s="3883">
        <f t="shared" si="0"/>
        <v>100</v>
      </c>
      <c r="T12" s="3880" t="s">
        <v>13</v>
      </c>
      <c r="U12" s="3883">
        <f t="shared" si="1"/>
        <v>100</v>
      </c>
      <c r="V12" s="3880" t="s">
        <v>13</v>
      </c>
      <c r="W12" s="3883">
        <f t="shared" si="2"/>
        <v>100</v>
      </c>
      <c r="X12" s="482"/>
      <c r="Y12" s="4569"/>
      <c r="Z12" s="28">
        <f t="shared" si="7"/>
        <v>111</v>
      </c>
      <c r="AA12" s="28">
        <f>D12/F12</f>
        <v>1</v>
      </c>
      <c r="AB12" s="28">
        <f>D12/H12</f>
        <v>1</v>
      </c>
      <c r="AC12" s="28">
        <f>D12/J12</f>
        <v>1</v>
      </c>
    </row>
    <row r="13" spans="1:29" ht="15.75" thickBot="1">
      <c r="A13" s="418"/>
      <c r="B13" s="416">
        <v>111</v>
      </c>
      <c r="C13" s="259"/>
      <c r="D13" s="2980">
        <v>100</v>
      </c>
      <c r="E13" s="258"/>
      <c r="F13" s="422">
        <f>SUMIF(61:61,E13,62:62)-SUMIF(61:61,C13,62:62)+100</f>
        <v>100</v>
      </c>
      <c r="G13" s="258"/>
      <c r="H13" s="3865">
        <f>SUMIF(61:61,G13,62:62)-SUMIF(61:61,C13,62:62)+100</f>
        <v>100</v>
      </c>
      <c r="I13" s="258"/>
      <c r="J13" s="3865">
        <f>SUMIF(61:61,I13,62:62)-SUMIF(61:61,C13,62:62)+100</f>
        <v>100</v>
      </c>
      <c r="K13" s="395"/>
      <c r="L13" s="2013"/>
      <c r="M13" s="2008"/>
      <c r="N13" s="2008"/>
      <c r="O13" s="2008"/>
      <c r="P13" s="4698"/>
      <c r="Q13" s="389">
        <f t="shared" si="6"/>
        <v>111</v>
      </c>
      <c r="R13" s="3880" t="s">
        <v>13</v>
      </c>
      <c r="S13" s="3883">
        <f t="shared" si="0"/>
        <v>100</v>
      </c>
      <c r="T13" s="3880" t="s">
        <v>13</v>
      </c>
      <c r="U13" s="3883">
        <f t="shared" si="1"/>
        <v>100</v>
      </c>
      <c r="V13" s="3880" t="s">
        <v>13</v>
      </c>
      <c r="W13" s="3883">
        <f t="shared" si="2"/>
        <v>100</v>
      </c>
      <c r="X13" s="482"/>
      <c r="Y13" s="4569"/>
      <c r="Z13" s="28">
        <f t="shared" si="7"/>
        <v>111</v>
      </c>
      <c r="AA13" s="28">
        <f t="shared" si="3"/>
        <v>1</v>
      </c>
      <c r="AB13" s="28">
        <f t="shared" si="4"/>
        <v>1</v>
      </c>
      <c r="AC13" s="28">
        <f t="shared" si="5"/>
        <v>1</v>
      </c>
    </row>
    <row r="14" spans="1:29" ht="15">
      <c r="A14" s="235" t="s">
        <v>1602</v>
      </c>
      <c r="B14" s="403" t="s">
        <v>1745</v>
      </c>
      <c r="C14" s="1450">
        <f>IF(B1="工业",估价对象房地状况!G4,估价对象房地状况!C6)</f>
        <v>0</v>
      </c>
      <c r="D14" s="2982">
        <v>100</v>
      </c>
      <c r="E14" s="263"/>
      <c r="F14" s="3869">
        <f>SUMIF(63:63,E15,64:64)-SUMIF(63:63,C15,64:64)+100</f>
        <v>100</v>
      </c>
      <c r="G14" s="264"/>
      <c r="H14" s="3863">
        <f>SUMIF(63:63,G15,64:64)-SUMIF(63:63,C15,64:64)+100</f>
        <v>100</v>
      </c>
      <c r="I14" s="263"/>
      <c r="J14" s="3863">
        <f>SUMIF(63:63,I15,64:64)-SUMIF(63:63,C15,64:64)+100</f>
        <v>100</v>
      </c>
      <c r="K14" s="396"/>
      <c r="L14" s="2013"/>
      <c r="M14" s="2008"/>
      <c r="N14" s="2008"/>
      <c r="O14" s="2008"/>
      <c r="P14" s="4598" t="s">
        <v>1603</v>
      </c>
      <c r="Q14" s="932" t="str">
        <f t="shared" si="6"/>
        <v>交通便捷度</v>
      </c>
      <c r="R14" s="3881" t="s">
        <v>13</v>
      </c>
      <c r="S14" s="3884">
        <f t="shared" si="0"/>
        <v>100</v>
      </c>
      <c r="T14" s="3881" t="s">
        <v>13</v>
      </c>
      <c r="U14" s="3884">
        <f t="shared" si="1"/>
        <v>100</v>
      </c>
      <c r="V14" s="3881" t="s">
        <v>13</v>
      </c>
      <c r="W14" s="3884">
        <f t="shared" si="2"/>
        <v>100</v>
      </c>
      <c r="X14" s="935"/>
      <c r="Y14" s="4598" t="s">
        <v>1603</v>
      </c>
      <c r="Z14" s="933" t="str">
        <f t="shared" si="7"/>
        <v>交通便捷度</v>
      </c>
      <c r="AA14" s="933">
        <f t="shared" si="3"/>
        <v>1</v>
      </c>
      <c r="AB14" s="933">
        <f t="shared" si="4"/>
        <v>1</v>
      </c>
      <c r="AC14" s="933">
        <f t="shared" si="5"/>
        <v>1</v>
      </c>
    </row>
    <row r="15" spans="1:29" ht="15">
      <c r="A15" s="238"/>
      <c r="B15" s="419"/>
      <c r="C15" s="266"/>
      <c r="D15" s="2983"/>
      <c r="E15" s="266"/>
      <c r="F15" s="3870"/>
      <c r="G15" s="266"/>
      <c r="H15" s="268"/>
      <c r="I15" s="266"/>
      <c r="J15" s="267"/>
      <c r="K15" s="397"/>
      <c r="L15" s="2013"/>
      <c r="M15" s="2008"/>
      <c r="N15" s="2008"/>
      <c r="O15" s="2008"/>
      <c r="P15" s="4599"/>
      <c r="Q15" s="932"/>
      <c r="R15" s="3881"/>
      <c r="S15" s="3884"/>
      <c r="T15" s="3881"/>
      <c r="U15" s="3884"/>
      <c r="V15" s="3881"/>
      <c r="W15" s="3884"/>
      <c r="X15" s="935"/>
      <c r="Y15" s="4599"/>
      <c r="Z15" s="933"/>
      <c r="AA15" s="933">
        <v>1</v>
      </c>
      <c r="AB15" s="933">
        <v>1</v>
      </c>
      <c r="AC15" s="933">
        <v>1</v>
      </c>
    </row>
    <row r="16" spans="1:29" ht="15">
      <c r="A16" s="238"/>
      <c r="B16" s="405" t="s">
        <v>1724</v>
      </c>
      <c r="C16" s="1390">
        <f>IF(B1="工业",估价对象房地状况!G5,估价对象房地状况!C7)</f>
        <v>0</v>
      </c>
      <c r="D16" s="2985">
        <v>100</v>
      </c>
      <c r="E16" s="273"/>
      <c r="F16" s="3872">
        <f>SUMIF(65:65,E17,66:66)-SUMIF(65:65,C17,66:66)+100</f>
        <v>100</v>
      </c>
      <c r="G16" s="274"/>
      <c r="H16" s="3864">
        <f>SUMIF(65:65,G17,66:66)-SUMIF(65:65,C17,66:66)+100</f>
        <v>100</v>
      </c>
      <c r="I16" s="273"/>
      <c r="J16" s="3864">
        <f>SUMIF(65:65,I17,66:66)-SUMIF(65:65,C17,66:66)+100</f>
        <v>100</v>
      </c>
      <c r="K16" s="396"/>
      <c r="L16" s="2013"/>
      <c r="M16" s="2008"/>
      <c r="N16" s="2008"/>
      <c r="O16" s="2008"/>
      <c r="P16" s="4599"/>
      <c r="Q16" s="932" t="str">
        <f>B16</f>
        <v>公共配套设施</v>
      </c>
      <c r="R16" s="3881" t="s">
        <v>13</v>
      </c>
      <c r="S16" s="3884">
        <f>F16</f>
        <v>100</v>
      </c>
      <c r="T16" s="3881" t="s">
        <v>13</v>
      </c>
      <c r="U16" s="3884">
        <f>H16</f>
        <v>100</v>
      </c>
      <c r="V16" s="3881" t="s">
        <v>13</v>
      </c>
      <c r="W16" s="3884">
        <f>J16</f>
        <v>100</v>
      </c>
      <c r="X16" s="935"/>
      <c r="Y16" s="4599"/>
      <c r="Z16" s="933" t="str">
        <f>Q16</f>
        <v>公共配套设施</v>
      </c>
      <c r="AA16" s="933">
        <f t="shared" si="3"/>
        <v>1</v>
      </c>
      <c r="AB16" s="933">
        <f t="shared" si="4"/>
        <v>1</v>
      </c>
      <c r="AC16" s="933">
        <f t="shared" si="5"/>
        <v>1</v>
      </c>
    </row>
    <row r="17" spans="1:29" ht="15">
      <c r="A17" s="238"/>
      <c r="B17" s="406"/>
      <c r="C17" s="1391"/>
      <c r="D17" s="2983"/>
      <c r="E17" s="266"/>
      <c r="F17" s="3870"/>
      <c r="G17" s="266"/>
      <c r="H17" s="267"/>
      <c r="I17" s="266"/>
      <c r="J17" s="267"/>
      <c r="K17" s="397"/>
      <c r="L17" s="2013"/>
      <c r="M17" s="2008"/>
      <c r="N17" s="2008"/>
      <c r="O17" s="2008"/>
      <c r="P17" s="4599"/>
      <c r="Q17" s="932"/>
      <c r="R17" s="3881"/>
      <c r="S17" s="3884"/>
      <c r="T17" s="3881"/>
      <c r="U17" s="3884"/>
      <c r="V17" s="3881"/>
      <c r="W17" s="3884"/>
      <c r="X17" s="935"/>
      <c r="Y17" s="4599"/>
      <c r="Z17" s="933"/>
      <c r="AA17" s="933">
        <v>1</v>
      </c>
      <c r="AB17" s="933">
        <v>1</v>
      </c>
      <c r="AC17" s="933">
        <v>1</v>
      </c>
    </row>
    <row r="18" spans="1:29" ht="15">
      <c r="A18" s="238"/>
      <c r="B18" s="407" t="s">
        <v>1725</v>
      </c>
      <c r="C18" s="1390">
        <f>IF(B1="工业",估价对象房地状况!G6,估价对象房地状况!C8)</f>
        <v>0</v>
      </c>
      <c r="D18" s="2984">
        <v>100</v>
      </c>
      <c r="E18" s="270"/>
      <c r="F18" s="3872">
        <f>SUMIF(67:67,E19,68:68)-SUMIF(67:67,C19,68:68)+100</f>
        <v>100</v>
      </c>
      <c r="G18" s="271"/>
      <c r="H18" s="3864">
        <f>SUMIF(67:67,G19,68:68)-SUMIF(67:67,C19,68:68)+100</f>
        <v>100</v>
      </c>
      <c r="I18" s="270"/>
      <c r="J18" s="3864">
        <f>SUMIF(67:67,I19,68:68)-SUMIF(67:67,C19,68:68)+100</f>
        <v>100</v>
      </c>
      <c r="K18" s="396"/>
      <c r="L18" s="2013"/>
      <c r="M18" s="2008"/>
      <c r="N18" s="2008"/>
      <c r="O18" s="2008"/>
      <c r="P18" s="4599"/>
      <c r="Q18" s="932" t="str">
        <f>B18</f>
        <v>基础设施水平</v>
      </c>
      <c r="R18" s="3881" t="s">
        <v>13</v>
      </c>
      <c r="S18" s="3884">
        <f>F18</f>
        <v>100</v>
      </c>
      <c r="T18" s="3881" t="s">
        <v>13</v>
      </c>
      <c r="U18" s="3884">
        <f>H18</f>
        <v>100</v>
      </c>
      <c r="V18" s="3881" t="s">
        <v>13</v>
      </c>
      <c r="W18" s="3884">
        <f>J18</f>
        <v>100</v>
      </c>
      <c r="X18" s="935"/>
      <c r="Y18" s="4599"/>
      <c r="Z18" s="933" t="str">
        <f>Q18</f>
        <v>基础设施水平</v>
      </c>
      <c r="AA18" s="933">
        <f t="shared" ref="AA18" si="8">D18/F18</f>
        <v>1</v>
      </c>
      <c r="AB18" s="933">
        <f t="shared" ref="AB18" si="9">D18/H18</f>
        <v>1</v>
      </c>
      <c r="AC18" s="933">
        <f t="shared" ref="AC18" si="10">D18/J18</f>
        <v>1</v>
      </c>
    </row>
    <row r="19" spans="1:29" ht="15">
      <c r="A19" s="238"/>
      <c r="B19" s="407"/>
      <c r="C19" s="1391"/>
      <c r="D19" s="2984"/>
      <c r="E19" s="1391"/>
      <c r="F19" s="3871"/>
      <c r="G19" s="1391"/>
      <c r="H19" s="267"/>
      <c r="I19" s="266"/>
      <c r="J19" s="267"/>
      <c r="K19" s="780"/>
      <c r="L19" s="2013"/>
      <c r="M19" s="2008"/>
      <c r="N19" s="2008"/>
      <c r="O19" s="2008"/>
      <c r="P19" s="4599"/>
      <c r="Q19" s="932"/>
      <c r="R19" s="3881"/>
      <c r="S19" s="3884"/>
      <c r="T19" s="3881"/>
      <c r="U19" s="3884"/>
      <c r="V19" s="3881"/>
      <c r="W19" s="3884"/>
      <c r="X19" s="935"/>
      <c r="Y19" s="4599"/>
      <c r="Z19" s="933"/>
      <c r="AA19" s="933">
        <v>1</v>
      </c>
      <c r="AB19" s="933">
        <v>1</v>
      </c>
      <c r="AC19" s="933">
        <v>1</v>
      </c>
    </row>
    <row r="20" spans="1:29" ht="15">
      <c r="A20" s="238"/>
      <c r="B20" s="405" t="s">
        <v>1746</v>
      </c>
      <c r="C20" s="1390">
        <f>IF(B1="工业",估价对象房地状况!G7,估价对象房地状况!C9)</f>
        <v>0</v>
      </c>
      <c r="D20" s="2985">
        <v>100</v>
      </c>
      <c r="E20" s="273"/>
      <c r="F20" s="3872">
        <f>SUMIF(69:69,E21,70:70)-SUMIF(69:69,C21,70:70)+100</f>
        <v>100</v>
      </c>
      <c r="G20" s="274"/>
      <c r="H20" s="268">
        <f>SUMIF(69:69,G21,70:70)-SUMIF(69:69,C21,70:70)+100</f>
        <v>100</v>
      </c>
      <c r="I20" s="270"/>
      <c r="J20" s="268">
        <f>SUMIF(69:69,I21,70:70)-SUMIF(69:69,C21,70:70)+100</f>
        <v>100</v>
      </c>
      <c r="K20" s="396"/>
      <c r="L20" s="2013"/>
      <c r="M20" s="2008"/>
      <c r="N20" s="2008"/>
      <c r="O20" s="2008"/>
      <c r="P20" s="4599"/>
      <c r="Q20" s="932" t="str">
        <f>B20</f>
        <v>自然及人文环境</v>
      </c>
      <c r="R20" s="3881" t="s">
        <v>13</v>
      </c>
      <c r="S20" s="3884">
        <f>F20</f>
        <v>100</v>
      </c>
      <c r="T20" s="3881" t="s">
        <v>13</v>
      </c>
      <c r="U20" s="3884">
        <f>H20</f>
        <v>100</v>
      </c>
      <c r="V20" s="3881" t="s">
        <v>13</v>
      </c>
      <c r="W20" s="3884">
        <f>J20</f>
        <v>100</v>
      </c>
      <c r="X20" s="935"/>
      <c r="Y20" s="4599"/>
      <c r="Z20" s="933" t="str">
        <f>Q20</f>
        <v>自然及人文环境</v>
      </c>
      <c r="AA20" s="933">
        <f t="shared" si="3"/>
        <v>1</v>
      </c>
      <c r="AB20" s="933">
        <f t="shared" si="4"/>
        <v>1</v>
      </c>
      <c r="AC20" s="933">
        <f t="shared" si="5"/>
        <v>1</v>
      </c>
    </row>
    <row r="21" spans="1:29" ht="15">
      <c r="A21" s="238"/>
      <c r="B21" s="406"/>
      <c r="C21" s="266"/>
      <c r="D21" s="2983"/>
      <c r="E21" s="266"/>
      <c r="F21" s="3870"/>
      <c r="G21" s="266"/>
      <c r="H21" s="267"/>
      <c r="I21" s="266"/>
      <c r="J21" s="267"/>
      <c r="K21" s="397"/>
      <c r="L21" s="2013"/>
      <c r="M21" s="2008"/>
      <c r="N21" s="2008"/>
      <c r="O21" s="2008"/>
      <c r="P21" s="4599"/>
      <c r="Q21" s="932"/>
      <c r="R21" s="3881"/>
      <c r="S21" s="3884"/>
      <c r="T21" s="3881"/>
      <c r="U21" s="3884"/>
      <c r="V21" s="3881"/>
      <c r="W21" s="3884"/>
      <c r="X21" s="935"/>
      <c r="Y21" s="4599"/>
      <c r="Z21" s="933"/>
      <c r="AA21" s="933">
        <v>1</v>
      </c>
      <c r="AB21" s="933">
        <v>1</v>
      </c>
      <c r="AC21" s="933">
        <v>1</v>
      </c>
    </row>
    <row r="22" spans="1:29" ht="15">
      <c r="A22" s="238"/>
      <c r="B22" s="405" t="s">
        <v>1747</v>
      </c>
      <c r="C22" s="398"/>
      <c r="D22" s="2984">
        <v>100</v>
      </c>
      <c r="E22" s="398"/>
      <c r="F22" s="934">
        <f>SUMIF(71:71,E22,72:72)-SUMIF(71:71,C22,72:72)+100</f>
        <v>100</v>
      </c>
      <c r="G22" s="398"/>
      <c r="H22" s="3865">
        <f>SUMIF(71:71,G22,72:72)-SUMIF(71:71,C22,72:72)+100</f>
        <v>100</v>
      </c>
      <c r="I22" s="398"/>
      <c r="J22" s="3865">
        <f>SUMIF(71:71,I22,72:72)-SUMIF(71:71,C22,72:72)+100</f>
        <v>100</v>
      </c>
      <c r="K22" s="394"/>
      <c r="L22" s="2013"/>
      <c r="M22" s="2008"/>
      <c r="N22" s="2008"/>
      <c r="O22" s="2008"/>
      <c r="P22" s="4599"/>
      <c r="Q22" s="932" t="str">
        <f>B22</f>
        <v>楼层</v>
      </c>
      <c r="R22" s="3881" t="s">
        <v>13</v>
      </c>
      <c r="S22" s="3884">
        <f>F22</f>
        <v>100</v>
      </c>
      <c r="T22" s="3881" t="s">
        <v>13</v>
      </c>
      <c r="U22" s="3884">
        <f>H22</f>
        <v>100</v>
      </c>
      <c r="V22" s="3881" t="s">
        <v>13</v>
      </c>
      <c r="W22" s="3884">
        <f>J22</f>
        <v>100</v>
      </c>
      <c r="X22" s="935"/>
      <c r="Y22" s="4599"/>
      <c r="Z22" s="933" t="str">
        <f>Q22</f>
        <v>楼层</v>
      </c>
      <c r="AA22" s="933">
        <f t="shared" si="3"/>
        <v>1</v>
      </c>
      <c r="AB22" s="933">
        <f t="shared" si="4"/>
        <v>1</v>
      </c>
      <c r="AC22" s="933">
        <f t="shared" si="5"/>
        <v>1</v>
      </c>
    </row>
    <row r="23" spans="1:29" ht="15">
      <c r="A23" s="238"/>
      <c r="B23" s="311">
        <v>111</v>
      </c>
      <c r="C23" s="258"/>
      <c r="D23" s="2980">
        <v>100</v>
      </c>
      <c r="E23" s="258"/>
      <c r="F23" s="934">
        <f>SUMIF(73:73,E23,74:74)-SUMIF(73:73,C23,74:74)+100</f>
        <v>100</v>
      </c>
      <c r="G23" s="258"/>
      <c r="H23" s="3865">
        <f>SUMIF(73:73,G23,74:74)-SUMIF(73:73,C23,74:74)+100</f>
        <v>100</v>
      </c>
      <c r="I23" s="258"/>
      <c r="J23" s="3865">
        <f>SUMIF(73:73,I23,74:74)-SUMIF(73:73,C23,74:74)+100</f>
        <v>100</v>
      </c>
      <c r="K23" s="395"/>
      <c r="L23" s="2013"/>
      <c r="M23" s="2008"/>
      <c r="N23" s="2008"/>
      <c r="O23" s="2008"/>
      <c r="P23" s="4599"/>
      <c r="Q23" s="932">
        <f>B23</f>
        <v>111</v>
      </c>
      <c r="R23" s="3881" t="s">
        <v>13</v>
      </c>
      <c r="S23" s="3884">
        <f>F23</f>
        <v>100</v>
      </c>
      <c r="T23" s="3881" t="s">
        <v>13</v>
      </c>
      <c r="U23" s="3884">
        <f>H23</f>
        <v>100</v>
      </c>
      <c r="V23" s="3881" t="s">
        <v>13</v>
      </c>
      <c r="W23" s="3884">
        <f>J23</f>
        <v>100</v>
      </c>
      <c r="X23" s="935"/>
      <c r="Y23" s="4599"/>
      <c r="Z23" s="933">
        <f>Q23</f>
        <v>111</v>
      </c>
      <c r="AA23" s="933">
        <f t="shared" si="3"/>
        <v>1</v>
      </c>
      <c r="AB23" s="933">
        <f t="shared" si="4"/>
        <v>1</v>
      </c>
      <c r="AC23" s="933">
        <f t="shared" si="5"/>
        <v>1</v>
      </c>
    </row>
    <row r="24" spans="1:29" ht="15">
      <c r="A24" s="238"/>
      <c r="B24" s="311">
        <v>111</v>
      </c>
      <c r="C24" s="258"/>
      <c r="D24" s="2980">
        <v>100</v>
      </c>
      <c r="E24" s="258"/>
      <c r="F24" s="934">
        <f>SUMIF(75:75,E24,76:76)-SUMIF(75:75,C24,76:76)+100</f>
        <v>100</v>
      </c>
      <c r="G24" s="258"/>
      <c r="H24" s="3865">
        <f>SUMIF(75:75,G24,76:76)-SUMIF(75:75,C24,76:76)+100</f>
        <v>100</v>
      </c>
      <c r="I24" s="258"/>
      <c r="J24" s="3865">
        <f>SUMIF(75:75,I24,76:76)-SUMIF(75:75,C24,76:76)+100</f>
        <v>100</v>
      </c>
      <c r="K24" s="395"/>
      <c r="L24" s="2013"/>
      <c r="M24" s="2008"/>
      <c r="N24" s="2008"/>
      <c r="O24" s="2008"/>
      <c r="P24" s="4599"/>
      <c r="Q24" s="932">
        <f t="shared" ref="Q24:Q36" si="11">B24</f>
        <v>111</v>
      </c>
      <c r="R24" s="3881" t="s">
        <v>13</v>
      </c>
      <c r="S24" s="3884">
        <f>F24</f>
        <v>100</v>
      </c>
      <c r="T24" s="3881" t="s">
        <v>13</v>
      </c>
      <c r="U24" s="3884">
        <f>H24</f>
        <v>100</v>
      </c>
      <c r="V24" s="3881" t="s">
        <v>13</v>
      </c>
      <c r="W24" s="3884">
        <f>J24</f>
        <v>100</v>
      </c>
      <c r="X24" s="935"/>
      <c r="Y24" s="4599"/>
      <c r="Z24" s="933">
        <f>Q24</f>
        <v>111</v>
      </c>
      <c r="AA24" s="933">
        <f t="shared" si="3"/>
        <v>1</v>
      </c>
      <c r="AB24" s="933">
        <f t="shared" si="4"/>
        <v>1</v>
      </c>
      <c r="AC24" s="933">
        <f t="shared" si="5"/>
        <v>1</v>
      </c>
    </row>
    <row r="25" spans="1:29" s="46" customFormat="1" ht="15.75" thickBot="1">
      <c r="A25" s="306"/>
      <c r="B25" s="409">
        <v>111</v>
      </c>
      <c r="C25" s="261"/>
      <c r="D25" s="2988">
        <v>100</v>
      </c>
      <c r="E25" s="402"/>
      <c r="F25" s="3878">
        <f>SUMIF(77:77,E25,78:78)-SUMIF(77:77,C25,78:78)+100</f>
        <v>100</v>
      </c>
      <c r="G25" s="402"/>
      <c r="H25" s="3879">
        <f>SUMIF(77:77,G25,78:78)-SUMIF(77:77,C25,78:78)+100</f>
        <v>100</v>
      </c>
      <c r="I25" s="402"/>
      <c r="J25" s="3879">
        <f>SUMIF(77:77,I25,78:78)-SUMIF(77:77,C25,78:78)+100</f>
        <v>100</v>
      </c>
      <c r="K25" s="395"/>
      <c r="L25" s="2009"/>
      <c r="M25" s="1962"/>
      <c r="N25" s="1962"/>
      <c r="O25" s="1962"/>
      <c r="P25" s="4599"/>
      <c r="Q25" s="389">
        <f t="shared" si="11"/>
        <v>111</v>
      </c>
      <c r="R25" s="3880" t="s">
        <v>13</v>
      </c>
      <c r="S25" s="3883">
        <f>F25</f>
        <v>100</v>
      </c>
      <c r="T25" s="3880" t="s">
        <v>13</v>
      </c>
      <c r="U25" s="3883">
        <f>H25</f>
        <v>100</v>
      </c>
      <c r="V25" s="3880" t="s">
        <v>13</v>
      </c>
      <c r="W25" s="3883">
        <f>J25</f>
        <v>100</v>
      </c>
      <c r="X25" s="482"/>
      <c r="Y25" s="4599"/>
      <c r="Z25" s="28">
        <f>Q25</f>
        <v>111</v>
      </c>
      <c r="AA25" s="933">
        <f>D25/F25</f>
        <v>1</v>
      </c>
      <c r="AB25" s="933">
        <f>D25/H25</f>
        <v>1</v>
      </c>
      <c r="AC25" s="933">
        <f>D25/J25</f>
        <v>1</v>
      </c>
    </row>
    <row r="26" spans="1:29" ht="28.5">
      <c r="A26" s="420" t="s">
        <v>1606</v>
      </c>
      <c r="B26" s="33" t="s">
        <v>1748</v>
      </c>
      <c r="C26" s="1451" t="str">
        <f>B1</f>
        <v>车库</v>
      </c>
      <c r="D26" s="2983">
        <v>100</v>
      </c>
      <c r="E26" s="266"/>
      <c r="F26" s="3870">
        <f>SUMIF(79:79,E26,80:80)-SUMIF(79:79,C26,80:80)+100</f>
        <v>0</v>
      </c>
      <c r="G26" s="266"/>
      <c r="H26" s="267">
        <f>SUMIF(79:79,G26,80:80)-SUMIF(79:79,C26,80:80)+100</f>
        <v>0</v>
      </c>
      <c r="I26" s="266"/>
      <c r="J26" s="267">
        <f>SUMIF(79:79,I26,80:80)-SUMIF(79:79,C26,80:80)+100</f>
        <v>0</v>
      </c>
      <c r="K26" s="394"/>
      <c r="L26" s="2013"/>
      <c r="M26" s="2008"/>
      <c r="N26" s="2008"/>
      <c r="O26" s="2008"/>
      <c r="P26" s="4706" t="s">
        <v>1608</v>
      </c>
      <c r="Q26" s="932" t="str">
        <f t="shared" si="11"/>
        <v>配套类型</v>
      </c>
      <c r="R26" s="3881" t="s">
        <v>13</v>
      </c>
      <c r="S26" s="3884">
        <f t="shared" ref="S26:S36" si="12">F26</f>
        <v>0</v>
      </c>
      <c r="T26" s="3881" t="s">
        <v>13</v>
      </c>
      <c r="U26" s="3884">
        <f t="shared" ref="U26:U36" si="13">H26</f>
        <v>0</v>
      </c>
      <c r="V26" s="3881" t="s">
        <v>13</v>
      </c>
      <c r="W26" s="3884">
        <f t="shared" ref="W26:W36" si="14">J26</f>
        <v>0</v>
      </c>
      <c r="X26" s="935"/>
      <c r="Y26" s="4603" t="s">
        <v>1608</v>
      </c>
      <c r="Z26" s="933" t="str">
        <f t="shared" ref="Z26:Z36" si="15">Q26</f>
        <v>配套类型</v>
      </c>
      <c r="AA26" s="933" t="e">
        <f t="shared" si="3"/>
        <v>#DIV/0!</v>
      </c>
      <c r="AB26" s="933" t="e">
        <f t="shared" si="4"/>
        <v>#DIV/0!</v>
      </c>
      <c r="AC26" s="933" t="e">
        <f t="shared" si="5"/>
        <v>#DIV/0!</v>
      </c>
    </row>
    <row r="27" spans="1:29" s="279" customFormat="1" ht="15">
      <c r="A27" s="421"/>
      <c r="B27" s="422" t="s">
        <v>1749</v>
      </c>
      <c r="C27" s="423"/>
      <c r="D27" s="2978">
        <v>100</v>
      </c>
      <c r="E27" s="423"/>
      <c r="F27" s="934">
        <f>SUMIF(81:81,E27,82:82)-SUMIF(81:81,C27,82:82)+100</f>
        <v>100</v>
      </c>
      <c r="G27" s="423"/>
      <c r="H27" s="3865">
        <f>SUMIF(81:81,G27,82:82)-SUMIF(81:81,C27,82:82)+100</f>
        <v>100</v>
      </c>
      <c r="I27" s="423"/>
      <c r="J27" s="3865">
        <f>SUMIF(81:81,I27,82:82)-SUMIF(81:81,C27,82:82)+100</f>
        <v>100</v>
      </c>
      <c r="K27" s="395"/>
      <c r="L27" s="2012"/>
      <c r="M27" s="2014"/>
      <c r="N27" s="2014"/>
      <c r="O27" s="2014"/>
      <c r="P27" s="4603"/>
      <c r="Q27" s="483" t="str">
        <f t="shared" si="11"/>
        <v>项目停车位配比</v>
      </c>
      <c r="R27" s="3882" t="s">
        <v>13</v>
      </c>
      <c r="S27" s="3885">
        <f t="shared" si="12"/>
        <v>100</v>
      </c>
      <c r="T27" s="3882" t="s">
        <v>13</v>
      </c>
      <c r="U27" s="3885">
        <f t="shared" si="13"/>
        <v>100</v>
      </c>
      <c r="V27" s="3882" t="s">
        <v>13</v>
      </c>
      <c r="W27" s="3885">
        <f t="shared" si="14"/>
        <v>100</v>
      </c>
      <c r="X27" s="484"/>
      <c r="Y27" s="4603"/>
      <c r="Z27" s="485" t="str">
        <f t="shared" si="15"/>
        <v>项目停车位配比</v>
      </c>
      <c r="AA27" s="933">
        <f t="shared" si="3"/>
        <v>1</v>
      </c>
      <c r="AB27" s="933">
        <f t="shared" si="4"/>
        <v>1</v>
      </c>
      <c r="AC27" s="933">
        <f t="shared" si="5"/>
        <v>1</v>
      </c>
    </row>
    <row r="28" spans="1:29" ht="15">
      <c r="A28" s="424"/>
      <c r="B28" s="422" t="s">
        <v>1750</v>
      </c>
      <c r="C28" s="275"/>
      <c r="D28" s="2980">
        <v>100</v>
      </c>
      <c r="E28" s="275"/>
      <c r="F28" s="934">
        <f>SUMIF(83:83,E28,84:84)-SUMIF(83:83,C28,84:84)+100</f>
        <v>100</v>
      </c>
      <c r="G28" s="275"/>
      <c r="H28" s="3865">
        <f>SUMIF(83:83,G28,84:84)-SUMIF(83:83,C28,84:84)+100</f>
        <v>100</v>
      </c>
      <c r="I28" s="275"/>
      <c r="J28" s="3865">
        <f>SUMIF(83:83,I28,84:84)-SUMIF(83:83,C28,84:84)+100</f>
        <v>100</v>
      </c>
      <c r="K28" s="394"/>
      <c r="L28" s="2013"/>
      <c r="M28" s="2008"/>
      <c r="N28" s="2008"/>
      <c r="O28" s="2008"/>
      <c r="P28" s="4603"/>
      <c r="Q28" s="932" t="str">
        <f t="shared" si="11"/>
        <v>公共部分装修</v>
      </c>
      <c r="R28" s="3881" t="s">
        <v>13</v>
      </c>
      <c r="S28" s="3884">
        <f t="shared" si="12"/>
        <v>100</v>
      </c>
      <c r="T28" s="3881" t="s">
        <v>13</v>
      </c>
      <c r="U28" s="3884">
        <f t="shared" si="13"/>
        <v>100</v>
      </c>
      <c r="V28" s="3881" t="s">
        <v>13</v>
      </c>
      <c r="W28" s="3884">
        <f t="shared" si="14"/>
        <v>100</v>
      </c>
      <c r="X28" s="935"/>
      <c r="Y28" s="4603"/>
      <c r="Z28" s="933" t="str">
        <f t="shared" si="15"/>
        <v>公共部分装修</v>
      </c>
      <c r="AA28" s="933">
        <f t="shared" si="3"/>
        <v>1</v>
      </c>
      <c r="AB28" s="933">
        <f t="shared" si="4"/>
        <v>1</v>
      </c>
      <c r="AC28" s="933">
        <f t="shared" si="5"/>
        <v>1</v>
      </c>
    </row>
    <row r="29" spans="1:29" ht="15">
      <c r="A29" s="424"/>
      <c r="B29" s="422" t="s">
        <v>1751</v>
      </c>
      <c r="C29" s="282"/>
      <c r="D29" s="2980">
        <v>100</v>
      </c>
      <c r="E29" s="282"/>
      <c r="F29" s="934" t="e">
        <f>LOOKUP(E29,86:86,87:87)-LOOKUP(C29,86:86,87:87)+100</f>
        <v>#N/A</v>
      </c>
      <c r="G29" s="282"/>
      <c r="H29" s="934" t="e">
        <f>LOOKUP(G29,86:86,87:87)-LOOKUP(C29,86:86,87:87)+100</f>
        <v>#N/A</v>
      </c>
      <c r="I29" s="282"/>
      <c r="J29" s="3865" t="e">
        <f>LOOKUP(I29,86:86,87:87)-LOOKUP(C29,86:86,87:87)+100</f>
        <v>#N/A</v>
      </c>
      <c r="K29" s="394"/>
      <c r="L29" s="2013"/>
      <c r="M29" s="2008"/>
      <c r="N29" s="2008"/>
      <c r="O29" s="2008"/>
      <c r="P29" s="4603"/>
      <c r="Q29" s="932" t="str">
        <f t="shared" si="11"/>
        <v>成新率</v>
      </c>
      <c r="R29" s="3881" t="s">
        <v>13</v>
      </c>
      <c r="S29" s="3884" t="e">
        <f t="shared" si="12"/>
        <v>#N/A</v>
      </c>
      <c r="T29" s="3881" t="s">
        <v>13</v>
      </c>
      <c r="U29" s="3884" t="e">
        <f t="shared" si="13"/>
        <v>#N/A</v>
      </c>
      <c r="V29" s="3881" t="s">
        <v>13</v>
      </c>
      <c r="W29" s="3884" t="e">
        <f t="shared" si="14"/>
        <v>#N/A</v>
      </c>
      <c r="X29" s="935"/>
      <c r="Y29" s="4603"/>
      <c r="Z29" s="933" t="str">
        <f t="shared" si="15"/>
        <v>成新率</v>
      </c>
      <c r="AA29" s="933" t="e">
        <f t="shared" si="3"/>
        <v>#N/A</v>
      </c>
      <c r="AB29" s="933" t="e">
        <f t="shared" si="4"/>
        <v>#N/A</v>
      </c>
      <c r="AC29" s="933" t="e">
        <f t="shared" si="5"/>
        <v>#N/A</v>
      </c>
    </row>
    <row r="30" spans="1:29" ht="15">
      <c r="A30" s="424"/>
      <c r="B30" s="422" t="s">
        <v>1752</v>
      </c>
      <c r="C30" s="425"/>
      <c r="D30" s="2980">
        <v>100</v>
      </c>
      <c r="E30" s="425"/>
      <c r="F30" s="934">
        <f>SUMIF(88:88,E30,89:89)-SUMIF(88:88,C30,89:89)+100</f>
        <v>100</v>
      </c>
      <c r="G30" s="425"/>
      <c r="H30" s="3865">
        <f>SUMIF(88:88,E30,89:89)-SUMIF(88:88,C30,89:89)+100</f>
        <v>100</v>
      </c>
      <c r="I30" s="425"/>
      <c r="J30" s="3865">
        <f>SUMIF(88:88,E30,89:89)-SUMIF(88:88,C30,89:89)+100</f>
        <v>100</v>
      </c>
      <c r="K30" s="394"/>
      <c r="L30" s="2013"/>
      <c r="M30" s="2008"/>
      <c r="N30" s="2008"/>
      <c r="O30" s="2008"/>
      <c r="P30" s="4603"/>
      <c r="Q30" s="932" t="str">
        <f t="shared" si="11"/>
        <v>物业等级</v>
      </c>
      <c r="R30" s="3881" t="s">
        <v>13</v>
      </c>
      <c r="S30" s="3884">
        <f t="shared" si="12"/>
        <v>100</v>
      </c>
      <c r="T30" s="3881" t="s">
        <v>13</v>
      </c>
      <c r="U30" s="3884">
        <f t="shared" si="13"/>
        <v>100</v>
      </c>
      <c r="V30" s="3881" t="s">
        <v>13</v>
      </c>
      <c r="W30" s="3884">
        <f t="shared" si="14"/>
        <v>100</v>
      </c>
      <c r="X30" s="935"/>
      <c r="Y30" s="4603"/>
      <c r="Z30" s="933" t="str">
        <f t="shared" si="15"/>
        <v>物业等级</v>
      </c>
      <c r="AA30" s="933">
        <f t="shared" si="3"/>
        <v>1</v>
      </c>
      <c r="AB30" s="933">
        <f t="shared" si="4"/>
        <v>1</v>
      </c>
      <c r="AC30" s="933">
        <f t="shared" si="5"/>
        <v>1</v>
      </c>
    </row>
    <row r="31" spans="1:29" s="46" customFormat="1" ht="15">
      <c r="A31" s="426"/>
      <c r="B31" s="422" t="s">
        <v>1753</v>
      </c>
      <c r="C31" s="278"/>
      <c r="D31" s="2978">
        <v>100</v>
      </c>
      <c r="E31" s="278"/>
      <c r="F31" s="934" t="e">
        <f>LOOKUP(E31,91:91,92:92)-LOOKUP(C31,91:91,92:92)+100</f>
        <v>#N/A</v>
      </c>
      <c r="G31" s="278"/>
      <c r="H31" s="3865" t="e">
        <f>LOOKUP(G31,91:91,92:92)-LOOKUP(C31,91:91,92:92)+100</f>
        <v>#N/A</v>
      </c>
      <c r="I31" s="278"/>
      <c r="J31" s="3865" t="e">
        <f>LOOKUP(I31,91:91,92:92)-LOOKUP(C31,91:91,92:92)+100</f>
        <v>#N/A</v>
      </c>
      <c r="K31" s="394"/>
      <c r="L31" s="2009"/>
      <c r="M31" s="1962"/>
      <c r="N31" s="1962"/>
      <c r="O31" s="1962"/>
      <c r="P31" s="4603"/>
      <c r="Q31" s="389" t="str">
        <f t="shared" si="11"/>
        <v>停车位面积</v>
      </c>
      <c r="R31" s="3880" t="s">
        <v>13</v>
      </c>
      <c r="S31" s="3883" t="e">
        <f t="shared" si="12"/>
        <v>#N/A</v>
      </c>
      <c r="T31" s="3880" t="s">
        <v>13</v>
      </c>
      <c r="U31" s="3883" t="e">
        <f t="shared" si="13"/>
        <v>#N/A</v>
      </c>
      <c r="V31" s="3880" t="s">
        <v>13</v>
      </c>
      <c r="W31" s="3883" t="e">
        <f t="shared" si="14"/>
        <v>#N/A</v>
      </c>
      <c r="X31" s="482"/>
      <c r="Y31" s="4603"/>
      <c r="Z31" s="28" t="str">
        <f t="shared" si="15"/>
        <v>停车位面积</v>
      </c>
      <c r="AA31" s="28" t="e">
        <f t="shared" si="3"/>
        <v>#N/A</v>
      </c>
      <c r="AB31" s="28" t="e">
        <f t="shared" si="4"/>
        <v>#N/A</v>
      </c>
      <c r="AC31" s="28" t="e">
        <f t="shared" si="5"/>
        <v>#N/A</v>
      </c>
    </row>
    <row r="32" spans="1:29" ht="15">
      <c r="A32" s="424"/>
      <c r="B32" s="422" t="s">
        <v>1754</v>
      </c>
      <c r="C32" s="275"/>
      <c r="D32" s="2980">
        <v>100</v>
      </c>
      <c r="E32" s="275"/>
      <c r="F32" s="934">
        <f>SUMIF(93:93,E32,94:94)-SUMIF(93:93,C32,94:94)+100</f>
        <v>100</v>
      </c>
      <c r="G32" s="275"/>
      <c r="H32" s="3865">
        <f>SUMIF(93:93,G32,94:94)-SUMIF(93:93,C32,94:94)+100</f>
        <v>100</v>
      </c>
      <c r="I32" s="275"/>
      <c r="J32" s="3865">
        <f>SUMIF(93:93,I32,94:94)-SUMIF(93:93,C32,94:94)+100</f>
        <v>100</v>
      </c>
      <c r="K32" s="394"/>
      <c r="L32" s="2013"/>
      <c r="M32" s="2008"/>
      <c r="N32" s="2008"/>
      <c r="O32" s="2008"/>
      <c r="P32" s="4603" t="s">
        <v>1608</v>
      </c>
      <c r="Q32" s="932" t="str">
        <f t="shared" si="11"/>
        <v>车位类型</v>
      </c>
      <c r="R32" s="3881" t="s">
        <v>13</v>
      </c>
      <c r="S32" s="3884">
        <f t="shared" si="12"/>
        <v>100</v>
      </c>
      <c r="T32" s="3881" t="s">
        <v>13</v>
      </c>
      <c r="U32" s="3884">
        <f t="shared" si="13"/>
        <v>100</v>
      </c>
      <c r="V32" s="3881" t="s">
        <v>13</v>
      </c>
      <c r="W32" s="3884">
        <f t="shared" si="14"/>
        <v>100</v>
      </c>
      <c r="X32" s="935"/>
      <c r="Y32" s="4603" t="s">
        <v>1608</v>
      </c>
      <c r="Z32" s="933" t="str">
        <f t="shared" si="15"/>
        <v>车位类型</v>
      </c>
      <c r="AA32" s="933">
        <f t="shared" si="3"/>
        <v>1</v>
      </c>
      <c r="AB32" s="933">
        <f t="shared" si="4"/>
        <v>1</v>
      </c>
      <c r="AC32" s="933">
        <f t="shared" si="5"/>
        <v>1</v>
      </c>
    </row>
    <row r="33" spans="1:29" ht="15">
      <c r="A33" s="424"/>
      <c r="B33" s="422" t="s">
        <v>1755</v>
      </c>
      <c r="C33" s="275"/>
      <c r="D33" s="2980">
        <v>100</v>
      </c>
      <c r="E33" s="275"/>
      <c r="F33" s="934">
        <f>SUMIF(95:95,E33,96:96)-SUMIF(95:95,C33,96:96)+100</f>
        <v>100</v>
      </c>
      <c r="G33" s="275"/>
      <c r="H33" s="3865">
        <f>SUMIF(95:95,G33,96:96)-SUMIF(95:95,C33,96:96)+100</f>
        <v>100</v>
      </c>
      <c r="I33" s="275"/>
      <c r="J33" s="3865">
        <f>SUMIF(95:95,I33,96:96)-SUMIF(95:95,C33,96:96)+100</f>
        <v>100</v>
      </c>
      <c r="K33" s="394"/>
      <c r="L33" s="2013"/>
      <c r="M33" s="2008"/>
      <c r="N33" s="2008"/>
      <c r="O33" s="2008"/>
      <c r="P33" s="4603"/>
      <c r="Q33" s="932" t="str">
        <f t="shared" si="11"/>
        <v>是否直接入户</v>
      </c>
      <c r="R33" s="3881" t="s">
        <v>13</v>
      </c>
      <c r="S33" s="3884">
        <f t="shared" si="12"/>
        <v>100</v>
      </c>
      <c r="T33" s="3881" t="s">
        <v>13</v>
      </c>
      <c r="U33" s="3884">
        <f t="shared" si="13"/>
        <v>100</v>
      </c>
      <c r="V33" s="3881" t="s">
        <v>13</v>
      </c>
      <c r="W33" s="3884">
        <f t="shared" si="14"/>
        <v>100</v>
      </c>
      <c r="X33" s="935"/>
      <c r="Y33" s="4603"/>
      <c r="Z33" s="933" t="str">
        <f t="shared" si="15"/>
        <v>是否直接入户</v>
      </c>
      <c r="AA33" s="933">
        <f t="shared" si="3"/>
        <v>1</v>
      </c>
      <c r="AB33" s="933">
        <f t="shared" si="4"/>
        <v>1</v>
      </c>
      <c r="AC33" s="933">
        <f t="shared" si="5"/>
        <v>1</v>
      </c>
    </row>
    <row r="34" spans="1:29" ht="15">
      <c r="A34" s="424"/>
      <c r="B34" s="311">
        <v>111</v>
      </c>
      <c r="C34" s="258"/>
      <c r="D34" s="2980">
        <v>100</v>
      </c>
      <c r="E34" s="258"/>
      <c r="F34" s="934">
        <f>SUMIF(97:97,E34,98:98)-SUMIF(97:97,C34,98:98)+100</f>
        <v>100</v>
      </c>
      <c r="G34" s="258"/>
      <c r="H34" s="3865">
        <f>SUMIF(97:97,G34,98:98)-SUMIF(97:97,C34,98:98)+100</f>
        <v>100</v>
      </c>
      <c r="I34" s="258"/>
      <c r="J34" s="3865">
        <f>SUMIF(97:97,I34,98:98)-SUMIF(97:97,C34,98:98)+100</f>
        <v>100</v>
      </c>
      <c r="K34" s="395"/>
      <c r="L34" s="2013"/>
      <c r="M34" s="2008"/>
      <c r="N34" s="2008"/>
      <c r="O34" s="2008"/>
      <c r="P34" s="4603"/>
      <c r="Q34" s="932">
        <f t="shared" si="11"/>
        <v>111</v>
      </c>
      <c r="R34" s="3881" t="s">
        <v>13</v>
      </c>
      <c r="S34" s="3884">
        <f t="shared" si="12"/>
        <v>100</v>
      </c>
      <c r="T34" s="3881" t="s">
        <v>13</v>
      </c>
      <c r="U34" s="3884">
        <f t="shared" si="13"/>
        <v>100</v>
      </c>
      <c r="V34" s="3881" t="s">
        <v>13</v>
      </c>
      <c r="W34" s="3884">
        <f t="shared" si="14"/>
        <v>100</v>
      </c>
      <c r="X34" s="935"/>
      <c r="Y34" s="4603"/>
      <c r="Z34" s="933">
        <f t="shared" si="15"/>
        <v>111</v>
      </c>
      <c r="AA34" s="933">
        <f t="shared" si="3"/>
        <v>1</v>
      </c>
      <c r="AB34" s="933">
        <f t="shared" si="4"/>
        <v>1</v>
      </c>
      <c r="AC34" s="933">
        <f t="shared" si="5"/>
        <v>1</v>
      </c>
    </row>
    <row r="35" spans="1:29" s="279" customFormat="1" ht="15">
      <c r="A35" s="421"/>
      <c r="B35" s="311">
        <v>111</v>
      </c>
      <c r="C35" s="258"/>
      <c r="D35" s="2980">
        <v>100</v>
      </c>
      <c r="E35" s="258"/>
      <c r="F35" s="934">
        <f>SUMIF(99:99,E35,100:100)-SUMIF(99:99,C35,100:100)+100</f>
        <v>100</v>
      </c>
      <c r="G35" s="258"/>
      <c r="H35" s="3865">
        <f>SUMIF(99:99,G35,100:100)-SUMIF(99:99,C35,100:100)+100</f>
        <v>100</v>
      </c>
      <c r="I35" s="258"/>
      <c r="J35" s="3865">
        <f>SUMIF(99:99,I35,100:100)-SUMIF(99:99,C35,100:100)+100</f>
        <v>100</v>
      </c>
      <c r="K35" s="395"/>
      <c r="L35" s="2012"/>
      <c r="M35" s="2014"/>
      <c r="N35" s="2014"/>
      <c r="O35" s="2014"/>
      <c r="P35" s="4603"/>
      <c r="Q35" s="483">
        <f t="shared" si="11"/>
        <v>111</v>
      </c>
      <c r="R35" s="3882" t="s">
        <v>13</v>
      </c>
      <c r="S35" s="3885">
        <f t="shared" si="12"/>
        <v>100</v>
      </c>
      <c r="T35" s="3882" t="s">
        <v>13</v>
      </c>
      <c r="U35" s="3885">
        <f t="shared" si="13"/>
        <v>100</v>
      </c>
      <c r="V35" s="3882" t="s">
        <v>13</v>
      </c>
      <c r="W35" s="3885">
        <f t="shared" si="14"/>
        <v>100</v>
      </c>
      <c r="X35" s="484"/>
      <c r="Y35" s="4603"/>
      <c r="Z35" s="485">
        <f t="shared" si="15"/>
        <v>111</v>
      </c>
      <c r="AA35" s="933">
        <f t="shared" si="3"/>
        <v>1</v>
      </c>
      <c r="AB35" s="933">
        <f t="shared" si="4"/>
        <v>1</v>
      </c>
      <c r="AC35" s="933">
        <f t="shared" si="5"/>
        <v>1</v>
      </c>
    </row>
    <row r="36" spans="1:29" ht="15.75" thickBot="1">
      <c r="A36" s="427"/>
      <c r="B36" s="409">
        <v>111</v>
      </c>
      <c r="C36" s="259"/>
      <c r="D36" s="2980">
        <v>100</v>
      </c>
      <c r="E36" s="258"/>
      <c r="F36" s="934">
        <f>SUMIF(101:101,E36,102:102)-SUMIF(101:101,C36,102:102)+100</f>
        <v>100</v>
      </c>
      <c r="G36" s="258"/>
      <c r="H36" s="3865">
        <f>SUMIF(101:101,G36,102:102)-SUMIF(101:101,C36,102:102)+100</f>
        <v>100</v>
      </c>
      <c r="I36" s="258"/>
      <c r="J36" s="3865">
        <f>SUMIF(101:101,I36,102:102)-SUMIF(101:101,C36,102:102)+100</f>
        <v>100</v>
      </c>
      <c r="K36" s="395"/>
      <c r="L36" s="2013"/>
      <c r="M36" s="2008"/>
      <c r="N36" s="2008"/>
      <c r="O36" s="2008"/>
      <c r="P36" s="4603"/>
      <c r="Q36" s="932">
        <f t="shared" si="11"/>
        <v>111</v>
      </c>
      <c r="R36" s="3881" t="s">
        <v>13</v>
      </c>
      <c r="S36" s="3884">
        <f t="shared" si="12"/>
        <v>100</v>
      </c>
      <c r="T36" s="3881" t="s">
        <v>13</v>
      </c>
      <c r="U36" s="3884">
        <f t="shared" si="13"/>
        <v>100</v>
      </c>
      <c r="V36" s="3881" t="s">
        <v>13</v>
      </c>
      <c r="W36" s="3884">
        <f t="shared" si="14"/>
        <v>100</v>
      </c>
      <c r="X36" s="935"/>
      <c r="Y36" s="4603"/>
      <c r="Z36" s="933">
        <f t="shared" si="15"/>
        <v>111</v>
      </c>
      <c r="AA36" s="933">
        <f t="shared" si="3"/>
        <v>1</v>
      </c>
      <c r="AB36" s="933">
        <f t="shared" si="4"/>
        <v>1</v>
      </c>
      <c r="AC36" s="933">
        <f t="shared" si="5"/>
        <v>1</v>
      </c>
    </row>
    <row r="37" spans="1:29" ht="15">
      <c r="A37" s="286" t="s">
        <v>1756</v>
      </c>
      <c r="B37" s="1452" t="s">
        <v>3236</v>
      </c>
      <c r="C37" s="787" t="s">
        <v>0</v>
      </c>
      <c r="D37" s="288"/>
      <c r="E37" s="3311"/>
      <c r="F37" s="3259"/>
      <c r="G37" s="3312"/>
      <c r="H37" s="3260"/>
      <c r="I37" s="3311"/>
      <c r="J37" s="3260"/>
      <c r="K37" s="3313"/>
      <c r="L37" s="2015"/>
      <c r="M37" s="2008"/>
      <c r="N37" s="2008"/>
      <c r="O37" s="2008"/>
      <c r="P37" s="4698" t="str">
        <f>A37</f>
        <v>成交单价</v>
      </c>
      <c r="Q37" s="4698"/>
      <c r="R37" s="4691">
        <f>E37</f>
        <v>0</v>
      </c>
      <c r="S37" s="4691"/>
      <c r="T37" s="4691">
        <f>G37</f>
        <v>0</v>
      </c>
      <c r="U37" s="4691"/>
      <c r="V37" s="4691">
        <f>I37</f>
        <v>0</v>
      </c>
      <c r="W37" s="4691"/>
      <c r="X37" s="265"/>
      <c r="Y37" s="486"/>
      <c r="Z37" s="265"/>
      <c r="AA37" s="265"/>
      <c r="AB37" s="265"/>
      <c r="AC37" s="265"/>
    </row>
    <row r="38" spans="1:29" ht="15.75" thickBot="1">
      <c r="A38" s="289" t="s">
        <v>1757</v>
      </c>
      <c r="B38" s="290" t="str">
        <f>B37</f>
        <v>元/平方米</v>
      </c>
      <c r="C38" s="3847" t="e">
        <f>R39</f>
        <v>#DIV/0!</v>
      </c>
      <c r="D38" s="3960" t="s">
        <v>2047</v>
      </c>
      <c r="E38" s="3858" t="e">
        <f>R38</f>
        <v>#DIV/0!</v>
      </c>
      <c r="F38" s="2878"/>
      <c r="G38" s="3847" t="e">
        <f>T38</f>
        <v>#DIV/0!</v>
      </c>
      <c r="H38" s="2878"/>
      <c r="I38" s="3858" t="e">
        <f>V38</f>
        <v>#DIV/0!</v>
      </c>
      <c r="J38" s="2878"/>
      <c r="K38" s="2932">
        <f>F38+H38+J38</f>
        <v>0</v>
      </c>
      <c r="L38" s="2015"/>
      <c r="M38" s="2008"/>
      <c r="N38" s="2008"/>
      <c r="O38" s="2008"/>
      <c r="P38" s="4698" t="str">
        <f>A38</f>
        <v>比较价值（元/平方米）</v>
      </c>
      <c r="Q38" s="4698"/>
      <c r="R38" s="4691" t="e">
        <f>IF(F1="售价",ROUND(PRODUCT(R37,AA7:AA36),0),ROUND(PRODUCT(R37,AA7:AA36),1))</f>
        <v>#DIV/0!</v>
      </c>
      <c r="S38" s="4691"/>
      <c r="T38" s="4691" t="e">
        <f>IF(F1="售价",ROUND(PRODUCT(T37,AB7:AB36),0),ROUND(PRODUCT(T37,AB7:AB36),1))</f>
        <v>#DIV/0!</v>
      </c>
      <c r="U38" s="4691"/>
      <c r="V38" s="4691" t="e">
        <f>IF(F1="售价",ROUND(PRODUCT(V37,AC7:AC36),0),ROUND(PRODUCT(V37,AC7:AC36),1))</f>
        <v>#DIV/0!</v>
      </c>
      <c r="W38" s="4691"/>
      <c r="X38" s="265"/>
      <c r="Y38" s="265"/>
      <c r="Z38" s="265"/>
      <c r="AA38" s="265"/>
      <c r="AB38" s="265"/>
      <c r="AC38" s="265"/>
    </row>
    <row r="39" spans="1:29" ht="15.75" thickBot="1">
      <c r="A39" s="291" t="s">
        <v>1758</v>
      </c>
      <c r="B39" s="292"/>
      <c r="C39" s="3859" t="e">
        <f>R39</f>
        <v>#DIV/0!</v>
      </c>
      <c r="D39" s="241"/>
      <c r="E39" s="241"/>
      <c r="F39" s="241"/>
      <c r="G39" s="241"/>
      <c r="H39" s="241"/>
      <c r="I39" s="241"/>
      <c r="J39" s="241"/>
      <c r="K39" s="399"/>
      <c r="L39" s="2015"/>
      <c r="M39" s="2008"/>
      <c r="N39" s="2008"/>
      <c r="O39" s="2008"/>
      <c r="P39" s="4707" t="str">
        <f>A39</f>
        <v>估价对象XX用房的比较价值（楼面单价，元/平方米）</v>
      </c>
      <c r="Q39" s="4708"/>
      <c r="R39" s="4709" t="e">
        <f>IF(F1="售价",ROUND(IF(D38="简单平均",AVERAGE(R38:W38),R38*F38+T38*H38+V38*J38),0),ROUND(IF(D38="简单平均",AVERAGE(R38:V38),R38*F38+T38*H38+V38*J38),1))</f>
        <v>#DIV/0!</v>
      </c>
      <c r="S39" s="4709"/>
      <c r="T39" s="4709"/>
      <c r="U39" s="4709"/>
      <c r="V39" s="4709"/>
      <c r="W39" s="4709"/>
      <c r="X39" s="265"/>
      <c r="Y39" s="265"/>
      <c r="Z39" s="265"/>
      <c r="AA39" s="265"/>
      <c r="AB39" s="265"/>
      <c r="AC39" s="265"/>
    </row>
    <row r="40" spans="1:29">
      <c r="A40" s="2008"/>
      <c r="B40" s="2008"/>
      <c r="C40" s="2008"/>
      <c r="D40" s="2008"/>
      <c r="E40" s="2008"/>
      <c r="F40" s="2008"/>
      <c r="G40" s="2019"/>
      <c r="H40" s="2008"/>
      <c r="I40" s="2008"/>
      <c r="J40" s="2008"/>
      <c r="K40" s="2020"/>
      <c r="L40" s="2016"/>
      <c r="M40" s="2008"/>
      <c r="N40" s="2008"/>
      <c r="O40" s="2008"/>
      <c r="P40" s="2045"/>
      <c r="Q40" s="2008"/>
      <c r="R40" s="2008"/>
      <c r="S40" s="2008"/>
      <c r="T40" s="2008"/>
      <c r="U40" s="2008"/>
      <c r="V40" s="2008"/>
      <c r="W40" s="2008"/>
      <c r="X40" s="2008"/>
      <c r="Y40" s="2008"/>
      <c r="Z40" s="2008"/>
      <c r="AA40" s="2008"/>
      <c r="AB40" s="2008"/>
      <c r="AC40" s="2008"/>
    </row>
    <row r="41" spans="1:29">
      <c r="A41" s="2008"/>
      <c r="B41" s="2008"/>
      <c r="C41" s="2008"/>
      <c r="D41" s="2008"/>
      <c r="E41" s="2008"/>
      <c r="F41" s="2008"/>
      <c r="G41" s="2008"/>
      <c r="H41" s="2008"/>
      <c r="I41" s="2008"/>
      <c r="J41" s="2008"/>
      <c r="K41" s="2020"/>
      <c r="L41" s="2016"/>
      <c r="M41" s="2008"/>
      <c r="N41" s="2008"/>
      <c r="O41" s="2008"/>
      <c r="P41" s="2045"/>
      <c r="Q41" s="2008"/>
      <c r="R41" s="2008"/>
      <c r="S41" s="2008"/>
      <c r="T41" s="2008"/>
      <c r="U41" s="2008"/>
      <c r="V41" s="2008"/>
      <c r="W41" s="2008"/>
      <c r="X41" s="2008"/>
      <c r="Y41" s="2008"/>
      <c r="Z41" s="2008"/>
      <c r="AA41" s="2008"/>
      <c r="AB41" s="2008"/>
      <c r="AC41" s="2008"/>
    </row>
    <row r="42" spans="1:29" ht="13.5" customHeight="1">
      <c r="A42" s="2008"/>
      <c r="B42" s="2008"/>
      <c r="C42" s="296" t="s">
        <v>1759</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2020"/>
      <c r="L42" s="2016"/>
      <c r="M42" s="2008"/>
      <c r="N42" s="2008"/>
      <c r="O42" s="2008"/>
      <c r="P42" s="2045"/>
      <c r="Q42" s="2008"/>
      <c r="R42" s="2008"/>
      <c r="S42" s="2008"/>
      <c r="T42" s="2008"/>
      <c r="U42" s="2008"/>
      <c r="V42" s="2008"/>
      <c r="W42" s="2008"/>
      <c r="X42" s="2008"/>
      <c r="Y42" s="2008"/>
      <c r="Z42" s="2008"/>
      <c r="AA42" s="2008"/>
      <c r="AB42" s="2008"/>
      <c r="AC42" s="2008"/>
    </row>
    <row r="43" spans="1:29" ht="13.5" customHeight="1">
      <c r="A43" s="2008"/>
      <c r="B43" s="2008"/>
      <c r="C43" s="296" t="s">
        <v>1760</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2020"/>
      <c r="L43" s="2016"/>
      <c r="M43" s="2008"/>
      <c r="N43" s="2008"/>
      <c r="O43" s="2008"/>
      <c r="P43" s="2045"/>
      <c r="Q43" s="2008"/>
      <c r="R43" s="2008"/>
      <c r="S43" s="2008"/>
      <c r="T43" s="2008"/>
      <c r="U43" s="2008"/>
      <c r="V43" s="2008"/>
      <c r="W43" s="2008"/>
      <c r="X43" s="2008"/>
      <c r="Y43" s="2008"/>
      <c r="Z43" s="2008"/>
      <c r="AA43" s="2008"/>
      <c r="AB43" s="2008"/>
      <c r="AC43" s="2008"/>
    </row>
    <row r="44" spans="1:29" s="301" customFormat="1" ht="13.5" customHeight="1">
      <c r="A44" s="2018"/>
      <c r="B44" s="2018"/>
      <c r="C44" s="296" t="s">
        <v>1761</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2023"/>
      <c r="L44" s="2017"/>
      <c r="M44" s="2018"/>
      <c r="N44" s="2018"/>
      <c r="O44" s="2018"/>
      <c r="P44" s="2046"/>
      <c r="Q44" s="2018"/>
      <c r="R44" s="2018"/>
      <c r="S44" s="2018"/>
      <c r="T44" s="2018"/>
      <c r="U44" s="2018"/>
      <c r="V44" s="2018"/>
      <c r="W44" s="2018"/>
      <c r="X44" s="2018"/>
      <c r="Y44" s="2018"/>
      <c r="Z44" s="2018"/>
      <c r="AA44" s="2018"/>
      <c r="AB44" s="2018"/>
      <c r="AC44" s="2018"/>
    </row>
    <row r="45" spans="1:29" s="301" customFormat="1">
      <c r="A45" s="2018"/>
      <c r="B45" s="2021"/>
      <c r="C45" s="2022"/>
      <c r="D45" s="2018"/>
      <c r="E45" s="2018"/>
      <c r="F45" s="2018"/>
      <c r="G45" s="2018"/>
      <c r="H45" s="2018"/>
      <c r="I45" s="2018"/>
      <c r="J45" s="2018"/>
      <c r="K45" s="2023"/>
      <c r="L45" s="2017"/>
      <c r="M45" s="2018"/>
      <c r="N45" s="2018"/>
      <c r="O45" s="2018"/>
      <c r="P45" s="2046"/>
      <c r="Q45" s="2018"/>
      <c r="R45" s="2018"/>
      <c r="S45" s="2018"/>
      <c r="T45" s="2018"/>
      <c r="U45" s="2018"/>
      <c r="V45" s="2018"/>
      <c r="W45" s="2018"/>
      <c r="X45" s="2018"/>
      <c r="Y45" s="2018"/>
      <c r="Z45" s="2018"/>
      <c r="AA45" s="2018"/>
      <c r="AB45" s="2018"/>
      <c r="AC45" s="2018"/>
    </row>
    <row r="46" spans="1:29">
      <c r="A46" s="2008"/>
      <c r="B46" s="2021"/>
      <c r="C46" s="2022"/>
      <c r="D46" s="2008"/>
      <c r="E46" s="2008"/>
      <c r="F46" s="2008"/>
      <c r="G46" s="2008"/>
      <c r="H46" s="2008"/>
      <c r="I46" s="2008"/>
      <c r="J46" s="2008"/>
      <c r="K46" s="2020"/>
      <c r="L46" s="2016"/>
      <c r="M46" s="2008"/>
      <c r="N46" s="2008"/>
      <c r="O46" s="2008"/>
      <c r="P46" s="2045"/>
      <c r="Q46" s="2008"/>
      <c r="R46" s="2008"/>
      <c r="S46" s="2008"/>
      <c r="T46" s="2008"/>
      <c r="U46" s="2008"/>
      <c r="V46" s="2008"/>
      <c r="W46" s="2008"/>
      <c r="X46" s="2008"/>
      <c r="Y46" s="2008"/>
      <c r="Z46" s="2008"/>
      <c r="AA46" s="2008"/>
      <c r="AB46" s="2008"/>
      <c r="AC46" s="2008"/>
    </row>
    <row r="47" spans="1:29" ht="21.75" thickBot="1">
      <c r="A47" s="791" t="s">
        <v>1762</v>
      </c>
      <c r="B47" s="611"/>
      <c r="C47" s="636"/>
      <c r="D47" s="636"/>
      <c r="E47" s="636"/>
      <c r="F47" s="792"/>
      <c r="G47" s="792"/>
      <c r="H47" s="636"/>
      <c r="I47" s="636"/>
      <c r="J47" s="636"/>
      <c r="K47" s="637"/>
      <c r="L47" s="638"/>
      <c r="M47" s="636"/>
      <c r="N47" s="2058"/>
      <c r="O47" s="2058"/>
      <c r="P47" s="2047"/>
      <c r="Q47" s="2029"/>
      <c r="R47" s="2008"/>
      <c r="S47" s="2008"/>
      <c r="T47" s="2008"/>
      <c r="U47" s="2008"/>
      <c r="V47" s="2008"/>
      <c r="W47" s="2008"/>
      <c r="X47" s="2008"/>
      <c r="Y47" s="2008"/>
      <c r="Z47" s="2008"/>
      <c r="AA47" s="2008"/>
      <c r="AB47" s="2008"/>
      <c r="AC47" s="2008"/>
    </row>
    <row r="48" spans="1:29" s="305" customFormat="1" ht="15">
      <c r="A48" s="303" t="s">
        <v>1763</v>
      </c>
      <c r="B48" s="304"/>
      <c r="C48" s="803" t="str">
        <f>YEAR(C7)&amp;"-"&amp;MONTH(C7)</f>
        <v>2026-1</v>
      </c>
      <c r="D48" s="804">
        <f>EDATE(C48,-1)</f>
        <v>45992</v>
      </c>
      <c r="E48" s="804">
        <f t="shared" ref="E48:O48" si="16">EDATE(D48,-1)</f>
        <v>45962</v>
      </c>
      <c r="F48" s="804">
        <f t="shared" si="16"/>
        <v>45931</v>
      </c>
      <c r="G48" s="804">
        <f t="shared" si="16"/>
        <v>45901</v>
      </c>
      <c r="H48" s="804">
        <f t="shared" si="16"/>
        <v>45870</v>
      </c>
      <c r="I48" s="804">
        <f t="shared" si="16"/>
        <v>45839</v>
      </c>
      <c r="J48" s="804">
        <f t="shared" si="16"/>
        <v>45809</v>
      </c>
      <c r="K48" s="804">
        <f t="shared" si="16"/>
        <v>45778</v>
      </c>
      <c r="L48" s="804">
        <f t="shared" si="16"/>
        <v>45748</v>
      </c>
      <c r="M48" s="804">
        <f t="shared" si="16"/>
        <v>45717</v>
      </c>
      <c r="N48" s="804">
        <f t="shared" si="16"/>
        <v>45689</v>
      </c>
      <c r="O48" s="804">
        <f t="shared" si="16"/>
        <v>45658</v>
      </c>
      <c r="P48" s="2048"/>
      <c r="Q48" s="2031"/>
      <c r="R48" s="2031"/>
      <c r="S48" s="2031"/>
      <c r="T48" s="2031"/>
      <c r="U48" s="2031"/>
      <c r="V48" s="2031"/>
      <c r="W48" s="2031"/>
      <c r="X48" s="2031"/>
      <c r="Y48" s="2031"/>
      <c r="Z48" s="2031"/>
      <c r="AA48" s="2031"/>
      <c r="AB48" s="2031"/>
      <c r="AC48" s="2031"/>
    </row>
    <row r="49" spans="1:29" s="46" customFormat="1" ht="15">
      <c r="A49" s="306"/>
      <c r="B49" s="307"/>
      <c r="C49" s="798">
        <v>100</v>
      </c>
      <c r="D49" s="309"/>
      <c r="E49" s="309"/>
      <c r="F49" s="309"/>
      <c r="G49" s="309"/>
      <c r="H49" s="309"/>
      <c r="I49" s="309"/>
      <c r="J49" s="309"/>
      <c r="K49" s="309"/>
      <c r="L49" s="309"/>
      <c r="M49" s="310"/>
      <c r="N49" s="309"/>
      <c r="O49" s="310"/>
      <c r="P49" s="2049"/>
      <c r="Q49" s="1962"/>
      <c r="R49" s="1962"/>
      <c r="S49" s="1962"/>
      <c r="T49" s="1962"/>
      <c r="U49" s="1962"/>
      <c r="V49" s="1962"/>
      <c r="W49" s="1962"/>
      <c r="X49" s="1962"/>
      <c r="Y49" s="1962"/>
      <c r="Z49" s="1962"/>
      <c r="AA49" s="1962"/>
      <c r="AB49" s="1962"/>
      <c r="AC49" s="1962"/>
    </row>
    <row r="50" spans="1:29" s="46" customFormat="1" ht="15.75" thickBot="1">
      <c r="A50" s="312" t="s">
        <v>1628</v>
      </c>
      <c r="B50" s="313"/>
      <c r="C50" s="314"/>
      <c r="D50" s="315"/>
      <c r="E50" s="315"/>
      <c r="F50" s="315"/>
      <c r="G50" s="315"/>
      <c r="H50" s="315"/>
      <c r="I50" s="315"/>
      <c r="J50" s="315"/>
      <c r="K50" s="315"/>
      <c r="L50" s="315"/>
      <c r="M50" s="316"/>
      <c r="N50" s="315"/>
      <c r="O50" s="316"/>
      <c r="P50" s="2049"/>
      <c r="Q50" s="2029"/>
      <c r="R50" s="1962"/>
      <c r="S50" s="1962"/>
      <c r="T50" s="1962"/>
      <c r="U50" s="1962"/>
      <c r="V50" s="1962"/>
      <c r="W50" s="1962"/>
      <c r="X50" s="1962"/>
      <c r="Y50" s="1962"/>
      <c r="Z50" s="1962"/>
      <c r="AA50" s="1962"/>
      <c r="AB50" s="1962"/>
      <c r="AC50" s="1962"/>
    </row>
    <row r="51" spans="1:29" s="46" customFormat="1" ht="15">
      <c r="A51" s="318" t="s">
        <v>1593</v>
      </c>
      <c r="B51" s="307"/>
      <c r="C51" s="319" t="s">
        <v>1688</v>
      </c>
      <c r="D51" s="20"/>
      <c r="E51" s="20"/>
      <c r="F51" s="20"/>
      <c r="G51" s="20"/>
      <c r="H51" s="20"/>
      <c r="I51" s="20"/>
      <c r="J51" s="20"/>
      <c r="K51" s="20"/>
      <c r="L51" s="320"/>
      <c r="M51" s="321"/>
      <c r="N51" s="2041"/>
      <c r="O51" s="2041"/>
      <c r="P51" s="2050"/>
      <c r="Q51" s="2029"/>
      <c r="R51" s="1962"/>
      <c r="S51" s="1962"/>
      <c r="T51" s="1962"/>
      <c r="U51" s="1962"/>
      <c r="V51" s="1962"/>
      <c r="W51" s="1962"/>
      <c r="X51" s="1962"/>
      <c r="Y51" s="1962"/>
      <c r="Z51" s="1962"/>
      <c r="AA51" s="1962"/>
      <c r="AB51" s="1962"/>
      <c r="AC51" s="1962"/>
    </row>
    <row r="52" spans="1:29" s="46" customFormat="1" ht="15.75" thickBot="1">
      <c r="A52" s="318"/>
      <c r="B52" s="307"/>
      <c r="C52" s="411">
        <v>100</v>
      </c>
      <c r="D52" s="309"/>
      <c r="E52" s="309"/>
      <c r="F52" s="309"/>
      <c r="G52" s="309"/>
      <c r="H52" s="309"/>
      <c r="I52" s="309"/>
      <c r="J52" s="309"/>
      <c r="K52" s="309"/>
      <c r="L52" s="309"/>
      <c r="M52" s="311"/>
      <c r="N52" s="2041"/>
      <c r="O52" s="2041"/>
      <c r="P52" s="2049"/>
      <c r="Q52" s="2029"/>
      <c r="R52" s="1962"/>
      <c r="S52" s="1962"/>
      <c r="T52" s="1962"/>
      <c r="U52" s="1962"/>
      <c r="V52" s="1962"/>
      <c r="W52" s="1962"/>
      <c r="X52" s="1962"/>
      <c r="Y52" s="1962"/>
      <c r="Z52" s="1962"/>
      <c r="AA52" s="1962"/>
      <c r="AB52" s="1962"/>
      <c r="AC52" s="1962"/>
    </row>
    <row r="53" spans="1:29">
      <c r="A53" s="262" t="s">
        <v>1631</v>
      </c>
      <c r="B53" s="322" t="s">
        <v>1597</v>
      </c>
      <c r="C53" s="323">
        <f>C9</f>
        <v>0</v>
      </c>
      <c r="D53" s="324"/>
      <c r="E53" s="324"/>
      <c r="F53" s="324"/>
      <c r="G53" s="324"/>
      <c r="H53" s="324"/>
      <c r="I53" s="324"/>
      <c r="J53" s="324"/>
      <c r="K53" s="325"/>
      <c r="L53" s="326"/>
      <c r="M53" s="327"/>
      <c r="N53" s="2042"/>
      <c r="O53" s="2042"/>
      <c r="P53" s="2051"/>
      <c r="Q53" s="2029"/>
      <c r="R53" s="2008"/>
      <c r="S53" s="2008"/>
      <c r="T53" s="2008"/>
      <c r="U53" s="2008"/>
      <c r="V53" s="2008"/>
      <c r="W53" s="2008"/>
      <c r="X53" s="2008"/>
      <c r="Y53" s="2008"/>
      <c r="Z53" s="2008"/>
      <c r="AA53" s="2008"/>
      <c r="AB53" s="2008"/>
      <c r="AC53" s="2008"/>
    </row>
    <row r="54" spans="1:29" ht="15.75" thickBot="1">
      <c r="A54" s="254"/>
      <c r="B54" s="328"/>
      <c r="C54" s="329">
        <v>100</v>
      </c>
      <c r="D54" s="329"/>
      <c r="E54" s="329"/>
      <c r="F54" s="329"/>
      <c r="G54" s="329"/>
      <c r="H54" s="329"/>
      <c r="I54" s="329"/>
      <c r="J54" s="329"/>
      <c r="K54" s="329"/>
      <c r="L54" s="329"/>
      <c r="M54" s="330"/>
      <c r="N54" s="2043"/>
      <c r="O54" s="2043"/>
      <c r="P54" s="2051"/>
      <c r="Q54" s="2029"/>
      <c r="R54" s="2008"/>
      <c r="S54" s="2008"/>
      <c r="T54" s="2008"/>
      <c r="U54" s="2008"/>
      <c r="V54" s="2008"/>
      <c r="W54" s="2008"/>
      <c r="X54" s="2008"/>
      <c r="Y54" s="2008"/>
      <c r="Z54" s="2008"/>
      <c r="AA54" s="2008"/>
      <c r="AB54" s="2008"/>
      <c r="AC54" s="2008"/>
    </row>
    <row r="55" spans="1:29" ht="27.75" thickTop="1">
      <c r="A55" s="254"/>
      <c r="B55" s="331" t="s">
        <v>1600</v>
      </c>
      <c r="C55" s="372"/>
      <c r="D55" s="372"/>
      <c r="E55" s="372"/>
      <c r="F55" s="372"/>
      <c r="G55" s="372"/>
      <c r="H55" s="372"/>
      <c r="I55" s="372"/>
      <c r="J55" s="372"/>
      <c r="K55" s="373"/>
      <c r="L55" s="374"/>
      <c r="M55" s="375"/>
      <c r="N55" s="2042"/>
      <c r="O55" s="2042"/>
      <c r="P55" s="2051"/>
      <c r="Q55" s="2029"/>
      <c r="R55" s="2008"/>
      <c r="S55" s="2008"/>
      <c r="T55" s="2008"/>
      <c r="U55" s="2008"/>
      <c r="V55" s="2008"/>
      <c r="W55" s="2008"/>
      <c r="X55" s="2008"/>
      <c r="Y55" s="2008"/>
      <c r="Z55" s="2008"/>
      <c r="AA55" s="2008"/>
      <c r="AB55" s="2008"/>
      <c r="AC55" s="2008"/>
    </row>
    <row r="56" spans="1:29" ht="15.75" thickBot="1">
      <c r="A56" s="254"/>
      <c r="B56" s="336" t="s">
        <v>3884</v>
      </c>
      <c r="C56" s="329"/>
      <c r="D56" s="329"/>
      <c r="E56" s="329"/>
      <c r="F56" s="329"/>
      <c r="G56" s="329"/>
      <c r="H56" s="329"/>
      <c r="I56" s="329"/>
      <c r="J56" s="329"/>
      <c r="K56" s="329"/>
      <c r="L56" s="329"/>
      <c r="M56" s="330"/>
      <c r="N56" s="2043"/>
      <c r="O56" s="2043"/>
      <c r="P56" s="2051"/>
      <c r="Q56" s="2029"/>
      <c r="R56" s="2008"/>
      <c r="S56" s="2008"/>
      <c r="T56" s="2008"/>
      <c r="U56" s="2008"/>
      <c r="V56" s="2008"/>
      <c r="W56" s="2008"/>
      <c r="X56" s="2008"/>
      <c r="Y56" s="2008"/>
      <c r="Z56" s="2008"/>
      <c r="AA56" s="2008"/>
      <c r="AB56" s="2008"/>
      <c r="AC56" s="2008"/>
    </row>
    <row r="57" spans="1:29" ht="15.75" thickTop="1">
      <c r="A57" s="254"/>
      <c r="B57" s="428">
        <f>B11</f>
        <v>111</v>
      </c>
      <c r="C57" s="342"/>
      <c r="D57" s="342"/>
      <c r="E57" s="342"/>
      <c r="F57" s="342"/>
      <c r="G57" s="342"/>
      <c r="H57" s="342"/>
      <c r="I57" s="342"/>
      <c r="J57" s="342"/>
      <c r="K57" s="343"/>
      <c r="L57" s="344"/>
      <c r="M57" s="345"/>
      <c r="N57" s="2042"/>
      <c r="O57" s="2042"/>
      <c r="P57" s="2051"/>
      <c r="Q57" s="2029"/>
      <c r="R57" s="2008"/>
      <c r="S57" s="2008"/>
      <c r="T57" s="2008"/>
      <c r="U57" s="2008"/>
      <c r="V57" s="2008"/>
      <c r="W57" s="2008"/>
      <c r="X57" s="2008"/>
      <c r="Y57" s="2008"/>
      <c r="Z57" s="2008"/>
      <c r="AA57" s="2008"/>
      <c r="AB57" s="2008"/>
      <c r="AC57" s="2008"/>
    </row>
    <row r="58" spans="1:29" ht="15.75" thickBot="1">
      <c r="A58" s="254"/>
      <c r="B58" s="328"/>
      <c r="C58" s="352"/>
      <c r="D58" s="329"/>
      <c r="E58" s="329"/>
      <c r="F58" s="329"/>
      <c r="G58" s="329"/>
      <c r="H58" s="329"/>
      <c r="I58" s="329"/>
      <c r="J58" s="329"/>
      <c r="K58" s="329"/>
      <c r="L58" s="329"/>
      <c r="M58" s="330"/>
      <c r="N58" s="2043"/>
      <c r="O58" s="2043"/>
      <c r="P58" s="2051"/>
      <c r="Q58" s="2029"/>
      <c r="R58" s="2008"/>
      <c r="S58" s="2008"/>
      <c r="T58" s="2008"/>
      <c r="U58" s="2008"/>
      <c r="V58" s="2008"/>
      <c r="W58" s="2008"/>
      <c r="X58" s="2008"/>
      <c r="Y58" s="2008"/>
      <c r="Z58" s="2008"/>
      <c r="AA58" s="2008"/>
      <c r="AB58" s="2008"/>
      <c r="AC58" s="2008"/>
    </row>
    <row r="59" spans="1:29" s="279" customFormat="1" ht="15.75" thickTop="1">
      <c r="A59" s="346"/>
      <c r="B59" s="331">
        <f>B12</f>
        <v>111</v>
      </c>
      <c r="C59" s="342"/>
      <c r="D59" s="342"/>
      <c r="E59" s="342"/>
      <c r="F59" s="342"/>
      <c r="G59" s="347"/>
      <c r="H59" s="348"/>
      <c r="I59" s="348"/>
      <c r="J59" s="348"/>
      <c r="K59" s="348"/>
      <c r="L59" s="349"/>
      <c r="M59" s="350"/>
      <c r="N59" s="2044"/>
      <c r="O59" s="2044"/>
      <c r="P59" s="2052"/>
      <c r="Q59" s="2036"/>
      <c r="R59" s="2014"/>
      <c r="S59" s="2014"/>
      <c r="T59" s="2014"/>
      <c r="U59" s="2014"/>
      <c r="V59" s="2014"/>
      <c r="W59" s="2014"/>
      <c r="X59" s="2014"/>
      <c r="Y59" s="2014"/>
      <c r="Z59" s="2014"/>
      <c r="AA59" s="2014"/>
      <c r="AB59" s="2014"/>
      <c r="AC59" s="2014"/>
    </row>
    <row r="60" spans="1:29" s="279" customFormat="1" ht="15.75" thickBot="1">
      <c r="A60" s="346"/>
      <c r="B60" s="336"/>
      <c r="C60" s="352"/>
      <c r="D60" s="329"/>
      <c r="E60" s="329"/>
      <c r="F60" s="329"/>
      <c r="G60" s="329"/>
      <c r="H60" s="329"/>
      <c r="I60" s="329"/>
      <c r="J60" s="329"/>
      <c r="K60" s="329"/>
      <c r="L60" s="329"/>
      <c r="M60" s="330"/>
      <c r="N60" s="2043"/>
      <c r="O60" s="2043"/>
      <c r="P60" s="2052"/>
      <c r="Q60" s="2036"/>
      <c r="R60" s="2014"/>
      <c r="S60" s="2014"/>
      <c r="T60" s="2014"/>
      <c r="U60" s="2014"/>
      <c r="V60" s="2014"/>
      <c r="W60" s="2014"/>
      <c r="X60" s="2014"/>
      <c r="Y60" s="2014"/>
      <c r="Z60" s="2014"/>
      <c r="AA60" s="2014"/>
      <c r="AB60" s="2014"/>
      <c r="AC60" s="2014"/>
    </row>
    <row r="61" spans="1:29" s="279" customFormat="1" ht="15.75" thickTop="1">
      <c r="A61" s="346"/>
      <c r="B61" s="331">
        <f>B13</f>
        <v>111</v>
      </c>
      <c r="C61" s="347"/>
      <c r="D61" s="347"/>
      <c r="E61" s="347"/>
      <c r="F61" s="347"/>
      <c r="G61" s="347"/>
      <c r="H61" s="348"/>
      <c r="I61" s="348"/>
      <c r="J61" s="348"/>
      <c r="K61" s="348"/>
      <c r="L61" s="349"/>
      <c r="M61" s="350"/>
      <c r="N61" s="2044"/>
      <c r="O61" s="2044"/>
      <c r="P61" s="2053"/>
      <c r="Q61" s="2038"/>
      <c r="R61" s="2014"/>
      <c r="S61" s="2014"/>
      <c r="T61" s="2014"/>
      <c r="U61" s="2014"/>
      <c r="V61" s="2014"/>
      <c r="W61" s="2014"/>
      <c r="X61" s="2014"/>
      <c r="Y61" s="2014"/>
      <c r="Z61" s="2014"/>
      <c r="AA61" s="2014"/>
      <c r="AB61" s="2014"/>
      <c r="AC61" s="2014"/>
    </row>
    <row r="62" spans="1:29" s="279" customFormat="1" ht="15.75" thickBot="1">
      <c r="A62" s="346"/>
      <c r="B62" s="336"/>
      <c r="C62" s="352"/>
      <c r="D62" s="352"/>
      <c r="E62" s="352"/>
      <c r="F62" s="352"/>
      <c r="G62" s="352"/>
      <c r="H62" s="354"/>
      <c r="I62" s="354"/>
      <c r="J62" s="354"/>
      <c r="K62" s="354"/>
      <c r="L62" s="354"/>
      <c r="M62" s="355"/>
      <c r="N62" s="2044"/>
      <c r="O62" s="2044"/>
      <c r="P62" s="2052"/>
      <c r="Q62" s="2036"/>
      <c r="R62" s="2014"/>
      <c r="S62" s="2014"/>
      <c r="T62" s="2014"/>
      <c r="U62" s="2014"/>
      <c r="V62" s="2014"/>
      <c r="W62" s="2014"/>
      <c r="X62" s="2014"/>
      <c r="Y62" s="2014"/>
      <c r="Z62" s="2014"/>
      <c r="AA62" s="2014"/>
      <c r="AB62" s="2014"/>
      <c r="AC62" s="2014"/>
    </row>
    <row r="63" spans="1:29" ht="15" thickTop="1">
      <c r="A63" s="262" t="s">
        <v>1602</v>
      </c>
      <c r="B63" s="322" t="s">
        <v>1638</v>
      </c>
      <c r="C63" s="364" t="s">
        <v>1633</v>
      </c>
      <c r="D63" s="364" t="s">
        <v>1634</v>
      </c>
      <c r="E63" s="364" t="s">
        <v>1635</v>
      </c>
      <c r="F63" s="364" t="s">
        <v>1636</v>
      </c>
      <c r="G63" s="364" t="s">
        <v>1637</v>
      </c>
      <c r="H63" s="323"/>
      <c r="I63" s="323"/>
      <c r="J63" s="323"/>
      <c r="K63" s="365"/>
      <c r="L63" s="366"/>
      <c r="M63" s="367"/>
      <c r="N63" s="2042"/>
      <c r="O63" s="2042"/>
      <c r="P63" s="2055"/>
      <c r="Q63" s="2029"/>
      <c r="R63" s="2008"/>
      <c r="S63" s="2008"/>
      <c r="T63" s="2008"/>
      <c r="U63" s="2008"/>
      <c r="V63" s="2008"/>
      <c r="W63" s="2008"/>
      <c r="X63" s="2008"/>
      <c r="Y63" s="2008"/>
      <c r="Z63" s="2008"/>
      <c r="AA63" s="2008"/>
      <c r="AB63" s="2008"/>
      <c r="AC63" s="2008"/>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43"/>
      <c r="O64" s="2043"/>
      <c r="P64" s="2051"/>
      <c r="Q64" s="2029"/>
      <c r="R64" s="2008"/>
      <c r="S64" s="2008"/>
      <c r="T64" s="2008"/>
      <c r="U64" s="2008"/>
      <c r="V64" s="2008"/>
      <c r="W64" s="2008"/>
      <c r="X64" s="2008"/>
      <c r="Y64" s="2008"/>
      <c r="Z64" s="2008"/>
      <c r="AA64" s="2008"/>
      <c r="AB64" s="2008"/>
      <c r="AC64" s="2008"/>
    </row>
    <row r="65" spans="1:29" ht="15.75" thickTop="1">
      <c r="A65" s="254"/>
      <c r="B65" s="331" t="s">
        <v>1639</v>
      </c>
      <c r="C65" s="368" t="s">
        <v>1633</v>
      </c>
      <c r="D65" s="368" t="s">
        <v>1634</v>
      </c>
      <c r="E65" s="368" t="s">
        <v>1635</v>
      </c>
      <c r="F65" s="368" t="s">
        <v>1636</v>
      </c>
      <c r="G65" s="368" t="s">
        <v>1637</v>
      </c>
      <c r="H65" s="332"/>
      <c r="I65" s="332"/>
      <c r="J65" s="332"/>
      <c r="K65" s="333"/>
      <c r="L65" s="334"/>
      <c r="M65" s="335"/>
      <c r="N65" s="2042"/>
      <c r="O65" s="2042"/>
      <c r="P65" s="2051"/>
      <c r="Q65" s="2029"/>
      <c r="R65" s="2008"/>
      <c r="S65" s="2008"/>
      <c r="T65" s="2008"/>
      <c r="U65" s="2008"/>
      <c r="V65" s="2008"/>
      <c r="W65" s="2008"/>
      <c r="X65" s="2008"/>
      <c r="Y65" s="2008"/>
      <c r="Z65" s="2008"/>
      <c r="AA65" s="2008"/>
      <c r="AB65" s="2008"/>
      <c r="AC65" s="2008"/>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43"/>
      <c r="O66" s="2043"/>
      <c r="P66" s="2051"/>
      <c r="Q66" s="2029"/>
      <c r="R66" s="2008"/>
      <c r="S66" s="2008"/>
      <c r="T66" s="2008"/>
      <c r="U66" s="2008"/>
      <c r="V66" s="2008"/>
      <c r="W66" s="2008"/>
      <c r="X66" s="2008"/>
      <c r="Y66" s="2008"/>
      <c r="Z66" s="2008"/>
      <c r="AA66" s="2008"/>
      <c r="AB66" s="2008"/>
      <c r="AC66" s="2008"/>
    </row>
    <row r="67" spans="1:29" ht="15.75" thickTop="1">
      <c r="A67" s="254"/>
      <c r="B67" s="339" t="s">
        <v>1725</v>
      </c>
      <c r="C67" s="428" t="s">
        <v>1711</v>
      </c>
      <c r="D67" s="428" t="s">
        <v>1712</v>
      </c>
      <c r="E67" s="428" t="s">
        <v>1713</v>
      </c>
      <c r="F67" s="428" t="s">
        <v>1714</v>
      </c>
      <c r="G67" s="428" t="s">
        <v>1715</v>
      </c>
      <c r="H67" s="332"/>
      <c r="I67" s="332"/>
      <c r="J67" s="332"/>
      <c r="K67" s="332"/>
      <c r="L67" s="332"/>
      <c r="M67" s="779"/>
      <c r="N67" s="2043"/>
      <c r="O67" s="2043"/>
      <c r="P67" s="2051"/>
      <c r="Q67" s="2029"/>
      <c r="R67" s="2008"/>
      <c r="S67" s="2008"/>
      <c r="T67" s="2008"/>
      <c r="U67" s="2008"/>
      <c r="V67" s="2008"/>
      <c r="W67" s="2008"/>
      <c r="X67" s="2008"/>
      <c r="Y67" s="2008"/>
      <c r="Z67" s="2008"/>
      <c r="AA67" s="2008"/>
      <c r="AB67" s="2008"/>
      <c r="AC67" s="2008"/>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43"/>
      <c r="O68" s="2043"/>
      <c r="P68" s="2051"/>
      <c r="Q68" s="2029"/>
      <c r="R68" s="2008"/>
      <c r="S68" s="2008"/>
      <c r="T68" s="2008"/>
      <c r="U68" s="2008"/>
      <c r="V68" s="2008"/>
      <c r="W68" s="2008"/>
      <c r="X68" s="2008"/>
      <c r="Y68" s="2008"/>
      <c r="Z68" s="2008"/>
      <c r="AA68" s="2008"/>
      <c r="AB68" s="2008"/>
      <c r="AC68" s="2008"/>
    </row>
    <row r="69" spans="1:29" ht="15.75" thickTop="1">
      <c r="A69" s="254"/>
      <c r="B69" s="331" t="s">
        <v>1645</v>
      </c>
      <c r="C69" s="368" t="s">
        <v>1633</v>
      </c>
      <c r="D69" s="368" t="s">
        <v>1634</v>
      </c>
      <c r="E69" s="368" t="s">
        <v>1635</v>
      </c>
      <c r="F69" s="368" t="s">
        <v>1636</v>
      </c>
      <c r="G69" s="368" t="s">
        <v>1637</v>
      </c>
      <c r="H69" s="332"/>
      <c r="I69" s="332"/>
      <c r="J69" s="332"/>
      <c r="K69" s="333"/>
      <c r="L69" s="334"/>
      <c r="M69" s="335"/>
      <c r="N69" s="2042"/>
      <c r="O69" s="2042"/>
      <c r="P69" s="2051"/>
      <c r="Q69" s="2029"/>
      <c r="R69" s="2008"/>
      <c r="S69" s="2008"/>
      <c r="T69" s="2008"/>
      <c r="U69" s="2008"/>
      <c r="V69" s="2008"/>
      <c r="W69" s="2008"/>
      <c r="X69" s="2008"/>
      <c r="Y69" s="2008"/>
      <c r="Z69" s="2008"/>
      <c r="AA69" s="2008"/>
      <c r="AB69" s="2008"/>
      <c r="AC69" s="2008"/>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43"/>
      <c r="O70" s="2043"/>
      <c r="P70" s="2051"/>
      <c r="Q70" s="2029"/>
      <c r="R70" s="2008"/>
      <c r="S70" s="2008"/>
      <c r="T70" s="2008"/>
      <c r="U70" s="2008"/>
      <c r="V70" s="2008"/>
      <c r="W70" s="2008"/>
      <c r="X70" s="2008"/>
      <c r="Y70" s="2008"/>
      <c r="Z70" s="2008"/>
      <c r="AA70" s="2008"/>
      <c r="AB70" s="2008"/>
      <c r="AC70" s="2008"/>
    </row>
    <row r="71" spans="1:29" ht="15.75" thickTop="1">
      <c r="A71" s="254"/>
      <c r="B71" s="331" t="s">
        <v>1764</v>
      </c>
      <c r="C71" s="347"/>
      <c r="D71" s="347"/>
      <c r="E71" s="347"/>
      <c r="F71" s="347"/>
      <c r="G71" s="347"/>
      <c r="H71" s="372"/>
      <c r="I71" s="372"/>
      <c r="J71" s="372"/>
      <c r="K71" s="373"/>
      <c r="L71" s="374"/>
      <c r="M71" s="375"/>
      <c r="N71" s="2042"/>
      <c r="O71" s="2042"/>
      <c r="P71" s="2051"/>
      <c r="Q71" s="2029"/>
      <c r="R71" s="2008"/>
      <c r="S71" s="2008"/>
      <c r="T71" s="2008"/>
      <c r="U71" s="2008"/>
      <c r="V71" s="2008"/>
      <c r="W71" s="2008"/>
      <c r="X71" s="2008"/>
      <c r="Y71" s="2008"/>
      <c r="Z71" s="2008"/>
      <c r="AA71" s="2008"/>
      <c r="AB71" s="2008"/>
      <c r="AC71" s="2008"/>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43"/>
      <c r="O72" s="2043"/>
      <c r="P72" s="2051"/>
      <c r="Q72" s="2029"/>
      <c r="R72" s="2008"/>
      <c r="S72" s="2008"/>
      <c r="T72" s="2008"/>
      <c r="U72" s="2008"/>
      <c r="V72" s="2008"/>
      <c r="W72" s="2008"/>
      <c r="X72" s="2008"/>
      <c r="Y72" s="2008"/>
      <c r="Z72" s="2008"/>
      <c r="AA72" s="2008"/>
      <c r="AB72" s="2008"/>
      <c r="AC72" s="2008"/>
    </row>
    <row r="73" spans="1:29" s="46" customFormat="1" ht="15.75" thickTop="1">
      <c r="A73" s="257"/>
      <c r="B73" s="331">
        <f>B23</f>
        <v>111</v>
      </c>
      <c r="C73" s="342"/>
      <c r="D73" s="342"/>
      <c r="E73" s="342"/>
      <c r="F73" s="342"/>
      <c r="G73" s="347"/>
      <c r="H73" s="347"/>
      <c r="I73" s="347"/>
      <c r="J73" s="347"/>
      <c r="K73" s="347"/>
      <c r="L73" s="369"/>
      <c r="M73" s="370"/>
      <c r="N73" s="2041"/>
      <c r="O73" s="2041"/>
      <c r="P73" s="2051"/>
      <c r="Q73" s="2029"/>
      <c r="R73" s="1962"/>
      <c r="S73" s="1962"/>
      <c r="T73" s="1962"/>
      <c r="U73" s="1962"/>
      <c r="V73" s="1962"/>
      <c r="W73" s="1962"/>
      <c r="X73" s="1962"/>
      <c r="Y73" s="1962"/>
      <c r="Z73" s="1962"/>
      <c r="AA73" s="1962"/>
      <c r="AB73" s="1962"/>
      <c r="AC73" s="1962"/>
    </row>
    <row r="74" spans="1:29" s="46" customFormat="1" ht="15.75" thickBot="1">
      <c r="A74" s="257"/>
      <c r="B74" s="336"/>
      <c r="C74" s="352"/>
      <c r="D74" s="329"/>
      <c r="E74" s="329"/>
      <c r="F74" s="329"/>
      <c r="G74" s="329"/>
      <c r="H74" s="329"/>
      <c r="I74" s="329"/>
      <c r="J74" s="329"/>
      <c r="K74" s="329"/>
      <c r="L74" s="329"/>
      <c r="M74" s="330"/>
      <c r="N74" s="2043"/>
      <c r="O74" s="2043"/>
      <c r="P74" s="2051"/>
      <c r="Q74" s="2029"/>
      <c r="R74" s="1962"/>
      <c r="S74" s="1962"/>
      <c r="T74" s="1962"/>
      <c r="U74" s="1962"/>
      <c r="V74" s="1962"/>
      <c r="W74" s="1962"/>
      <c r="X74" s="1962"/>
      <c r="Y74" s="1962"/>
      <c r="Z74" s="1962"/>
      <c r="AA74" s="1962"/>
      <c r="AB74" s="1962"/>
      <c r="AC74" s="1962"/>
    </row>
    <row r="75" spans="1:29" s="46" customFormat="1" ht="15.75" thickTop="1">
      <c r="A75" s="257"/>
      <c r="B75" s="331">
        <f>B24</f>
        <v>111</v>
      </c>
      <c r="C75" s="342"/>
      <c r="D75" s="342"/>
      <c r="E75" s="342"/>
      <c r="F75" s="342"/>
      <c r="G75" s="347"/>
      <c r="H75" s="347"/>
      <c r="I75" s="347"/>
      <c r="J75" s="347"/>
      <c r="K75" s="347"/>
      <c r="L75" s="347"/>
      <c r="M75" s="370"/>
      <c r="N75" s="2041"/>
      <c r="O75" s="2041"/>
      <c r="P75" s="2051"/>
      <c r="Q75" s="2029"/>
      <c r="R75" s="1962"/>
      <c r="S75" s="1962"/>
      <c r="T75" s="1962"/>
      <c r="U75" s="1962"/>
      <c r="V75" s="1962"/>
      <c r="W75" s="1962"/>
      <c r="X75" s="1962"/>
      <c r="Y75" s="1962"/>
      <c r="Z75" s="1962"/>
      <c r="AA75" s="1962"/>
      <c r="AB75" s="1962"/>
      <c r="AC75" s="1962"/>
    </row>
    <row r="76" spans="1:29" s="46" customFormat="1" ht="15.75" thickBot="1">
      <c r="A76" s="257"/>
      <c r="B76" s="336"/>
      <c r="C76" s="352"/>
      <c r="D76" s="329"/>
      <c r="E76" s="329"/>
      <c r="F76" s="329"/>
      <c r="G76" s="329"/>
      <c r="H76" s="329"/>
      <c r="I76" s="329"/>
      <c r="J76" s="329"/>
      <c r="K76" s="329"/>
      <c r="L76" s="329"/>
      <c r="M76" s="330"/>
      <c r="N76" s="2043"/>
      <c r="O76" s="2043"/>
      <c r="P76" s="2051"/>
      <c r="Q76" s="2029"/>
      <c r="R76" s="1962"/>
      <c r="S76" s="1962"/>
      <c r="T76" s="1962"/>
      <c r="U76" s="1962"/>
      <c r="V76" s="1962"/>
      <c r="W76" s="1962"/>
      <c r="X76" s="1962"/>
      <c r="Y76" s="1962"/>
      <c r="Z76" s="1962"/>
      <c r="AA76" s="1962"/>
      <c r="AB76" s="1962"/>
      <c r="AC76" s="1962"/>
    </row>
    <row r="77" spans="1:29" s="279" customFormat="1" ht="15.75" thickTop="1">
      <c r="A77" s="346"/>
      <c r="B77" s="331">
        <f>B25</f>
        <v>111</v>
      </c>
      <c r="C77" s="347"/>
      <c r="D77" s="347"/>
      <c r="E77" s="347"/>
      <c r="F77" s="347"/>
      <c r="G77" s="347"/>
      <c r="H77" s="348"/>
      <c r="I77" s="348"/>
      <c r="J77" s="348"/>
      <c r="K77" s="348"/>
      <c r="L77" s="349"/>
      <c r="M77" s="350"/>
      <c r="N77" s="2044"/>
      <c r="O77" s="2044"/>
      <c r="P77" s="2052"/>
      <c r="Q77" s="2036"/>
      <c r="R77" s="2014"/>
      <c r="S77" s="2014"/>
      <c r="T77" s="2014"/>
      <c r="U77" s="2014"/>
      <c r="V77" s="2014"/>
      <c r="W77" s="2014"/>
      <c r="X77" s="2014"/>
      <c r="Y77" s="2014"/>
      <c r="Z77" s="2014"/>
      <c r="AA77" s="2014"/>
      <c r="AB77" s="2014"/>
      <c r="AC77" s="2014"/>
    </row>
    <row r="78" spans="1:29" s="279" customFormat="1" ht="15.75" thickBot="1">
      <c r="A78" s="346"/>
      <c r="B78" s="336"/>
      <c r="C78" s="352"/>
      <c r="D78" s="352"/>
      <c r="E78" s="352"/>
      <c r="F78" s="352"/>
      <c r="G78" s="329"/>
      <c r="H78" s="329"/>
      <c r="I78" s="329"/>
      <c r="J78" s="329"/>
      <c r="K78" s="329"/>
      <c r="L78" s="329"/>
      <c r="M78" s="330"/>
      <c r="N78" s="2044"/>
      <c r="O78" s="2044"/>
      <c r="P78" s="2052"/>
      <c r="Q78" s="2036"/>
      <c r="R78" s="2014"/>
      <c r="S78" s="2014"/>
      <c r="T78" s="2014"/>
      <c r="U78" s="2014"/>
      <c r="V78" s="2014"/>
      <c r="W78" s="2014"/>
      <c r="X78" s="2014"/>
      <c r="Y78" s="2014"/>
      <c r="Z78" s="2014"/>
      <c r="AA78" s="2014"/>
      <c r="AB78" s="2014"/>
      <c r="AC78" s="2014"/>
    </row>
    <row r="79" spans="1:29" ht="27.75" thickTop="1">
      <c r="A79" s="262" t="s">
        <v>1606</v>
      </c>
      <c r="B79" s="322" t="s">
        <v>1765</v>
      </c>
      <c r="C79" s="323" t="str">
        <f>C26</f>
        <v>车库</v>
      </c>
      <c r="D79" s="324"/>
      <c r="E79" s="324"/>
      <c r="F79" s="324"/>
      <c r="G79" s="324"/>
      <c r="H79" s="324"/>
      <c r="I79" s="324"/>
      <c r="J79" s="324"/>
      <c r="K79" s="325"/>
      <c r="L79" s="326"/>
      <c r="M79" s="327"/>
      <c r="N79" s="2042"/>
      <c r="O79" s="2042"/>
      <c r="P79" s="2051"/>
      <c r="Q79" s="2029"/>
      <c r="R79" s="2008"/>
      <c r="S79" s="2008"/>
      <c r="T79" s="2008"/>
      <c r="U79" s="2008"/>
      <c r="V79" s="2008"/>
      <c r="W79" s="2008"/>
      <c r="X79" s="2008"/>
      <c r="Y79" s="2008"/>
      <c r="Z79" s="2008"/>
      <c r="AA79" s="2008"/>
      <c r="AB79" s="2008"/>
      <c r="AC79" s="2008"/>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43"/>
      <c r="O80" s="2043"/>
      <c r="P80" s="2051"/>
      <c r="Q80" s="2029"/>
      <c r="R80" s="2008"/>
      <c r="S80" s="2008"/>
      <c r="T80" s="2008"/>
      <c r="U80" s="2008"/>
      <c r="V80" s="2008"/>
      <c r="W80" s="2008"/>
      <c r="X80" s="2008"/>
      <c r="Y80" s="2008"/>
      <c r="Z80" s="2008"/>
      <c r="AA80" s="2008"/>
      <c r="AB80" s="2008"/>
      <c r="AC80" s="2008"/>
    </row>
    <row r="81" spans="1:29" ht="15.75" thickTop="1">
      <c r="A81" s="254"/>
      <c r="B81" s="331" t="s">
        <v>1766</v>
      </c>
      <c r="C81" s="429"/>
      <c r="D81" s="429"/>
      <c r="E81" s="429"/>
      <c r="F81" s="429"/>
      <c r="G81" s="429"/>
      <c r="H81" s="429"/>
      <c r="I81" s="429"/>
      <c r="J81" s="429"/>
      <c r="K81" s="430"/>
      <c r="L81" s="431"/>
      <c r="M81" s="432"/>
      <c r="N81" s="2041"/>
      <c r="O81" s="2041"/>
      <c r="P81" s="2051"/>
      <c r="Q81" s="2029"/>
      <c r="R81" s="2008"/>
      <c r="S81" s="2008"/>
      <c r="T81" s="2008"/>
      <c r="U81" s="2008"/>
      <c r="V81" s="2008"/>
      <c r="W81" s="2008"/>
      <c r="X81" s="2008"/>
      <c r="Y81" s="2008"/>
      <c r="Z81" s="2008"/>
      <c r="AA81" s="2008"/>
      <c r="AB81" s="2008"/>
      <c r="AC81" s="2008"/>
    </row>
    <row r="82" spans="1:29" s="279" customFormat="1" ht="15.75" thickBot="1">
      <c r="A82" s="346"/>
      <c r="B82" s="336"/>
      <c r="C82" s="352"/>
      <c r="D82" s="329"/>
      <c r="E82" s="329"/>
      <c r="F82" s="329"/>
      <c r="G82" s="329"/>
      <c r="H82" s="329"/>
      <c r="I82" s="329"/>
      <c r="J82" s="329"/>
      <c r="K82" s="329"/>
      <c r="L82" s="329"/>
      <c r="M82" s="330"/>
      <c r="N82" s="2043"/>
      <c r="O82" s="2043"/>
      <c r="P82" s="2052"/>
      <c r="Q82" s="2036"/>
      <c r="R82" s="2014"/>
      <c r="S82" s="2014"/>
      <c r="T82" s="2014"/>
      <c r="U82" s="2014"/>
      <c r="V82" s="2014"/>
      <c r="W82" s="2014"/>
      <c r="X82" s="2014"/>
      <c r="Y82" s="2014"/>
      <c r="Z82" s="2014"/>
      <c r="AA82" s="2014"/>
      <c r="AB82" s="2014"/>
      <c r="AC82" s="2014"/>
    </row>
    <row r="83" spans="1:29" ht="15" thickTop="1">
      <c r="A83" s="280"/>
      <c r="B83" s="331" t="s">
        <v>1652</v>
      </c>
      <c r="C83" s="347"/>
      <c r="D83" s="347"/>
      <c r="E83" s="372"/>
      <c r="F83" s="372"/>
      <c r="G83" s="372"/>
      <c r="H83" s="372"/>
      <c r="I83" s="372"/>
      <c r="J83" s="372"/>
      <c r="K83" s="373"/>
      <c r="L83" s="374"/>
      <c r="M83" s="375"/>
      <c r="N83" s="2042"/>
      <c r="O83" s="2042"/>
      <c r="P83" s="2051"/>
      <c r="Q83" s="2029"/>
      <c r="R83" s="2008"/>
      <c r="S83" s="2008"/>
      <c r="T83" s="2008"/>
      <c r="U83" s="2008"/>
      <c r="V83" s="2008"/>
      <c r="W83" s="2008"/>
      <c r="X83" s="2008"/>
      <c r="Y83" s="2008"/>
      <c r="Z83" s="2008"/>
      <c r="AA83" s="2008"/>
      <c r="AB83" s="2008"/>
      <c r="AC83" s="2008"/>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43"/>
      <c r="O84" s="2043"/>
      <c r="P84" s="2051"/>
      <c r="Q84" s="2029"/>
      <c r="R84" s="2008"/>
      <c r="S84" s="2008"/>
      <c r="T84" s="2008"/>
      <c r="U84" s="2008"/>
      <c r="V84" s="2008"/>
      <c r="W84" s="2008"/>
      <c r="X84" s="2008"/>
      <c r="Y84" s="2008"/>
      <c r="Z84" s="2008"/>
      <c r="AA84" s="2008"/>
      <c r="AB84" s="2008"/>
      <c r="AC84" s="2008"/>
    </row>
    <row r="85" spans="1:29" ht="15" thickTop="1">
      <c r="A85" s="280"/>
      <c r="B85" s="331" t="s">
        <v>1767</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42"/>
      <c r="O85" s="2042"/>
      <c r="P85" s="2051"/>
      <c r="Q85" s="2029"/>
      <c r="R85" s="2008"/>
      <c r="S85" s="2008"/>
      <c r="T85" s="2008"/>
      <c r="U85" s="2008"/>
      <c r="V85" s="2008"/>
      <c r="W85" s="2008"/>
      <c r="X85" s="2008"/>
      <c r="Y85" s="2008"/>
      <c r="Z85" s="2008"/>
      <c r="AA85" s="2008"/>
      <c r="AB85" s="2008"/>
      <c r="AC85" s="2008"/>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42"/>
      <c r="O86" s="2042"/>
      <c r="P86" s="2051"/>
      <c r="Q86" s="2029"/>
      <c r="R86" s="2008"/>
      <c r="S86" s="2008"/>
      <c r="T86" s="2008"/>
      <c r="U86" s="2008"/>
      <c r="V86" s="2008"/>
      <c r="W86" s="2008"/>
      <c r="X86" s="2008"/>
      <c r="Y86" s="2008"/>
      <c r="Z86" s="2008"/>
      <c r="AA86" s="2008"/>
      <c r="AB86" s="2008"/>
      <c r="AC86" s="2008"/>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43"/>
      <c r="O87" s="2043"/>
      <c r="P87" s="2051"/>
      <c r="Q87" s="2029"/>
      <c r="R87" s="2008"/>
      <c r="S87" s="2008"/>
      <c r="T87" s="2008"/>
      <c r="U87" s="2008"/>
      <c r="V87" s="2008"/>
      <c r="W87" s="2008"/>
      <c r="X87" s="2008"/>
      <c r="Y87" s="2008"/>
      <c r="Z87" s="2008"/>
      <c r="AA87" s="2008"/>
      <c r="AB87" s="2008"/>
      <c r="AC87" s="2008"/>
    </row>
    <row r="88" spans="1:29" ht="15" thickTop="1">
      <c r="A88" s="280"/>
      <c r="B88" s="339" t="s">
        <v>1768</v>
      </c>
      <c r="C88" s="324"/>
      <c r="D88" s="324"/>
      <c r="E88" s="324"/>
      <c r="F88" s="324"/>
      <c r="G88" s="324"/>
      <c r="H88" s="324"/>
      <c r="I88" s="324"/>
      <c r="J88" s="324"/>
      <c r="K88" s="325"/>
      <c r="L88" s="326"/>
      <c r="M88" s="327"/>
      <c r="N88" s="2042"/>
      <c r="O88" s="2042"/>
      <c r="P88" s="2051"/>
      <c r="Q88" s="2029"/>
      <c r="R88" s="2008"/>
      <c r="S88" s="2008"/>
      <c r="T88" s="2008"/>
      <c r="U88" s="2008"/>
      <c r="V88" s="2008"/>
      <c r="W88" s="2008"/>
      <c r="X88" s="2008"/>
      <c r="Y88" s="2008"/>
      <c r="Z88" s="2008"/>
      <c r="AA88" s="2008"/>
      <c r="AB88" s="2008"/>
      <c r="AC88" s="2008"/>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43"/>
      <c r="O89" s="2043"/>
      <c r="P89" s="2051"/>
      <c r="Q89" s="2029"/>
      <c r="R89" s="2008"/>
      <c r="S89" s="2008"/>
      <c r="T89" s="2008"/>
      <c r="U89" s="2008"/>
      <c r="V89" s="2008"/>
      <c r="W89" s="2008"/>
      <c r="X89" s="2008"/>
      <c r="Y89" s="2008"/>
      <c r="Z89" s="2008"/>
      <c r="AA89" s="2008"/>
      <c r="AB89" s="2008"/>
      <c r="AC89" s="2008"/>
    </row>
    <row r="90" spans="1:29" s="279" customFormat="1" ht="15" thickTop="1">
      <c r="A90" s="277"/>
      <c r="B90" s="331" t="s">
        <v>1769</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44"/>
      <c r="O90" s="2044"/>
      <c r="P90" s="2052"/>
      <c r="Q90" s="2036"/>
      <c r="R90" s="2014"/>
      <c r="S90" s="2014"/>
      <c r="T90" s="2014"/>
      <c r="U90" s="2014"/>
      <c r="V90" s="2014"/>
      <c r="W90" s="2014"/>
      <c r="X90" s="2014"/>
      <c r="Y90" s="2014"/>
      <c r="Z90" s="2014"/>
      <c r="AA90" s="2014"/>
      <c r="AB90" s="2014"/>
      <c r="AC90" s="2014"/>
    </row>
    <row r="91" spans="1:29" s="279" customFormat="1">
      <c r="A91" s="277"/>
      <c r="B91" s="339"/>
      <c r="C91" s="5"/>
      <c r="D91" s="5"/>
      <c r="E91" s="5"/>
      <c r="F91" s="5"/>
      <c r="G91" s="5"/>
      <c r="H91" s="5"/>
      <c r="I91" s="5"/>
      <c r="J91" s="383"/>
      <c r="K91" s="383"/>
      <c r="L91" s="384"/>
      <c r="M91" s="385"/>
      <c r="N91" s="2044"/>
      <c r="O91" s="2044"/>
      <c r="P91" s="2052"/>
      <c r="Q91" s="2036"/>
      <c r="R91" s="2014"/>
      <c r="S91" s="2014"/>
      <c r="T91" s="2014"/>
      <c r="U91" s="2014"/>
      <c r="V91" s="2014"/>
      <c r="W91" s="2014"/>
      <c r="X91" s="2014"/>
      <c r="Y91" s="2014"/>
      <c r="Z91" s="2014"/>
      <c r="AA91" s="2014"/>
      <c r="AB91" s="2014"/>
      <c r="AC91" s="2014"/>
    </row>
    <row r="92" spans="1:29" s="279" customFormat="1" ht="15.75" thickBot="1">
      <c r="A92" s="346"/>
      <c r="B92" s="336"/>
      <c r="C92" s="352"/>
      <c r="D92" s="329"/>
      <c r="E92" s="329"/>
      <c r="F92" s="329"/>
      <c r="G92" s="329"/>
      <c r="H92" s="329"/>
      <c r="I92" s="329"/>
      <c r="J92" s="329"/>
      <c r="K92" s="329"/>
      <c r="L92" s="329"/>
      <c r="M92" s="330"/>
      <c r="N92" s="2044"/>
      <c r="O92" s="2044"/>
      <c r="P92" s="2052"/>
      <c r="Q92" s="2036"/>
      <c r="R92" s="2014"/>
      <c r="S92" s="2014"/>
      <c r="T92" s="2014"/>
      <c r="U92" s="2014"/>
      <c r="V92" s="2014"/>
      <c r="W92" s="2014"/>
      <c r="X92" s="2014"/>
      <c r="Y92" s="2014"/>
      <c r="Z92" s="2014"/>
      <c r="AA92" s="2014"/>
      <c r="AB92" s="2014"/>
      <c r="AC92" s="2014"/>
    </row>
    <row r="93" spans="1:29" ht="15" thickTop="1">
      <c r="A93" s="280"/>
      <c r="B93" s="331" t="s">
        <v>1770</v>
      </c>
      <c r="C93" s="347"/>
      <c r="D93" s="347"/>
      <c r="E93" s="372"/>
      <c r="F93" s="372"/>
      <c r="G93" s="372"/>
      <c r="H93" s="372"/>
      <c r="I93" s="372"/>
      <c r="J93" s="372"/>
      <c r="K93" s="373"/>
      <c r="L93" s="374"/>
      <c r="M93" s="375"/>
      <c r="N93" s="2042"/>
      <c r="O93" s="2042"/>
      <c r="P93" s="2051"/>
      <c r="Q93" s="2029"/>
      <c r="R93" s="2008"/>
      <c r="S93" s="2008"/>
      <c r="T93" s="2008"/>
      <c r="U93" s="2008"/>
      <c r="V93" s="2008"/>
      <c r="W93" s="2008"/>
      <c r="X93" s="2008"/>
      <c r="Y93" s="2008"/>
      <c r="Z93" s="2008"/>
      <c r="AA93" s="2008"/>
      <c r="AB93" s="2008"/>
      <c r="AC93" s="2008"/>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43"/>
      <c r="O94" s="2043"/>
      <c r="P94" s="2051"/>
      <c r="Q94" s="2029"/>
      <c r="R94" s="2008"/>
      <c r="S94" s="2008"/>
      <c r="T94" s="2008"/>
      <c r="U94" s="2008"/>
      <c r="V94" s="2008"/>
      <c r="W94" s="2008"/>
      <c r="X94" s="2008"/>
      <c r="Y94" s="2008"/>
      <c r="Z94" s="2008"/>
      <c r="AA94" s="2008"/>
      <c r="AB94" s="2008"/>
      <c r="AC94" s="2008"/>
    </row>
    <row r="95" spans="1:29" ht="15" thickTop="1">
      <c r="A95" s="280"/>
      <c r="B95" s="331" t="s">
        <v>1771</v>
      </c>
      <c r="C95" s="324"/>
      <c r="D95" s="324"/>
      <c r="E95" s="324"/>
      <c r="F95" s="324"/>
      <c r="G95" s="324"/>
      <c r="H95" s="324"/>
      <c r="I95" s="324"/>
      <c r="J95" s="324"/>
      <c r="K95" s="325"/>
      <c r="L95" s="326"/>
      <c r="M95" s="327"/>
      <c r="N95" s="2042"/>
      <c r="O95" s="2042"/>
      <c r="P95" s="2051"/>
      <c r="Q95" s="2029"/>
      <c r="R95" s="2008"/>
      <c r="S95" s="2008"/>
      <c r="T95" s="2008"/>
      <c r="U95" s="2008"/>
      <c r="V95" s="2008"/>
      <c r="W95" s="2008"/>
      <c r="X95" s="2008"/>
      <c r="Y95" s="2008"/>
      <c r="Z95" s="2008"/>
      <c r="AA95" s="2008"/>
      <c r="AB95" s="2008"/>
      <c r="AC95" s="2008"/>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43"/>
      <c r="O96" s="2043"/>
      <c r="P96" s="2051"/>
      <c r="Q96" s="2029"/>
      <c r="R96" s="2008"/>
      <c r="S96" s="2008"/>
      <c r="T96" s="2008"/>
      <c r="U96" s="2008"/>
      <c r="V96" s="2008"/>
      <c r="W96" s="2008"/>
      <c r="X96" s="2008"/>
      <c r="Y96" s="2008"/>
      <c r="Z96" s="2008"/>
      <c r="AA96" s="2008"/>
      <c r="AB96" s="2008"/>
      <c r="AC96" s="2008"/>
    </row>
    <row r="97" spans="1:29" ht="15" thickTop="1">
      <c r="A97" s="280"/>
      <c r="B97" s="410">
        <f>B34</f>
        <v>111</v>
      </c>
      <c r="C97" s="342"/>
      <c r="D97" s="342"/>
      <c r="E97" s="342"/>
      <c r="F97" s="342"/>
      <c r="G97" s="347"/>
      <c r="H97" s="348"/>
      <c r="I97" s="348"/>
      <c r="J97" s="348"/>
      <c r="K97" s="348"/>
      <c r="L97" s="349"/>
      <c r="M97" s="350"/>
      <c r="N97" s="2043"/>
      <c r="O97" s="2043"/>
      <c r="P97" s="2056"/>
      <c r="Q97" s="2057"/>
      <c r="R97" s="2008"/>
      <c r="S97" s="2008"/>
      <c r="T97" s="2008"/>
      <c r="U97" s="2008"/>
      <c r="V97" s="2008"/>
      <c r="W97" s="2008"/>
      <c r="X97" s="2008"/>
      <c r="Y97" s="2008"/>
      <c r="Z97" s="2008"/>
      <c r="AA97" s="2008"/>
      <c r="AB97" s="2008"/>
      <c r="AC97" s="2008"/>
    </row>
    <row r="98" spans="1:29" ht="15.75" thickBot="1">
      <c r="A98" s="254"/>
      <c r="B98" s="336"/>
      <c r="C98" s="352"/>
      <c r="D98" s="329"/>
      <c r="E98" s="329"/>
      <c r="F98" s="329"/>
      <c r="G98" s="352"/>
      <c r="H98" s="354"/>
      <c r="I98" s="354"/>
      <c r="J98" s="354"/>
      <c r="K98" s="354"/>
      <c r="L98" s="354"/>
      <c r="M98" s="355"/>
      <c r="N98" s="2043"/>
      <c r="O98" s="2043"/>
      <c r="P98" s="2051"/>
      <c r="Q98" s="2029"/>
      <c r="R98" s="2008"/>
      <c r="S98" s="2008"/>
      <c r="T98" s="2008"/>
      <c r="U98" s="2008"/>
      <c r="V98" s="2008"/>
      <c r="W98" s="2008"/>
      <c r="X98" s="2008"/>
      <c r="Y98" s="2008"/>
      <c r="Z98" s="2008"/>
      <c r="AA98" s="2008"/>
      <c r="AB98" s="2008"/>
      <c r="AC98" s="2008"/>
    </row>
    <row r="99" spans="1:29" s="279" customFormat="1" ht="15" thickTop="1">
      <c r="A99" s="277"/>
      <c r="B99" s="331">
        <f>B35</f>
        <v>111</v>
      </c>
      <c r="C99" s="342"/>
      <c r="D99" s="342"/>
      <c r="E99" s="342"/>
      <c r="F99" s="342"/>
      <c r="G99" s="347"/>
      <c r="H99" s="348"/>
      <c r="I99" s="348"/>
      <c r="J99" s="348"/>
      <c r="K99" s="348"/>
      <c r="L99" s="349"/>
      <c r="M99" s="350"/>
      <c r="N99" s="2044"/>
      <c r="O99" s="2044"/>
      <c r="P99" s="2052"/>
      <c r="Q99" s="2036"/>
      <c r="R99" s="2014"/>
      <c r="S99" s="2014"/>
      <c r="T99" s="2014"/>
      <c r="U99" s="2014"/>
      <c r="V99" s="2014"/>
      <c r="W99" s="2014"/>
      <c r="X99" s="2014"/>
      <c r="Y99" s="2014"/>
      <c r="Z99" s="2014"/>
      <c r="AA99" s="2014"/>
      <c r="AB99" s="2014"/>
      <c r="AC99" s="2014"/>
    </row>
    <row r="100" spans="1:29" s="279" customFormat="1" ht="15.75" thickBot="1">
      <c r="A100" s="346"/>
      <c r="B100" s="328"/>
      <c r="C100" s="352"/>
      <c r="D100" s="329"/>
      <c r="E100" s="329"/>
      <c r="F100" s="329"/>
      <c r="G100" s="352"/>
      <c r="H100" s="354"/>
      <c r="I100" s="354"/>
      <c r="J100" s="354"/>
      <c r="K100" s="354"/>
      <c r="L100" s="354"/>
      <c r="M100" s="355"/>
      <c r="N100" s="2044"/>
      <c r="O100" s="2044"/>
      <c r="P100" s="2052"/>
      <c r="Q100" s="2036"/>
      <c r="R100" s="2014"/>
      <c r="S100" s="2014"/>
      <c r="T100" s="2014"/>
      <c r="U100" s="2014"/>
      <c r="V100" s="2014"/>
      <c r="W100" s="2014"/>
      <c r="X100" s="2014"/>
      <c r="Y100" s="2014"/>
      <c r="Z100" s="2014"/>
      <c r="AA100" s="2014"/>
      <c r="AB100" s="2014"/>
      <c r="AC100" s="2014"/>
    </row>
    <row r="101" spans="1:29" ht="15" thickTop="1">
      <c r="A101" s="280"/>
      <c r="B101" s="331">
        <f>B36</f>
        <v>111</v>
      </c>
      <c r="C101" s="347"/>
      <c r="D101" s="347"/>
      <c r="E101" s="347"/>
      <c r="F101" s="347"/>
      <c r="G101" s="347"/>
      <c r="H101" s="348"/>
      <c r="I101" s="348"/>
      <c r="J101" s="348"/>
      <c r="K101" s="348"/>
      <c r="L101" s="349"/>
      <c r="M101" s="350"/>
      <c r="N101" s="2042"/>
      <c r="O101" s="2042"/>
      <c r="P101" s="2051"/>
      <c r="Q101" s="2029"/>
      <c r="R101" s="2008"/>
      <c r="S101" s="2008"/>
      <c r="T101" s="2008"/>
      <c r="U101" s="2008"/>
      <c r="V101" s="2008"/>
      <c r="W101" s="2008"/>
      <c r="X101" s="2008"/>
      <c r="Y101" s="2008"/>
      <c r="Z101" s="2008"/>
      <c r="AA101" s="2008"/>
      <c r="AB101" s="2008"/>
      <c r="AC101" s="2008"/>
    </row>
    <row r="102" spans="1:29" ht="15.75" thickBot="1">
      <c r="A102" s="254"/>
      <c r="B102" s="336"/>
      <c r="C102" s="352"/>
      <c r="D102" s="352"/>
      <c r="E102" s="352"/>
      <c r="F102" s="352"/>
      <c r="G102" s="352"/>
      <c r="H102" s="354"/>
      <c r="I102" s="354"/>
      <c r="J102" s="354"/>
      <c r="K102" s="354"/>
      <c r="L102" s="354"/>
      <c r="M102" s="355"/>
      <c r="N102" s="2043"/>
      <c r="O102" s="2043"/>
      <c r="P102" s="2051"/>
      <c r="Q102" s="2029"/>
      <c r="R102" s="2008"/>
      <c r="S102" s="2008"/>
      <c r="T102" s="2008"/>
      <c r="U102" s="2008"/>
      <c r="V102" s="2008"/>
      <c r="W102" s="2008"/>
      <c r="X102" s="2008"/>
      <c r="Y102" s="2008"/>
      <c r="Z102" s="2008"/>
      <c r="AA102" s="2008"/>
      <c r="AB102" s="2008"/>
      <c r="AC102" s="2008"/>
    </row>
    <row r="103" spans="1:29" ht="15" thickTop="1">
      <c r="N103" s="2008"/>
      <c r="O103" s="2008"/>
      <c r="P103" s="2045"/>
      <c r="Q103" s="2008"/>
      <c r="R103" s="2008"/>
      <c r="S103" s="2008"/>
      <c r="T103" s="2008"/>
      <c r="U103" s="2008"/>
      <c r="V103" s="2008"/>
      <c r="W103" s="2008"/>
      <c r="X103" s="2008"/>
      <c r="Y103" s="2008"/>
      <c r="Z103" s="2008"/>
      <c r="AA103" s="2008"/>
      <c r="AB103" s="2008"/>
      <c r="AC103" s="2008"/>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1743</v>
      </c>
      <c r="B1" s="836" t="s">
        <v>3217</v>
      </c>
      <c r="C1" s="837" t="s">
        <v>1574</v>
      </c>
      <c r="D1" s="838"/>
      <c r="E1" s="2540"/>
      <c r="F1" s="1379"/>
      <c r="G1" s="848" t="s">
        <v>1679</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IF(C2="含税",D2,ROUND(D2/(1+F3),0))</f>
        <v>0</v>
      </c>
      <c r="C2" s="2861"/>
      <c r="D2" s="229" t="b">
        <f>IF(E1="项目模式",IF(E2="——",ROUND(C37*D3/10000,0),ROUND(C37*D3/10000,0)-F2),IF(E1="单套模式",IF(E2="——",ROUND(C37*D3/10000,4),ROUND(C37*D3/10000,4)-F2)))</f>
        <v>0</v>
      </c>
      <c r="E2" s="1381"/>
      <c r="F2" s="604" t="e">
        <f ca="1">IF(E1="项目模式",SUMIF(INDIRECT("'"&amp;H2&amp;"'"&amp;"!A:A"),"承租人权益价值",INDIRECT("'"&amp;H2&amp;"'"&amp;"!c:c")),SUMIF(INDIRECT("'"&amp;H2&amp;"'"&amp;"!A:A"),"承租人权益价值（单套）",INDIRECT("'"&amp;H2&amp;"'"&amp;"!c:c")))</f>
        <v>#REF!</v>
      </c>
      <c r="G2" s="1382" t="s">
        <v>1434</v>
      </c>
      <c r="H2" s="1383"/>
      <c r="I2" s="605"/>
      <c r="J2" s="605"/>
      <c r="K2" s="607"/>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2957" t="e">
        <f>IF(E2="——",C37,ROUND(B2*10000/D3,0))</f>
        <v>#DIV/0!</v>
      </c>
      <c r="C3" s="234" t="s">
        <v>1680</v>
      </c>
      <c r="D3" s="2957">
        <f>SUMIF('数据-汇总表'!$C19:$C33,D1,'数据-汇总表'!$E19:$E33)</f>
        <v>0</v>
      </c>
      <c r="E3" s="3961" t="s">
        <v>3478</v>
      </c>
      <c r="F3" s="3962">
        <v>0.09</v>
      </c>
      <c r="G3" s="605"/>
      <c r="H3" s="605"/>
      <c r="I3" s="605"/>
      <c r="J3" s="605"/>
      <c r="K3" s="607"/>
      <c r="L3" s="2024"/>
      <c r="M3" s="2025"/>
      <c r="N3" s="2025"/>
      <c r="O3" s="2025"/>
      <c r="P3" s="232"/>
      <c r="Q3" s="232"/>
      <c r="R3" s="232"/>
      <c r="S3" s="232"/>
      <c r="T3" s="232"/>
      <c r="U3" s="232"/>
      <c r="V3" s="232"/>
      <c r="W3" s="232"/>
      <c r="X3" s="232"/>
      <c r="Y3" s="232"/>
      <c r="Z3" s="232"/>
      <c r="AA3" s="232"/>
      <c r="AB3" s="488"/>
      <c r="AC3" s="481"/>
    </row>
    <row r="4" spans="1:29" ht="15">
      <c r="A4" s="235" t="s">
        <v>1681</v>
      </c>
      <c r="B4" s="236"/>
      <c r="C4" s="4573" t="s">
        <v>1682</v>
      </c>
      <c r="D4" s="4574"/>
      <c r="E4" s="4575" t="s">
        <v>1683</v>
      </c>
      <c r="F4" s="4576"/>
      <c r="G4" s="4573" t="s">
        <v>1684</v>
      </c>
      <c r="H4" s="4574"/>
      <c r="I4" s="4573" t="s">
        <v>1685</v>
      </c>
      <c r="J4" s="4574"/>
      <c r="K4" s="393" t="s">
        <v>1686</v>
      </c>
      <c r="L4" s="2007"/>
      <c r="M4" s="2008"/>
      <c r="N4" s="2008"/>
      <c r="O4" s="2008"/>
      <c r="P4" s="4699" t="s">
        <v>1687</v>
      </c>
      <c r="Q4" s="4700"/>
      <c r="R4" s="4686" t="s">
        <v>1683</v>
      </c>
      <c r="S4" s="4687"/>
      <c r="T4" s="4686" t="s">
        <v>1684</v>
      </c>
      <c r="U4" s="4687"/>
      <c r="V4" s="4691" t="s">
        <v>1685</v>
      </c>
      <c r="W4" s="4691"/>
      <c r="X4" s="935"/>
      <c r="Y4" s="4686" t="s">
        <v>1687</v>
      </c>
      <c r="Z4" s="4687"/>
      <c r="AA4" s="4666" t="s">
        <v>1683</v>
      </c>
      <c r="AB4" s="4551" t="s">
        <v>1684</v>
      </c>
      <c r="AC4" s="4666" t="s">
        <v>1685</v>
      </c>
    </row>
    <row r="5" spans="1:29" ht="15">
      <c r="A5" s="238"/>
      <c r="B5" s="239"/>
      <c r="C5" s="4561" t="s">
        <v>1585</v>
      </c>
      <c r="D5" s="4562"/>
      <c r="E5" s="4692" t="s">
        <v>1586</v>
      </c>
      <c r="F5" s="4560"/>
      <c r="G5" s="4561" t="s">
        <v>1587</v>
      </c>
      <c r="H5" s="4562"/>
      <c r="I5" s="4561" t="s">
        <v>1588</v>
      </c>
      <c r="J5" s="4562"/>
      <c r="K5" s="393"/>
      <c r="L5" s="2007"/>
      <c r="M5" s="2008"/>
      <c r="N5" s="2008"/>
      <c r="O5" s="2008"/>
      <c r="P5" s="4701"/>
      <c r="Q5" s="4702"/>
      <c r="R5" s="4591"/>
      <c r="S5" s="4592"/>
      <c r="T5" s="4591"/>
      <c r="U5" s="4592"/>
      <c r="V5" s="4691"/>
      <c r="W5" s="4691"/>
      <c r="X5" s="935"/>
      <c r="Y5" s="4591"/>
      <c r="Z5" s="4592"/>
      <c r="AA5" s="4551"/>
      <c r="AB5" s="4551"/>
      <c r="AC5" s="4551"/>
    </row>
    <row r="6" spans="1:29" ht="15.75" thickBot="1">
      <c r="A6" s="240"/>
      <c r="B6" s="241"/>
      <c r="C6" s="4563" t="s">
        <v>1589</v>
      </c>
      <c r="D6" s="4564"/>
      <c r="E6" s="4566" t="s">
        <v>1589</v>
      </c>
      <c r="F6" s="4567"/>
      <c r="G6" s="4563" t="s">
        <v>1589</v>
      </c>
      <c r="H6" s="4564"/>
      <c r="I6" s="4563" t="s">
        <v>1589</v>
      </c>
      <c r="J6" s="4564"/>
      <c r="K6" s="393" t="s">
        <v>1590</v>
      </c>
      <c r="L6" s="2007"/>
      <c r="M6" s="2008"/>
      <c r="N6" s="2008"/>
      <c r="O6" s="2008"/>
      <c r="P6" s="4703"/>
      <c r="Q6" s="4704"/>
      <c r="R6" s="4591"/>
      <c r="S6" s="4592"/>
      <c r="T6" s="4593"/>
      <c r="U6" s="4594"/>
      <c r="V6" s="4691"/>
      <c r="W6" s="4691"/>
      <c r="X6" s="935"/>
      <c r="Y6" s="4593"/>
      <c r="Z6" s="4594"/>
      <c r="AA6" s="4552"/>
      <c r="AB6" s="4552"/>
      <c r="AC6" s="4552"/>
    </row>
    <row r="7" spans="1:29" s="46" customFormat="1" ht="15.75" thickBot="1">
      <c r="A7" s="242" t="s">
        <v>1591</v>
      </c>
      <c r="B7" s="243"/>
      <c r="C7" s="244">
        <f>'数据-取费表'!B2</f>
        <v>46049</v>
      </c>
      <c r="D7" s="2976">
        <v>100</v>
      </c>
      <c r="E7" s="245"/>
      <c r="F7" s="3861">
        <f>SUMIF(46:46,YEAR(E7)&amp;"-"&amp;MONTH(E7),47:47)</f>
        <v>0</v>
      </c>
      <c r="G7" s="1453"/>
      <c r="H7" s="3867">
        <f>SUMIF(46:46,YEAR(G7)&amp;"-"&amp;MONTH(G7),47:47)</f>
        <v>0</v>
      </c>
      <c r="I7" s="245"/>
      <c r="J7" s="3867">
        <f>SUMIF(46:46,YEAR(I7)&amp;"-"&amp;MONTH(I7),47:47)</f>
        <v>0</v>
      </c>
      <c r="K7" s="22"/>
      <c r="L7" s="2009"/>
      <c r="M7" s="1962"/>
      <c r="N7" s="1962"/>
      <c r="O7" s="1962"/>
      <c r="P7" s="4553" t="s">
        <v>1592</v>
      </c>
      <c r="Q7" s="4705"/>
      <c r="R7" s="3880" t="s">
        <v>13</v>
      </c>
      <c r="S7" s="3883">
        <f t="shared" ref="S7:S14" si="0">F7</f>
        <v>0</v>
      </c>
      <c r="T7" s="3880" t="s">
        <v>13</v>
      </c>
      <c r="U7" s="3883">
        <f t="shared" ref="U7:U14" si="1">H7</f>
        <v>0</v>
      </c>
      <c r="V7" s="3880" t="s">
        <v>13</v>
      </c>
      <c r="W7" s="3883">
        <f t="shared" ref="W7:W14" si="2">J7</f>
        <v>0</v>
      </c>
      <c r="X7" s="482"/>
      <c r="Y7" s="4553" t="s">
        <v>1592</v>
      </c>
      <c r="Z7" s="4554"/>
      <c r="AA7" s="28" t="e">
        <f>D7/F7</f>
        <v>#DIV/0!</v>
      </c>
      <c r="AB7" s="28" t="e">
        <f>D7/H7</f>
        <v>#DIV/0!</v>
      </c>
      <c r="AC7" s="28" t="e">
        <f>D7/J7</f>
        <v>#DIV/0!</v>
      </c>
    </row>
    <row r="8" spans="1:29" s="46" customFormat="1" ht="15.75" thickBot="1">
      <c r="A8" s="242" t="s">
        <v>1593</v>
      </c>
      <c r="B8" s="243"/>
      <c r="C8" s="246"/>
      <c r="D8" s="2976">
        <v>100</v>
      </c>
      <c r="E8" s="246"/>
      <c r="F8" s="3861">
        <f>SUMIF(49:49,E8,50:50)-SUMIF(49:49,C8,50:50)+100</f>
        <v>100</v>
      </c>
      <c r="G8" s="246"/>
      <c r="H8" s="3867">
        <f>SUMIF(49:49,G8,50:50)-SUMIF(49:49,C8,50:50)+100</f>
        <v>100</v>
      </c>
      <c r="I8" s="246"/>
      <c r="J8" s="3867">
        <f>SUMIF(49:49,I8,50:50)-SUMIF(49:49,C8,50:50)+100</f>
        <v>100</v>
      </c>
      <c r="K8" s="22"/>
      <c r="L8" s="2009"/>
      <c r="M8" s="1962"/>
      <c r="N8" s="1962"/>
      <c r="O8" s="1962"/>
      <c r="P8" s="4553" t="s">
        <v>1595</v>
      </c>
      <c r="Q8" s="4554"/>
      <c r="R8" s="3880" t="s">
        <v>13</v>
      </c>
      <c r="S8" s="3883">
        <f t="shared" si="0"/>
        <v>100</v>
      </c>
      <c r="T8" s="3880" t="s">
        <v>13</v>
      </c>
      <c r="U8" s="3883">
        <f t="shared" si="1"/>
        <v>100</v>
      </c>
      <c r="V8" s="3880" t="s">
        <v>13</v>
      </c>
      <c r="W8" s="3883">
        <f t="shared" si="2"/>
        <v>100</v>
      </c>
      <c r="X8" s="482"/>
      <c r="Y8" s="4553" t="s">
        <v>1595</v>
      </c>
      <c r="Z8" s="4554"/>
      <c r="AA8" s="28">
        <f t="shared" ref="AA8:AA34" si="3">D8/F8</f>
        <v>1</v>
      </c>
      <c r="AB8" s="28">
        <f t="shared" ref="AB8:AB34" si="4">D8/H8</f>
        <v>1</v>
      </c>
      <c r="AC8" s="28">
        <f t="shared" ref="AC8:AC34" si="5">D8/J8</f>
        <v>1</v>
      </c>
    </row>
    <row r="9" spans="1:29" s="46" customFormat="1">
      <c r="A9" s="247" t="s">
        <v>1596</v>
      </c>
      <c r="B9" s="34" t="s">
        <v>1597</v>
      </c>
      <c r="C9" s="248"/>
      <c r="D9" s="2977">
        <v>100</v>
      </c>
      <c r="E9" s="250"/>
      <c r="F9" s="34">
        <f>SUMIF(51:51,E9,52:52)-SUMIF(51:51,C9,52:52)+100</f>
        <v>100</v>
      </c>
      <c r="G9" s="250"/>
      <c r="H9" s="33">
        <f>SUMIF(51:51,G9,52:52)-SUMIF(51:51,C9,52:52)+100</f>
        <v>100</v>
      </c>
      <c r="I9" s="250"/>
      <c r="J9" s="33">
        <f>SUMIF(51:51,I9,52:52)-SUMIF(51:51,C9,52:52)+100</f>
        <v>100</v>
      </c>
      <c r="K9" s="22"/>
      <c r="L9" s="2009"/>
      <c r="M9" s="1962"/>
      <c r="N9" s="1962"/>
      <c r="O9" s="2061"/>
      <c r="P9" s="4698" t="s">
        <v>1598</v>
      </c>
      <c r="Q9" s="389" t="str">
        <f t="shared" ref="Q9:Q14" si="6">B9</f>
        <v>用途</v>
      </c>
      <c r="R9" s="3880" t="s">
        <v>13</v>
      </c>
      <c r="S9" s="3883">
        <f t="shared" si="0"/>
        <v>100</v>
      </c>
      <c r="T9" s="3880" t="s">
        <v>13</v>
      </c>
      <c r="U9" s="3883">
        <f t="shared" si="1"/>
        <v>100</v>
      </c>
      <c r="V9" s="3880" t="s">
        <v>13</v>
      </c>
      <c r="W9" s="3883">
        <f t="shared" si="2"/>
        <v>100</v>
      </c>
      <c r="X9" s="482"/>
      <c r="Y9" s="4569" t="s">
        <v>1599</v>
      </c>
      <c r="Z9" s="28" t="str">
        <f t="shared" ref="Z9:Z14" si="7">Q9</f>
        <v>用途</v>
      </c>
      <c r="AA9" s="28">
        <f t="shared" si="3"/>
        <v>1</v>
      </c>
      <c r="AB9" s="28">
        <f t="shared" si="4"/>
        <v>1</v>
      </c>
      <c r="AC9" s="28">
        <f t="shared" si="5"/>
        <v>1</v>
      </c>
    </row>
    <row r="10" spans="1:29" s="253" customFormat="1" ht="27">
      <c r="A10" s="251"/>
      <c r="B10" s="252" t="s">
        <v>1600</v>
      </c>
      <c r="C10" s="2541"/>
      <c r="D10" s="2978">
        <v>100</v>
      </c>
      <c r="E10" s="2541"/>
      <c r="F10" s="252">
        <f>SUMIF(53:53,E10,54:54)-SUMIF(53:53,C10,54:54)+100</f>
        <v>100</v>
      </c>
      <c r="G10" s="2541"/>
      <c r="H10" s="422">
        <f>SUMIF(53:53,G10,54:54)-SUMIF(53:53,C10,54:54)+100</f>
        <v>100</v>
      </c>
      <c r="I10" s="2541"/>
      <c r="J10" s="422">
        <f>SUMIF(53:53,I10,54:54)-SUMIF(53:53,C10,54:54)+100</f>
        <v>100</v>
      </c>
      <c r="K10" s="22"/>
      <c r="L10" s="2010"/>
      <c r="M10" s="2011"/>
      <c r="N10" s="2011"/>
      <c r="O10" s="2062"/>
      <c r="P10" s="4698"/>
      <c r="Q10" s="389" t="str">
        <f t="shared" si="6"/>
        <v>土地使用年限（年）</v>
      </c>
      <c r="R10" s="3880" t="s">
        <v>13</v>
      </c>
      <c r="S10" s="3883">
        <f t="shared" si="0"/>
        <v>100</v>
      </c>
      <c r="T10" s="3880" t="s">
        <v>13</v>
      </c>
      <c r="U10" s="3883">
        <f t="shared" si="1"/>
        <v>100</v>
      </c>
      <c r="V10" s="3880" t="s">
        <v>13</v>
      </c>
      <c r="W10" s="3883">
        <f t="shared" si="2"/>
        <v>100</v>
      </c>
      <c r="X10" s="482"/>
      <c r="Y10" s="4569"/>
      <c r="Z10" s="28" t="str">
        <f t="shared" si="7"/>
        <v>土地使用年限（年）</v>
      </c>
      <c r="AA10" s="28">
        <f t="shared" si="3"/>
        <v>1</v>
      </c>
      <c r="AB10" s="28">
        <f t="shared" si="4"/>
        <v>1</v>
      </c>
      <c r="AC10" s="28">
        <f t="shared" si="5"/>
        <v>1</v>
      </c>
    </row>
    <row r="11" spans="1:29" ht="15">
      <c r="A11" s="254"/>
      <c r="B11" s="310">
        <v>111</v>
      </c>
      <c r="C11" s="258"/>
      <c r="D11" s="2978">
        <v>100</v>
      </c>
      <c r="E11" s="278"/>
      <c r="F11" s="252">
        <f>SUMIF(55:55,E11,56:56)-SUMIF(55:55,C11,56:56)+100</f>
        <v>100</v>
      </c>
      <c r="G11" s="278"/>
      <c r="H11" s="422">
        <f>SUMIF(55:55,G11,56:56)-SUMIF(55:55,C11,56:56)+100</f>
        <v>100</v>
      </c>
      <c r="I11" s="278"/>
      <c r="J11" s="422">
        <f>SUMIF(55:55,I11,56:56)-SUMIF(55:55,C11,56:56)+100</f>
        <v>100</v>
      </c>
      <c r="K11" s="395"/>
      <c r="L11" s="2012"/>
      <c r="M11" s="2008"/>
      <c r="N11" s="2008"/>
      <c r="O11" s="2063"/>
      <c r="P11" s="4698"/>
      <c r="Q11" s="389">
        <f t="shared" si="6"/>
        <v>111</v>
      </c>
      <c r="R11" s="3880" t="s">
        <v>13</v>
      </c>
      <c r="S11" s="3883">
        <f t="shared" si="0"/>
        <v>100</v>
      </c>
      <c r="T11" s="3880" t="s">
        <v>13</v>
      </c>
      <c r="U11" s="3883">
        <f t="shared" si="1"/>
        <v>100</v>
      </c>
      <c r="V11" s="3880" t="s">
        <v>13</v>
      </c>
      <c r="W11" s="3883">
        <f t="shared" si="2"/>
        <v>100</v>
      </c>
      <c r="X11" s="482"/>
      <c r="Y11" s="4569"/>
      <c r="Z11" s="28">
        <f t="shared" si="7"/>
        <v>111</v>
      </c>
      <c r="AA11" s="28">
        <f t="shared" si="3"/>
        <v>1</v>
      </c>
      <c r="AB11" s="28">
        <f t="shared" si="4"/>
        <v>1</v>
      </c>
      <c r="AC11" s="28">
        <f t="shared" si="5"/>
        <v>1</v>
      </c>
    </row>
    <row r="12" spans="1:29" s="46" customFormat="1" ht="15">
      <c r="A12" s="257"/>
      <c r="B12" s="310">
        <v>111</v>
      </c>
      <c r="C12" s="258"/>
      <c r="D12" s="2979">
        <v>100</v>
      </c>
      <c r="E12" s="278"/>
      <c r="F12" s="252">
        <f>SUMIF(57:57,E12,58:58)-SUMIF(57:57,C12,58:58)+100</f>
        <v>100</v>
      </c>
      <c r="G12" s="278"/>
      <c r="H12" s="422">
        <f>SUMIF(57:57,G12,58:58)-SUMIF(57:57,C12,58:58)+100</f>
        <v>100</v>
      </c>
      <c r="I12" s="278"/>
      <c r="J12" s="422">
        <f>SUMIF(57:57,I12,58:58)-SUMIF(57:57,C12,58:58)+100</f>
        <v>100</v>
      </c>
      <c r="K12" s="395"/>
      <c r="L12" s="2009"/>
      <c r="M12" s="1962"/>
      <c r="N12" s="1962"/>
      <c r="O12" s="2061"/>
      <c r="P12" s="4698"/>
      <c r="Q12" s="389">
        <f t="shared" si="6"/>
        <v>111</v>
      </c>
      <c r="R12" s="3880" t="s">
        <v>13</v>
      </c>
      <c r="S12" s="3883">
        <f t="shared" si="0"/>
        <v>100</v>
      </c>
      <c r="T12" s="3880" t="s">
        <v>13</v>
      </c>
      <c r="U12" s="3883">
        <f t="shared" si="1"/>
        <v>100</v>
      </c>
      <c r="V12" s="3880" t="s">
        <v>13</v>
      </c>
      <c r="W12" s="3883">
        <f t="shared" si="2"/>
        <v>100</v>
      </c>
      <c r="X12" s="482"/>
      <c r="Y12" s="4569"/>
      <c r="Z12" s="28">
        <f t="shared" si="7"/>
        <v>111</v>
      </c>
      <c r="AA12" s="28">
        <f>D12/F12</f>
        <v>1</v>
      </c>
      <c r="AB12" s="28">
        <f>D12/H12</f>
        <v>1</v>
      </c>
      <c r="AC12" s="28">
        <f>D12/J12</f>
        <v>1</v>
      </c>
    </row>
    <row r="13" spans="1:29" ht="15.75" thickBot="1">
      <c r="A13" s="254"/>
      <c r="B13" s="310">
        <v>111</v>
      </c>
      <c r="C13" s="259"/>
      <c r="D13" s="2980">
        <v>100</v>
      </c>
      <c r="E13" s="278"/>
      <c r="F13" s="252">
        <f>SUMIF(59:59,E13,60:60)-SUMIF(59:59,C13,60:60)+100</f>
        <v>100</v>
      </c>
      <c r="G13" s="1454"/>
      <c r="H13" s="3862">
        <f>SUMIF(59:59,G13,60:60)-SUMIF(59:59,C13,60:60)+100</f>
        <v>100</v>
      </c>
      <c r="I13" s="278"/>
      <c r="J13" s="3865">
        <f>SUMIF(59:59,I13,60:60)-SUMIF(59:59,C13,60:60)+100</f>
        <v>100</v>
      </c>
      <c r="K13" s="395"/>
      <c r="L13" s="2013"/>
      <c r="M13" s="2008"/>
      <c r="N13" s="2008"/>
      <c r="O13" s="2063"/>
      <c r="P13" s="4698"/>
      <c r="Q13" s="389">
        <f t="shared" si="6"/>
        <v>111</v>
      </c>
      <c r="R13" s="3880" t="s">
        <v>13</v>
      </c>
      <c r="S13" s="3883">
        <f t="shared" si="0"/>
        <v>100</v>
      </c>
      <c r="T13" s="3880" t="s">
        <v>13</v>
      </c>
      <c r="U13" s="3883">
        <f t="shared" si="1"/>
        <v>100</v>
      </c>
      <c r="V13" s="3880" t="s">
        <v>13</v>
      </c>
      <c r="W13" s="3883">
        <f t="shared" si="2"/>
        <v>100</v>
      </c>
      <c r="X13" s="482"/>
      <c r="Y13" s="4569"/>
      <c r="Z13" s="28">
        <f t="shared" si="7"/>
        <v>111</v>
      </c>
      <c r="AA13" s="28">
        <f t="shared" si="3"/>
        <v>1</v>
      </c>
      <c r="AB13" s="28">
        <f t="shared" si="4"/>
        <v>1</v>
      </c>
      <c r="AC13" s="28">
        <f t="shared" si="5"/>
        <v>1</v>
      </c>
    </row>
    <row r="14" spans="1:29" ht="15">
      <c r="A14" s="262" t="s">
        <v>1602</v>
      </c>
      <c r="B14" s="32" t="s">
        <v>1745</v>
      </c>
      <c r="C14" s="1450">
        <f>IF(B1="工业",估价对象房地状况!G4,估价对象房地状况!C6)</f>
        <v>0</v>
      </c>
      <c r="D14" s="2982">
        <v>100</v>
      </c>
      <c r="E14" s="263"/>
      <c r="F14" s="3869">
        <f>SUMIF(61:61,E15,62:62)-SUMIF(61:61,C15,62:62)+100</f>
        <v>100</v>
      </c>
      <c r="G14" s="264"/>
      <c r="H14" s="3863">
        <f>SUMIF(61:61,G15,62:62)-SUMIF(61:61,C15,62:62)+100</f>
        <v>100</v>
      </c>
      <c r="I14" s="263"/>
      <c r="J14" s="3863">
        <f>SUMIF(61:61,I15,62:62)-SUMIF(61:61,C15,62:62)+100</f>
        <v>100</v>
      </c>
      <c r="K14" s="396"/>
      <c r="L14" s="2013"/>
      <c r="M14" s="2008"/>
      <c r="N14" s="2008"/>
      <c r="O14" s="2063"/>
      <c r="P14" s="4598" t="s">
        <v>1603</v>
      </c>
      <c r="Q14" s="932" t="str">
        <f t="shared" si="6"/>
        <v>交通便捷度</v>
      </c>
      <c r="R14" s="3881" t="s">
        <v>13</v>
      </c>
      <c r="S14" s="3884">
        <f t="shared" si="0"/>
        <v>100</v>
      </c>
      <c r="T14" s="3881" t="s">
        <v>13</v>
      </c>
      <c r="U14" s="3884">
        <f t="shared" si="1"/>
        <v>100</v>
      </c>
      <c r="V14" s="3881" t="s">
        <v>13</v>
      </c>
      <c r="W14" s="3884">
        <f t="shared" si="2"/>
        <v>100</v>
      </c>
      <c r="X14" s="935"/>
      <c r="Y14" s="4598" t="s">
        <v>1603</v>
      </c>
      <c r="Z14" s="933" t="str">
        <f t="shared" si="7"/>
        <v>交通便捷度</v>
      </c>
      <c r="AA14" s="933">
        <f t="shared" si="3"/>
        <v>1</v>
      </c>
      <c r="AB14" s="933">
        <f t="shared" si="4"/>
        <v>1</v>
      </c>
      <c r="AC14" s="933">
        <f t="shared" si="5"/>
        <v>1</v>
      </c>
    </row>
    <row r="15" spans="1:29" ht="15">
      <c r="A15" s="254"/>
      <c r="B15" s="265"/>
      <c r="C15" s="266"/>
      <c r="D15" s="2983"/>
      <c r="E15" s="266"/>
      <c r="F15" s="3870"/>
      <c r="G15" s="266"/>
      <c r="H15" s="268"/>
      <c r="I15" s="266"/>
      <c r="J15" s="267"/>
      <c r="K15" s="397"/>
      <c r="L15" s="2013"/>
      <c r="M15" s="2008"/>
      <c r="N15" s="2008"/>
      <c r="O15" s="2063"/>
      <c r="P15" s="4599"/>
      <c r="Q15" s="932"/>
      <c r="R15" s="3881"/>
      <c r="S15" s="3884"/>
      <c r="T15" s="3881"/>
      <c r="U15" s="3884"/>
      <c r="V15" s="3881"/>
      <c r="W15" s="3884"/>
      <c r="X15" s="935"/>
      <c r="Y15" s="4599"/>
      <c r="Z15" s="933"/>
      <c r="AA15" s="933">
        <v>1</v>
      </c>
      <c r="AB15" s="933">
        <v>1</v>
      </c>
      <c r="AC15" s="933">
        <v>1</v>
      </c>
    </row>
    <row r="16" spans="1:29" ht="15">
      <c r="A16" s="254"/>
      <c r="B16" s="269" t="s">
        <v>1724</v>
      </c>
      <c r="C16" s="1390">
        <f>IF(B1="工业",估价对象房地状况!G5,估价对象房地状况!C7)</f>
        <v>0</v>
      </c>
      <c r="D16" s="2985">
        <v>100</v>
      </c>
      <c r="E16" s="273"/>
      <c r="F16" s="3872">
        <f>SUMIF(63:63,E17,64:64)-SUMIF(63:63,C17,64:64)+100</f>
        <v>100</v>
      </c>
      <c r="G16" s="274"/>
      <c r="H16" s="3864">
        <f>SUMIF(63:63,G17,64:64)-SUMIF(63:63,C17,64:64)+100</f>
        <v>100</v>
      </c>
      <c r="I16" s="273"/>
      <c r="J16" s="3864">
        <f>SUMIF(63:63,I17,64:64)-SUMIF(63:63,C17,64:64)+100</f>
        <v>100</v>
      </c>
      <c r="K16" s="396"/>
      <c r="L16" s="2013"/>
      <c r="M16" s="2008"/>
      <c r="N16" s="2008"/>
      <c r="O16" s="2063"/>
      <c r="P16" s="4599"/>
      <c r="Q16" s="932" t="str">
        <f>B16</f>
        <v>公共配套设施</v>
      </c>
      <c r="R16" s="3881" t="s">
        <v>13</v>
      </c>
      <c r="S16" s="3884">
        <f>F16</f>
        <v>100</v>
      </c>
      <c r="T16" s="3881" t="s">
        <v>13</v>
      </c>
      <c r="U16" s="3884">
        <f>H16</f>
        <v>100</v>
      </c>
      <c r="V16" s="3881" t="s">
        <v>13</v>
      </c>
      <c r="W16" s="3884">
        <f>J16</f>
        <v>100</v>
      </c>
      <c r="X16" s="935"/>
      <c r="Y16" s="4599"/>
      <c r="Z16" s="933" t="str">
        <f>Q16</f>
        <v>公共配套设施</v>
      </c>
      <c r="AA16" s="933">
        <f t="shared" si="3"/>
        <v>1</v>
      </c>
      <c r="AB16" s="933">
        <f t="shared" si="4"/>
        <v>1</v>
      </c>
      <c r="AC16" s="933">
        <f t="shared" si="5"/>
        <v>1</v>
      </c>
    </row>
    <row r="17" spans="1:29" ht="15">
      <c r="A17" s="254"/>
      <c r="B17" s="272"/>
      <c r="C17" s="1391"/>
      <c r="D17" s="2983"/>
      <c r="E17" s="266"/>
      <c r="F17" s="3870"/>
      <c r="G17" s="266"/>
      <c r="H17" s="267"/>
      <c r="I17" s="266"/>
      <c r="J17" s="267"/>
      <c r="K17" s="397"/>
      <c r="L17" s="2013"/>
      <c r="M17" s="2008"/>
      <c r="N17" s="2008"/>
      <c r="O17" s="2063"/>
      <c r="P17" s="4599"/>
      <c r="Q17" s="932"/>
      <c r="R17" s="3881"/>
      <c r="S17" s="3884"/>
      <c r="T17" s="3881"/>
      <c r="U17" s="3884"/>
      <c r="V17" s="3881"/>
      <c r="W17" s="3884"/>
      <c r="X17" s="935"/>
      <c r="Y17" s="4599"/>
      <c r="Z17" s="933"/>
      <c r="AA17" s="933">
        <v>1</v>
      </c>
      <c r="AB17" s="933">
        <v>1</v>
      </c>
      <c r="AC17" s="933">
        <v>1</v>
      </c>
    </row>
    <row r="18" spans="1:29" ht="15">
      <c r="A18" s="254"/>
      <c r="B18" s="781" t="s">
        <v>1725</v>
      </c>
      <c r="C18" s="1390">
        <f>IF(B1="工业",估价对象房地状况!G6,估价对象房地状况!C8)</f>
        <v>0</v>
      </c>
      <c r="D18" s="2985">
        <v>100</v>
      </c>
      <c r="E18" s="270"/>
      <c r="F18" s="3872">
        <f>SUMIF(65:65,E19,66:66)-SUMIF(65:65,C19,66:66)+100</f>
        <v>100</v>
      </c>
      <c r="G18" s="271"/>
      <c r="H18" s="3864">
        <f>SUMIF(65:65,G19,66:66)-SUMIF(65:65,C19,66:66)+100</f>
        <v>100</v>
      </c>
      <c r="I18" s="273"/>
      <c r="J18" s="3864">
        <f>SUMIF(65:65,I19,66:66)-SUMIF(65:65,C19,66:66)+100</f>
        <v>100</v>
      </c>
      <c r="K18" s="396"/>
      <c r="L18" s="2013"/>
      <c r="M18" s="2008"/>
      <c r="N18" s="2008"/>
      <c r="O18" s="2063"/>
      <c r="P18" s="4599"/>
      <c r="Q18" s="932" t="str">
        <f>B18</f>
        <v>基础设施水平</v>
      </c>
      <c r="R18" s="3881" t="s">
        <v>13</v>
      </c>
      <c r="S18" s="3884">
        <f>F18</f>
        <v>100</v>
      </c>
      <c r="T18" s="3881" t="s">
        <v>13</v>
      </c>
      <c r="U18" s="3884">
        <f>H18</f>
        <v>100</v>
      </c>
      <c r="V18" s="3881" t="s">
        <v>13</v>
      </c>
      <c r="W18" s="3884">
        <f>J18</f>
        <v>100</v>
      </c>
      <c r="X18" s="935"/>
      <c r="Y18" s="4599"/>
      <c r="Z18" s="933" t="str">
        <f>Q18</f>
        <v>基础设施水平</v>
      </c>
      <c r="AA18" s="933">
        <f t="shared" ref="AA18" si="8">D18/F18</f>
        <v>1</v>
      </c>
      <c r="AB18" s="933">
        <f t="shared" ref="AB18" si="9">D18/H18</f>
        <v>1</v>
      </c>
      <c r="AC18" s="933">
        <f t="shared" ref="AC18" si="10">D18/J18</f>
        <v>1</v>
      </c>
    </row>
    <row r="19" spans="1:29" ht="15">
      <c r="A19" s="254"/>
      <c r="B19" s="781"/>
      <c r="C19" s="1391"/>
      <c r="D19" s="2984"/>
      <c r="E19" s="1391"/>
      <c r="F19" s="3871"/>
      <c r="G19" s="1391"/>
      <c r="H19" s="267"/>
      <c r="I19" s="266"/>
      <c r="J19" s="267"/>
      <c r="K19" s="780"/>
      <c r="L19" s="2013"/>
      <c r="M19" s="2008"/>
      <c r="N19" s="2008"/>
      <c r="O19" s="2063"/>
      <c r="P19" s="4599"/>
      <c r="Q19" s="932"/>
      <c r="R19" s="3881"/>
      <c r="S19" s="3884"/>
      <c r="T19" s="3881"/>
      <c r="U19" s="3884"/>
      <c r="V19" s="3881"/>
      <c r="W19" s="3884"/>
      <c r="X19" s="935"/>
      <c r="Y19" s="4599"/>
      <c r="Z19" s="933"/>
      <c r="AA19" s="933">
        <v>1</v>
      </c>
      <c r="AB19" s="933">
        <v>1</v>
      </c>
      <c r="AC19" s="933">
        <v>1</v>
      </c>
    </row>
    <row r="20" spans="1:29" ht="15">
      <c r="A20" s="254"/>
      <c r="B20" s="269" t="s">
        <v>1746</v>
      </c>
      <c r="C20" s="1390">
        <f>IF(B1="工业",估价对象房地状况!G7,估价对象房地状况!C9)</f>
        <v>0</v>
      </c>
      <c r="D20" s="2985">
        <v>100</v>
      </c>
      <c r="E20" s="273"/>
      <c r="F20" s="3872">
        <f>SUMIF(67:67,E21,68:68)-SUMIF(67:67,C21,68:68)+100</f>
        <v>100</v>
      </c>
      <c r="G20" s="274"/>
      <c r="H20" s="268">
        <f>SUMIF(67:67,G21,68:68)-SUMIF(67:67,C21,68:68)+100</f>
        <v>100</v>
      </c>
      <c r="I20" s="270"/>
      <c r="J20" s="268">
        <f>SUMIF(67:67,I21,68:68)-SUMIF(67:67,C21,68:68)+100</f>
        <v>100</v>
      </c>
      <c r="K20" s="396"/>
      <c r="L20" s="2013"/>
      <c r="M20" s="2008"/>
      <c r="N20" s="2008"/>
      <c r="O20" s="2063"/>
      <c r="P20" s="4599"/>
      <c r="Q20" s="932" t="str">
        <f>B20</f>
        <v>自然及人文环境</v>
      </c>
      <c r="R20" s="3881" t="s">
        <v>13</v>
      </c>
      <c r="S20" s="3884">
        <f>F20</f>
        <v>100</v>
      </c>
      <c r="T20" s="3881" t="s">
        <v>13</v>
      </c>
      <c r="U20" s="3884">
        <f>H20</f>
        <v>100</v>
      </c>
      <c r="V20" s="3881" t="s">
        <v>13</v>
      </c>
      <c r="W20" s="3884">
        <f>J20</f>
        <v>100</v>
      </c>
      <c r="X20" s="935"/>
      <c r="Y20" s="4599"/>
      <c r="Z20" s="933" t="str">
        <f>Q20</f>
        <v>自然及人文环境</v>
      </c>
      <c r="AA20" s="933">
        <f t="shared" si="3"/>
        <v>1</v>
      </c>
      <c r="AB20" s="933">
        <f t="shared" si="4"/>
        <v>1</v>
      </c>
      <c r="AC20" s="933">
        <f t="shared" si="5"/>
        <v>1</v>
      </c>
    </row>
    <row r="21" spans="1:29" ht="15">
      <c r="A21" s="254"/>
      <c r="B21" s="272"/>
      <c r="C21" s="266"/>
      <c r="D21" s="2983"/>
      <c r="E21" s="266"/>
      <c r="F21" s="3870"/>
      <c r="G21" s="266"/>
      <c r="H21" s="267"/>
      <c r="I21" s="266"/>
      <c r="J21" s="267"/>
      <c r="K21" s="397"/>
      <c r="L21" s="2013"/>
      <c r="M21" s="2008"/>
      <c r="N21" s="2008"/>
      <c r="O21" s="2063"/>
      <c r="P21" s="4599"/>
      <c r="Q21" s="932"/>
      <c r="R21" s="3881"/>
      <c r="S21" s="3884"/>
      <c r="T21" s="3881"/>
      <c r="U21" s="3884"/>
      <c r="V21" s="3881"/>
      <c r="W21" s="3884"/>
      <c r="X21" s="935"/>
      <c r="Y21" s="4599"/>
      <c r="Z21" s="933"/>
      <c r="AA21" s="933">
        <v>1</v>
      </c>
      <c r="AB21" s="933">
        <v>1</v>
      </c>
      <c r="AC21" s="933">
        <v>1</v>
      </c>
    </row>
    <row r="22" spans="1:29" ht="15">
      <c r="A22" s="254"/>
      <c r="B22" s="269" t="s">
        <v>1747</v>
      </c>
      <c r="C22" s="398"/>
      <c r="D22" s="2984">
        <v>100</v>
      </c>
      <c r="E22" s="398"/>
      <c r="F22" s="934">
        <f>SUMIF(69:69,E22,70:70)-SUMIF(69:69,C22,70:70)+100</f>
        <v>100</v>
      </c>
      <c r="G22" s="398"/>
      <c r="H22" s="3865">
        <f>SUMIF(69:69,G22,70:70)-SUMIF(69:69,C22,70:70)+100</f>
        <v>100</v>
      </c>
      <c r="I22" s="398"/>
      <c r="J22" s="3865">
        <f>SUMIF(69:69,I22,70:70)-SUMIF(69:69,C22,70:70)+100</f>
        <v>100</v>
      </c>
      <c r="K22" s="394"/>
      <c r="L22" s="2013"/>
      <c r="M22" s="2008"/>
      <c r="N22" s="2008"/>
      <c r="O22" s="2063"/>
      <c r="P22" s="4599"/>
      <c r="Q22" s="932" t="str">
        <f>B22</f>
        <v>楼层</v>
      </c>
      <c r="R22" s="3881" t="s">
        <v>13</v>
      </c>
      <c r="S22" s="3884">
        <f>F22</f>
        <v>100</v>
      </c>
      <c r="T22" s="3881" t="s">
        <v>13</v>
      </c>
      <c r="U22" s="3884">
        <f>H22</f>
        <v>100</v>
      </c>
      <c r="V22" s="3881" t="s">
        <v>13</v>
      </c>
      <c r="W22" s="3884">
        <f>J22</f>
        <v>100</v>
      </c>
      <c r="X22" s="935"/>
      <c r="Y22" s="4599"/>
      <c r="Z22" s="933" t="str">
        <f>Q22</f>
        <v>楼层</v>
      </c>
      <c r="AA22" s="933">
        <f t="shared" si="3"/>
        <v>1</v>
      </c>
      <c r="AB22" s="933">
        <f t="shared" si="4"/>
        <v>1</v>
      </c>
      <c r="AC22" s="933">
        <f t="shared" si="5"/>
        <v>1</v>
      </c>
    </row>
    <row r="23" spans="1:29" ht="15">
      <c r="A23" s="238"/>
      <c r="B23" s="310">
        <v>111</v>
      </c>
      <c r="C23" s="258"/>
      <c r="D23" s="2980">
        <v>100</v>
      </c>
      <c r="E23" s="259"/>
      <c r="F23" s="934">
        <f>SUMIF(71:71,E23,72:72)-SUMIF(71:71,C23,72:72)+100</f>
        <v>100</v>
      </c>
      <c r="G23" s="259"/>
      <c r="H23" s="3865">
        <f>SUMIF(71:71,G23,72:72)-SUMIF(71:71,C23,72:72)+100</f>
        <v>100</v>
      </c>
      <c r="I23" s="259"/>
      <c r="J23" s="3865">
        <f>SUMIF(71:71,I23,72:72)-SUMIF(71:71,C23,72:72)+100</f>
        <v>100</v>
      </c>
      <c r="K23" s="395"/>
      <c r="L23" s="2013"/>
      <c r="M23" s="2008"/>
      <c r="N23" s="2008"/>
      <c r="O23" s="2063"/>
      <c r="P23" s="4599"/>
      <c r="Q23" s="932">
        <f>B23</f>
        <v>111</v>
      </c>
      <c r="R23" s="3881" t="s">
        <v>13</v>
      </c>
      <c r="S23" s="3884">
        <f>F23</f>
        <v>100</v>
      </c>
      <c r="T23" s="3881" t="s">
        <v>13</v>
      </c>
      <c r="U23" s="3884">
        <f>H23</f>
        <v>100</v>
      </c>
      <c r="V23" s="3881" t="s">
        <v>13</v>
      </c>
      <c r="W23" s="3884">
        <f>J23</f>
        <v>100</v>
      </c>
      <c r="X23" s="935"/>
      <c r="Y23" s="4599"/>
      <c r="Z23" s="933">
        <f>Q23</f>
        <v>111</v>
      </c>
      <c r="AA23" s="933">
        <f t="shared" si="3"/>
        <v>1</v>
      </c>
      <c r="AB23" s="933">
        <f t="shared" si="4"/>
        <v>1</v>
      </c>
      <c r="AC23" s="933">
        <f t="shared" si="5"/>
        <v>1</v>
      </c>
    </row>
    <row r="24" spans="1:29" ht="15">
      <c r="A24" s="254"/>
      <c r="B24" s="310">
        <v>111</v>
      </c>
      <c r="C24" s="258"/>
      <c r="D24" s="2980">
        <v>100</v>
      </c>
      <c r="E24" s="259"/>
      <c r="F24" s="934">
        <f>SUMIF(73:73,E24,74:74)-SUMIF(73:73,C24,74:74)+100</f>
        <v>100</v>
      </c>
      <c r="G24" s="259"/>
      <c r="H24" s="3865">
        <f>SUMIF(73:73,G24,74:74)-SUMIF(73:73,C24,74:74)+100</f>
        <v>100</v>
      </c>
      <c r="I24" s="259"/>
      <c r="J24" s="3865">
        <f>SUMIF(73:73,I24,74:74)-SUMIF(73:73,C24,74:74)+100</f>
        <v>100</v>
      </c>
      <c r="K24" s="395"/>
      <c r="L24" s="2013"/>
      <c r="M24" s="2008"/>
      <c r="N24" s="2008"/>
      <c r="O24" s="2063"/>
      <c r="P24" s="4599"/>
      <c r="Q24" s="932">
        <f t="shared" ref="Q24:Q34" si="11">B24</f>
        <v>111</v>
      </c>
      <c r="R24" s="3881" t="s">
        <v>13</v>
      </c>
      <c r="S24" s="3884">
        <f>F24</f>
        <v>100</v>
      </c>
      <c r="T24" s="3881" t="s">
        <v>13</v>
      </c>
      <c r="U24" s="3884">
        <f>H24</f>
        <v>100</v>
      </c>
      <c r="V24" s="3881" t="s">
        <v>13</v>
      </c>
      <c r="W24" s="3884">
        <f>J24</f>
        <v>100</v>
      </c>
      <c r="X24" s="935"/>
      <c r="Y24" s="4599"/>
      <c r="Z24" s="933">
        <f>Q24</f>
        <v>111</v>
      </c>
      <c r="AA24" s="933">
        <f t="shared" si="3"/>
        <v>1</v>
      </c>
      <c r="AB24" s="933">
        <f t="shared" si="4"/>
        <v>1</v>
      </c>
      <c r="AC24" s="933">
        <f t="shared" si="5"/>
        <v>1</v>
      </c>
    </row>
    <row r="25" spans="1:29" s="46" customFormat="1" ht="15.75" thickBot="1">
      <c r="A25" s="257"/>
      <c r="B25" s="310">
        <v>111</v>
      </c>
      <c r="C25" s="1455"/>
      <c r="D25" s="2989">
        <v>100</v>
      </c>
      <c r="E25" s="1455"/>
      <c r="F25" s="781">
        <f>SUMIF(75:75,E25,76:76)-SUMIF(75:75,C25,76:76)+100</f>
        <v>100</v>
      </c>
      <c r="G25" s="1455"/>
      <c r="H25" s="407">
        <f>SUMIF(75:75,G25,76:76)-SUMIF(75:75,C25,76:76)+100</f>
        <v>100</v>
      </c>
      <c r="I25" s="1455"/>
      <c r="J25" s="407">
        <f>SUMIF(75:75,I25,76:76)-SUMIF(75:75,C25,76:76)+100</f>
        <v>100</v>
      </c>
      <c r="K25" s="395"/>
      <c r="L25" s="2009"/>
      <c r="M25" s="1962"/>
      <c r="N25" s="1962"/>
      <c r="O25" s="2061"/>
      <c r="P25" s="4599"/>
      <c r="Q25" s="389">
        <f t="shared" si="11"/>
        <v>111</v>
      </c>
      <c r="R25" s="3880" t="s">
        <v>13</v>
      </c>
      <c r="S25" s="3883">
        <f>F25</f>
        <v>100</v>
      </c>
      <c r="T25" s="3880" t="s">
        <v>13</v>
      </c>
      <c r="U25" s="3883">
        <f>H25</f>
        <v>100</v>
      </c>
      <c r="V25" s="3880" t="s">
        <v>13</v>
      </c>
      <c r="W25" s="3883">
        <f>J25</f>
        <v>100</v>
      </c>
      <c r="X25" s="482"/>
      <c r="Y25" s="4599"/>
      <c r="Z25" s="28">
        <f>Q25</f>
        <v>111</v>
      </c>
      <c r="AA25" s="933">
        <f>D25/F25</f>
        <v>1</v>
      </c>
      <c r="AB25" s="933">
        <f>D25/H25</f>
        <v>1</v>
      </c>
      <c r="AC25" s="933">
        <f>D25/J25</f>
        <v>1</v>
      </c>
    </row>
    <row r="26" spans="1:29" ht="28.5">
      <c r="A26" s="276" t="s">
        <v>1606</v>
      </c>
      <c r="B26" s="34" t="s">
        <v>1750</v>
      </c>
      <c r="C26" s="1446"/>
      <c r="D26" s="2987">
        <v>100</v>
      </c>
      <c r="E26" s="1446"/>
      <c r="F26" s="3886">
        <f>SUMIF(77:77,E26,78:78)-SUMIF(77:77,C26,78:78)+100</f>
        <v>100</v>
      </c>
      <c r="G26" s="1446"/>
      <c r="H26" s="3868">
        <f>SUMIF(77:77,G26,78:78)-SUMIF(77:77,C26,78:78)+100</f>
        <v>100</v>
      </c>
      <c r="I26" s="1446"/>
      <c r="J26" s="3868">
        <f>SUMIF(77:77,I26,78:78)-SUMIF(77:77,C26,78:78)+100</f>
        <v>100</v>
      </c>
      <c r="K26" s="394"/>
      <c r="L26" s="2013"/>
      <c r="M26" s="2008"/>
      <c r="N26" s="2008"/>
      <c r="O26" s="2063"/>
      <c r="P26" s="4706" t="s">
        <v>1608</v>
      </c>
      <c r="Q26" s="932" t="str">
        <f t="shared" si="11"/>
        <v>公共部分装修</v>
      </c>
      <c r="R26" s="3881" t="s">
        <v>13</v>
      </c>
      <c r="S26" s="3884">
        <f t="shared" ref="S26:S34" si="12">F26</f>
        <v>100</v>
      </c>
      <c r="T26" s="3881" t="s">
        <v>13</v>
      </c>
      <c r="U26" s="3884">
        <f t="shared" ref="U26:U34" si="13">H26</f>
        <v>100</v>
      </c>
      <c r="V26" s="3881" t="s">
        <v>13</v>
      </c>
      <c r="W26" s="3884">
        <f t="shared" ref="W26:W34" si="14">J26</f>
        <v>100</v>
      </c>
      <c r="X26" s="935"/>
      <c r="Y26" s="4603" t="s">
        <v>1608</v>
      </c>
      <c r="Z26" s="933" t="str">
        <f t="shared" ref="Z26:Z34" si="15">Q26</f>
        <v>公共部分装修</v>
      </c>
      <c r="AA26" s="933">
        <f t="shared" si="3"/>
        <v>1</v>
      </c>
      <c r="AB26" s="933">
        <f t="shared" si="4"/>
        <v>1</v>
      </c>
      <c r="AC26" s="933">
        <f t="shared" si="5"/>
        <v>1</v>
      </c>
    </row>
    <row r="27" spans="1:29" s="279" customFormat="1" ht="15">
      <c r="A27" s="277"/>
      <c r="B27" s="252" t="s">
        <v>1751</v>
      </c>
      <c r="C27" s="282"/>
      <c r="D27" s="2978">
        <v>100</v>
      </c>
      <c r="E27" s="283"/>
      <c r="F27" s="934" t="e">
        <f>LOOKUP(E27,80:80,81:81)-LOOKUP(C27,80:80,81:81)+100</f>
        <v>#N/A</v>
      </c>
      <c r="G27" s="284"/>
      <c r="H27" s="3865" t="e">
        <f>LOOKUP(G27,80:80,81:81)-LOOKUP(C27,80:80,81:81)+100</f>
        <v>#N/A</v>
      </c>
      <c r="I27" s="284"/>
      <c r="J27" s="3865" t="e">
        <f>LOOKUP(I27,80:80,81:81)-LOOKUP(C27,80:80,81:81)+100</f>
        <v>#N/A</v>
      </c>
      <c r="K27" s="394"/>
      <c r="L27" s="2012"/>
      <c r="M27" s="2014"/>
      <c r="N27" s="2014"/>
      <c r="O27" s="2064"/>
      <c r="P27" s="4603"/>
      <c r="Q27" s="483" t="str">
        <f t="shared" si="11"/>
        <v>成新率</v>
      </c>
      <c r="R27" s="3882" t="s">
        <v>13</v>
      </c>
      <c r="S27" s="3885" t="e">
        <f t="shared" si="12"/>
        <v>#N/A</v>
      </c>
      <c r="T27" s="3882" t="s">
        <v>13</v>
      </c>
      <c r="U27" s="3885" t="e">
        <f t="shared" si="13"/>
        <v>#N/A</v>
      </c>
      <c r="V27" s="3882" t="s">
        <v>13</v>
      </c>
      <c r="W27" s="3885" t="e">
        <f t="shared" si="14"/>
        <v>#N/A</v>
      </c>
      <c r="X27" s="484"/>
      <c r="Y27" s="4603"/>
      <c r="Z27" s="485" t="str">
        <f t="shared" si="15"/>
        <v>成新率</v>
      </c>
      <c r="AA27" s="933" t="e">
        <f t="shared" si="3"/>
        <v>#N/A</v>
      </c>
      <c r="AB27" s="933" t="e">
        <f t="shared" si="4"/>
        <v>#N/A</v>
      </c>
      <c r="AC27" s="933" t="e">
        <f t="shared" si="5"/>
        <v>#N/A</v>
      </c>
    </row>
    <row r="28" spans="1:29" ht="15">
      <c r="A28" s="280"/>
      <c r="B28" s="252" t="s">
        <v>1752</v>
      </c>
      <c r="C28" s="275"/>
      <c r="D28" s="2980">
        <v>100</v>
      </c>
      <c r="E28" s="275"/>
      <c r="F28" s="934">
        <f>SUMIF(82:82,E28,83:83)-SUMIF(82:82,C28,83:83)+100</f>
        <v>100</v>
      </c>
      <c r="G28" s="275"/>
      <c r="H28" s="3865">
        <f>SUMIF(82:82,G28,83:83)-SUMIF(82:82,C28,83:83)+100</f>
        <v>100</v>
      </c>
      <c r="I28" s="275"/>
      <c r="J28" s="3865">
        <f>SUMIF(82:82,I28,83:83)-SUMIF(82:82,C28,83:83)+100</f>
        <v>100</v>
      </c>
      <c r="K28" s="394"/>
      <c r="L28" s="2013"/>
      <c r="M28" s="2008"/>
      <c r="N28" s="2008"/>
      <c r="O28" s="2063"/>
      <c r="P28" s="4603"/>
      <c r="Q28" s="932" t="str">
        <f t="shared" si="11"/>
        <v>物业等级</v>
      </c>
      <c r="R28" s="3881" t="s">
        <v>13</v>
      </c>
      <c r="S28" s="3884">
        <f t="shared" si="12"/>
        <v>100</v>
      </c>
      <c r="T28" s="3881" t="s">
        <v>13</v>
      </c>
      <c r="U28" s="3884">
        <f t="shared" si="13"/>
        <v>100</v>
      </c>
      <c r="V28" s="3881" t="s">
        <v>13</v>
      </c>
      <c r="W28" s="3884">
        <f t="shared" si="14"/>
        <v>100</v>
      </c>
      <c r="X28" s="935"/>
      <c r="Y28" s="4603"/>
      <c r="Z28" s="933" t="str">
        <f t="shared" si="15"/>
        <v>物业等级</v>
      </c>
      <c r="AA28" s="933">
        <f t="shared" si="3"/>
        <v>1</v>
      </c>
      <c r="AB28" s="933">
        <f t="shared" si="4"/>
        <v>1</v>
      </c>
      <c r="AC28" s="933">
        <f t="shared" si="5"/>
        <v>1</v>
      </c>
    </row>
    <row r="29" spans="1:29" ht="15">
      <c r="A29" s="280"/>
      <c r="B29" s="252" t="s">
        <v>1772</v>
      </c>
      <c r="C29" s="425"/>
      <c r="D29" s="2980">
        <v>100</v>
      </c>
      <c r="E29" s="425"/>
      <c r="F29" s="934">
        <f>SUMIF(84:84,E29,85:85)-SUMIF(84:84,C29,85:85)+100</f>
        <v>100</v>
      </c>
      <c r="G29" s="425"/>
      <c r="H29" s="3865">
        <f>SUMIF(84:84,G29,85:85)-SUMIF(84:84,C29,85:85)+100</f>
        <v>100</v>
      </c>
      <c r="I29" s="425"/>
      <c r="J29" s="3865">
        <f>SUMIF(84:84,I29,85:85)-SUMIF(84:84,C29,85:85)+100</f>
        <v>100</v>
      </c>
      <c r="K29" s="394"/>
      <c r="L29" s="2013"/>
      <c r="M29" s="2008"/>
      <c r="N29" s="2008"/>
      <c r="O29" s="2063"/>
      <c r="P29" s="4603"/>
      <c r="Q29" s="932" t="str">
        <f t="shared" si="11"/>
        <v>有无电梯</v>
      </c>
      <c r="R29" s="3881" t="s">
        <v>13</v>
      </c>
      <c r="S29" s="3884">
        <f t="shared" si="12"/>
        <v>100</v>
      </c>
      <c r="T29" s="3881" t="s">
        <v>13</v>
      </c>
      <c r="U29" s="3884">
        <f t="shared" si="13"/>
        <v>100</v>
      </c>
      <c r="V29" s="3881" t="s">
        <v>13</v>
      </c>
      <c r="W29" s="3884">
        <f t="shared" si="14"/>
        <v>100</v>
      </c>
      <c r="X29" s="935"/>
      <c r="Y29" s="4603"/>
      <c r="Z29" s="933" t="str">
        <f t="shared" si="15"/>
        <v>有无电梯</v>
      </c>
      <c r="AA29" s="933">
        <f t="shared" si="3"/>
        <v>1</v>
      </c>
      <c r="AB29" s="933">
        <f t="shared" si="4"/>
        <v>1</v>
      </c>
      <c r="AC29" s="933">
        <f t="shared" si="5"/>
        <v>1</v>
      </c>
    </row>
    <row r="30" spans="1:29" ht="15">
      <c r="A30" s="280"/>
      <c r="B30" s="252" t="s">
        <v>1773</v>
      </c>
      <c r="C30" s="278"/>
      <c r="D30" s="2980">
        <v>100</v>
      </c>
      <c r="E30" s="278"/>
      <c r="F30" s="934" t="e">
        <f>LOOKUP(E30,87:87,88:88)-LOOKUP(C30,87:87,88:88)+100</f>
        <v>#N/A</v>
      </c>
      <c r="G30" s="278"/>
      <c r="H30" s="3865" t="e">
        <f>LOOKUP(G30,87:87,88:88)-LOOKUP(C30,87:87,88:88)+100</f>
        <v>#N/A</v>
      </c>
      <c r="I30" s="278"/>
      <c r="J30" s="3865" t="e">
        <f>LOOKUP(I30,87:87,88:88)-LOOKUP(C30,87:87,88:88)+100</f>
        <v>#N/A</v>
      </c>
      <c r="K30" s="395"/>
      <c r="L30" s="2013"/>
      <c r="M30" s="2008"/>
      <c r="N30" s="2008"/>
      <c r="O30" s="2063"/>
      <c r="P30" s="4603"/>
      <c r="Q30" s="932" t="str">
        <f t="shared" si="11"/>
        <v>建筑面积</v>
      </c>
      <c r="R30" s="3881" t="s">
        <v>13</v>
      </c>
      <c r="S30" s="3884" t="e">
        <f t="shared" si="12"/>
        <v>#N/A</v>
      </c>
      <c r="T30" s="3881" t="s">
        <v>13</v>
      </c>
      <c r="U30" s="3884" t="e">
        <f t="shared" si="13"/>
        <v>#N/A</v>
      </c>
      <c r="V30" s="3881" t="s">
        <v>13</v>
      </c>
      <c r="W30" s="3884" t="e">
        <f t="shared" si="14"/>
        <v>#N/A</v>
      </c>
      <c r="X30" s="935"/>
      <c r="Y30" s="4603"/>
      <c r="Z30" s="933" t="str">
        <f t="shared" si="15"/>
        <v>建筑面积</v>
      </c>
      <c r="AA30" s="933" t="e">
        <f t="shared" si="3"/>
        <v>#N/A</v>
      </c>
      <c r="AB30" s="933" t="e">
        <f t="shared" si="4"/>
        <v>#N/A</v>
      </c>
      <c r="AC30" s="933" t="e">
        <f t="shared" si="5"/>
        <v>#N/A</v>
      </c>
    </row>
    <row r="31" spans="1:29" s="46" customFormat="1" ht="15">
      <c r="A31" s="281"/>
      <c r="B31" s="252" t="s">
        <v>1774</v>
      </c>
      <c r="C31" s="425"/>
      <c r="D31" s="2978">
        <v>100</v>
      </c>
      <c r="E31" s="425"/>
      <c r="F31" s="934">
        <f>SUMIF(89:89,E31,90:90)-SUMIF(89:89,C31,90:90)+100</f>
        <v>100</v>
      </c>
      <c r="G31" s="425"/>
      <c r="H31" s="3865">
        <f>SUMIF(89:89,G31,90:90)-SUMIF(89:89,C31,90:90)+100</f>
        <v>100</v>
      </c>
      <c r="I31" s="425"/>
      <c r="J31" s="3865">
        <f>SUMIF(89:89,I31,90:90)-SUMIF(89:89,C31,90:90)+100</f>
        <v>100</v>
      </c>
      <c r="K31" s="394"/>
      <c r="L31" s="2009"/>
      <c r="M31" s="1962"/>
      <c r="N31" s="1962"/>
      <c r="O31" s="2061"/>
      <c r="P31" s="4603"/>
      <c r="Q31" s="389" t="str">
        <f t="shared" si="11"/>
        <v>是否封闭</v>
      </c>
      <c r="R31" s="3880" t="s">
        <v>13</v>
      </c>
      <c r="S31" s="3883">
        <f t="shared" si="12"/>
        <v>100</v>
      </c>
      <c r="T31" s="3880" t="s">
        <v>13</v>
      </c>
      <c r="U31" s="3883">
        <f t="shared" si="13"/>
        <v>100</v>
      </c>
      <c r="V31" s="3880" t="s">
        <v>13</v>
      </c>
      <c r="W31" s="3883">
        <f t="shared" si="14"/>
        <v>100</v>
      </c>
      <c r="X31" s="482"/>
      <c r="Y31" s="4603"/>
      <c r="Z31" s="28" t="str">
        <f t="shared" si="15"/>
        <v>是否封闭</v>
      </c>
      <c r="AA31" s="28">
        <f t="shared" si="3"/>
        <v>1</v>
      </c>
      <c r="AB31" s="28">
        <f t="shared" si="4"/>
        <v>1</v>
      </c>
      <c r="AC31" s="28">
        <f t="shared" si="5"/>
        <v>1</v>
      </c>
    </row>
    <row r="32" spans="1:29" ht="15">
      <c r="A32" s="280"/>
      <c r="B32" s="310">
        <v>111</v>
      </c>
      <c r="C32" s="258"/>
      <c r="D32" s="2980">
        <v>100</v>
      </c>
      <c r="E32" s="278"/>
      <c r="F32" s="934">
        <f>SUMIF(91:91,E32,92:92)-SUMIF(91:91,C32,92:92)+100</f>
        <v>100</v>
      </c>
      <c r="G32" s="278"/>
      <c r="H32" s="3865">
        <f>SUMIF(91:91,G32,92:92)-SUMIF(91:91,C32,92:92)+100</f>
        <v>100</v>
      </c>
      <c r="I32" s="278"/>
      <c r="J32" s="3865">
        <f>SUMIF(91:91,I32,92:92)-SUMIF(91:91,C32,92:92)+100</f>
        <v>100</v>
      </c>
      <c r="K32" s="395"/>
      <c r="L32" s="2013"/>
      <c r="M32" s="2008"/>
      <c r="N32" s="2008"/>
      <c r="O32" s="2063"/>
      <c r="P32" s="4603" t="s">
        <v>1608</v>
      </c>
      <c r="Q32" s="932">
        <f t="shared" si="11"/>
        <v>111</v>
      </c>
      <c r="R32" s="3881" t="s">
        <v>13</v>
      </c>
      <c r="S32" s="3884">
        <f t="shared" si="12"/>
        <v>100</v>
      </c>
      <c r="T32" s="3881" t="s">
        <v>13</v>
      </c>
      <c r="U32" s="3884">
        <f t="shared" si="13"/>
        <v>100</v>
      </c>
      <c r="V32" s="3881" t="s">
        <v>13</v>
      </c>
      <c r="W32" s="3884">
        <f t="shared" si="14"/>
        <v>100</v>
      </c>
      <c r="X32" s="935"/>
      <c r="Y32" s="4603" t="s">
        <v>1608</v>
      </c>
      <c r="Z32" s="933">
        <f t="shared" si="15"/>
        <v>111</v>
      </c>
      <c r="AA32" s="933">
        <f t="shared" si="3"/>
        <v>1</v>
      </c>
      <c r="AB32" s="933">
        <f t="shared" si="4"/>
        <v>1</v>
      </c>
      <c r="AC32" s="933">
        <f t="shared" si="5"/>
        <v>1</v>
      </c>
    </row>
    <row r="33" spans="1:30" ht="15">
      <c r="A33" s="280"/>
      <c r="B33" s="310">
        <v>111</v>
      </c>
      <c r="C33" s="258"/>
      <c r="D33" s="2980">
        <v>100</v>
      </c>
      <c r="E33" s="278"/>
      <c r="F33" s="934">
        <f>SUMIF(93:93,E33,94:94)-SUMIF(93:93,C33,94:94)+100</f>
        <v>100</v>
      </c>
      <c r="G33" s="278"/>
      <c r="H33" s="3865">
        <f>SUMIF(93:93,G33,94:94)-SUMIF(93:93,C33,94:94)+100</f>
        <v>100</v>
      </c>
      <c r="I33" s="278"/>
      <c r="J33" s="3865">
        <f>SUMIF(93:93,I33,94:94)-SUMIF(93:93,C33,94:94)+100</f>
        <v>100</v>
      </c>
      <c r="K33" s="395"/>
      <c r="L33" s="2013"/>
      <c r="M33" s="2008"/>
      <c r="N33" s="2008"/>
      <c r="O33" s="2063"/>
      <c r="P33" s="4603"/>
      <c r="Q33" s="932">
        <f t="shared" si="11"/>
        <v>111</v>
      </c>
      <c r="R33" s="3881" t="s">
        <v>13</v>
      </c>
      <c r="S33" s="3884">
        <f t="shared" si="12"/>
        <v>100</v>
      </c>
      <c r="T33" s="3881" t="s">
        <v>13</v>
      </c>
      <c r="U33" s="3884">
        <f t="shared" si="13"/>
        <v>100</v>
      </c>
      <c r="V33" s="3881" t="s">
        <v>13</v>
      </c>
      <c r="W33" s="3884">
        <f t="shared" si="14"/>
        <v>100</v>
      </c>
      <c r="X33" s="935"/>
      <c r="Y33" s="4603"/>
      <c r="Z33" s="933">
        <f t="shared" si="15"/>
        <v>111</v>
      </c>
      <c r="AA33" s="933">
        <f t="shared" si="3"/>
        <v>1</v>
      </c>
      <c r="AB33" s="933">
        <f t="shared" si="4"/>
        <v>1</v>
      </c>
      <c r="AC33" s="933">
        <f t="shared" si="5"/>
        <v>1</v>
      </c>
    </row>
    <row r="34" spans="1:30" ht="15.75" thickBot="1">
      <c r="A34" s="285"/>
      <c r="B34" s="1387">
        <v>111</v>
      </c>
      <c r="C34" s="261"/>
      <c r="D34" s="2981">
        <v>100</v>
      </c>
      <c r="E34" s="1454"/>
      <c r="F34" s="3866">
        <f>SUMIF(95:95,E34,96:96)-SUMIF(95:95,C34,96:96)+100</f>
        <v>100</v>
      </c>
      <c r="G34" s="1454"/>
      <c r="H34" s="3862">
        <f>SUMIF(95:95,G34,96:96)-SUMIF(95:95,C34,96:96)+100</f>
        <v>100</v>
      </c>
      <c r="I34" s="1454"/>
      <c r="J34" s="3862">
        <f>SUMIF(95:95,I34,96:96)-SUMIF(95:95,C34,96:96)+100</f>
        <v>100</v>
      </c>
      <c r="K34" s="395"/>
      <c r="L34" s="2013"/>
      <c r="M34" s="2008"/>
      <c r="N34" s="2008"/>
      <c r="O34" s="2063"/>
      <c r="P34" s="4603"/>
      <c r="Q34" s="932">
        <f t="shared" si="11"/>
        <v>111</v>
      </c>
      <c r="R34" s="3881" t="s">
        <v>13</v>
      </c>
      <c r="S34" s="3884">
        <f t="shared" si="12"/>
        <v>100</v>
      </c>
      <c r="T34" s="3881" t="s">
        <v>13</v>
      </c>
      <c r="U34" s="3884">
        <f t="shared" si="13"/>
        <v>100</v>
      </c>
      <c r="V34" s="3881" t="s">
        <v>13</v>
      </c>
      <c r="W34" s="3884">
        <f t="shared" si="14"/>
        <v>100</v>
      </c>
      <c r="X34" s="935"/>
      <c r="Y34" s="4603"/>
      <c r="Z34" s="933">
        <f t="shared" si="15"/>
        <v>111</v>
      </c>
      <c r="AA34" s="933">
        <f t="shared" si="3"/>
        <v>1</v>
      </c>
      <c r="AB34" s="933">
        <f t="shared" si="4"/>
        <v>1</v>
      </c>
      <c r="AC34" s="933">
        <f t="shared" si="5"/>
        <v>1</v>
      </c>
    </row>
    <row r="35" spans="1:30" ht="15">
      <c r="A35" s="286" t="s">
        <v>1620</v>
      </c>
      <c r="B35" s="287"/>
      <c r="C35" s="787" t="s">
        <v>0</v>
      </c>
      <c r="D35" s="288"/>
      <c r="E35" s="3311"/>
      <c r="F35" s="3259"/>
      <c r="G35" s="3312"/>
      <c r="H35" s="3260"/>
      <c r="I35" s="3311"/>
      <c r="J35" s="3260"/>
      <c r="K35" s="2939"/>
      <c r="L35" s="2015"/>
      <c r="M35" s="2008"/>
      <c r="N35" s="2008"/>
      <c r="O35" s="2008"/>
      <c r="P35" s="4698" t="str">
        <f>A35</f>
        <v>成交单价（元/平方米）</v>
      </c>
      <c r="Q35" s="4698"/>
      <c r="R35" s="4691">
        <f>E35</f>
        <v>0</v>
      </c>
      <c r="S35" s="4691"/>
      <c r="T35" s="4691">
        <f>G35</f>
        <v>0</v>
      </c>
      <c r="U35" s="4691"/>
      <c r="V35" s="4691">
        <f>I35</f>
        <v>0</v>
      </c>
      <c r="W35" s="4691"/>
      <c r="X35" s="265"/>
      <c r="Y35" s="486"/>
      <c r="Z35" s="265"/>
      <c r="AA35" s="265"/>
      <c r="AB35" s="265"/>
      <c r="AC35" s="265"/>
    </row>
    <row r="36" spans="1:30" ht="15.75" thickBot="1">
      <c r="A36" s="289" t="s">
        <v>1705</v>
      </c>
      <c r="B36" s="290"/>
      <c r="C36" s="3847" t="e">
        <f>R37</f>
        <v>#DIV/0!</v>
      </c>
      <c r="D36" s="3960" t="s">
        <v>2047</v>
      </c>
      <c r="E36" s="3858" t="e">
        <f>R36</f>
        <v>#DIV/0!</v>
      </c>
      <c r="F36" s="2878"/>
      <c r="G36" s="3847" t="e">
        <f>T36</f>
        <v>#DIV/0!</v>
      </c>
      <c r="H36" s="2878"/>
      <c r="I36" s="3858" t="e">
        <f>V36</f>
        <v>#DIV/0!</v>
      </c>
      <c r="J36" s="2878"/>
      <c r="K36" s="2932">
        <f>F36+H36+J36</f>
        <v>0</v>
      </c>
      <c r="L36" s="2015"/>
      <c r="M36" s="2008"/>
      <c r="N36" s="2008"/>
      <c r="O36" s="2008"/>
      <c r="P36" s="4698" t="str">
        <f>A36</f>
        <v>比较价值（元/平方米）</v>
      </c>
      <c r="Q36" s="4698"/>
      <c r="R36" s="4691" t="e">
        <f>IF(F1="售价",ROUND(PRODUCT(R35,AA7:AA34),0),ROUND(PRODUCT(R35,AA7:AA34),1))</f>
        <v>#DIV/0!</v>
      </c>
      <c r="S36" s="4691"/>
      <c r="T36" s="4691" t="e">
        <f>IF(F1="售价",ROUND(PRODUCT(T35,AB7:AB34),0),ROUND(PRODUCT(T35,AB7:AB34),1))</f>
        <v>#DIV/0!</v>
      </c>
      <c r="U36" s="4691"/>
      <c r="V36" s="4691" t="e">
        <f>IF(F1="售价",ROUND(PRODUCT(V35,AC7:AC34),0),ROUND(PRODUCT(V35,AC7:AC34),1))</f>
        <v>#DIV/0!</v>
      </c>
      <c r="W36" s="4691"/>
      <c r="X36" s="265"/>
      <c r="Y36" s="265"/>
      <c r="Z36" s="265"/>
      <c r="AA36" s="265"/>
      <c r="AB36" s="265"/>
      <c r="AC36" s="265"/>
    </row>
    <row r="37" spans="1:30" ht="15.75" thickBot="1">
      <c r="A37" s="291" t="s">
        <v>1706</v>
      </c>
      <c r="B37" s="292"/>
      <c r="C37" s="3859" t="e">
        <f>R37</f>
        <v>#DIV/0!</v>
      </c>
      <c r="D37" s="241"/>
      <c r="E37" s="241"/>
      <c r="F37" s="241"/>
      <c r="G37" s="241"/>
      <c r="H37" s="241"/>
      <c r="I37" s="241"/>
      <c r="J37" s="241"/>
      <c r="K37" s="487"/>
      <c r="L37" s="2015"/>
      <c r="M37" s="2008"/>
      <c r="N37" s="2008"/>
      <c r="O37" s="2008"/>
      <c r="P37" s="4707" t="str">
        <f>A37</f>
        <v>估价对象XX用房的比较价值（楼面单价，元/平方米）</v>
      </c>
      <c r="Q37" s="4708"/>
      <c r="R37" s="4709" t="e">
        <f>IF(F1="售价",ROUND(IF(D36="简单平均",AVERAGE(R36:W36),R36*F36+T36*H36+V36*J36),0),ROUND(IF(D36="简单平均",AVERAGE(R36:V36),R36*F36+T36*H36+V36*J36),1))</f>
        <v>#DIV/0!</v>
      </c>
      <c r="S37" s="4709"/>
      <c r="T37" s="4709"/>
      <c r="U37" s="4709"/>
      <c r="V37" s="4709"/>
      <c r="W37" s="4709"/>
      <c r="X37" s="265"/>
      <c r="Y37" s="265"/>
      <c r="Z37" s="265"/>
      <c r="AA37" s="265"/>
      <c r="AB37" s="265"/>
      <c r="AC37" s="265"/>
    </row>
    <row r="38" spans="1:30">
      <c r="A38" s="2008"/>
      <c r="B38" s="2008"/>
      <c r="C38" s="2008"/>
      <c r="D38" s="2008"/>
      <c r="E38" s="2008"/>
      <c r="F38" s="2008"/>
      <c r="G38" s="2019"/>
      <c r="H38" s="2008"/>
      <c r="I38" s="2008"/>
      <c r="J38" s="2008"/>
      <c r="K38" s="2020"/>
      <c r="L38" s="2016"/>
      <c r="M38" s="2008"/>
      <c r="N38" s="2008"/>
      <c r="O38" s="2008"/>
      <c r="P38" s="2008"/>
      <c r="Q38" s="2008"/>
      <c r="R38" s="2008"/>
      <c r="S38" s="2008"/>
      <c r="T38" s="2008"/>
      <c r="U38" s="2008"/>
      <c r="V38" s="2008"/>
      <c r="W38" s="2008"/>
      <c r="X38" s="2008"/>
      <c r="Y38" s="2008"/>
      <c r="Z38" s="2008"/>
      <c r="AA38" s="2008"/>
      <c r="AB38" s="2008"/>
      <c r="AC38" s="2008"/>
      <c r="AD38" s="2008"/>
    </row>
    <row r="39" spans="1:30">
      <c r="A39" s="2008"/>
      <c r="B39" s="2008"/>
      <c r="C39" s="2008"/>
      <c r="D39" s="2008"/>
      <c r="E39" s="2008"/>
      <c r="F39" s="2008"/>
      <c r="G39" s="2008"/>
      <c r="H39" s="2008"/>
      <c r="I39" s="2008"/>
      <c r="J39" s="2008"/>
      <c r="K39" s="2020"/>
      <c r="L39" s="2016"/>
      <c r="M39" s="2008"/>
      <c r="N39" s="2008"/>
      <c r="O39" s="2008"/>
      <c r="P39" s="2008"/>
      <c r="Q39" s="2008"/>
      <c r="R39" s="2008"/>
      <c r="S39" s="2008"/>
      <c r="T39" s="2008"/>
      <c r="U39" s="2008"/>
      <c r="V39" s="2008"/>
      <c r="W39" s="2008"/>
      <c r="X39" s="2008"/>
      <c r="Y39" s="2008"/>
      <c r="Z39" s="2008"/>
      <c r="AA39" s="2008"/>
      <c r="AB39" s="2008"/>
      <c r="AC39" s="2008"/>
      <c r="AD39" s="2008"/>
    </row>
    <row r="40" spans="1:30" ht="13.5" customHeight="1">
      <c r="A40" s="2008"/>
      <c r="B40" s="2008"/>
      <c r="C40" s="296" t="s">
        <v>1707</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2020"/>
      <c r="L40" s="2016"/>
      <c r="M40" s="2008"/>
      <c r="N40" s="2008"/>
      <c r="O40" s="2008"/>
      <c r="P40" s="2008"/>
      <c r="Q40" s="2008"/>
      <c r="R40" s="2008"/>
      <c r="S40" s="2008"/>
      <c r="T40" s="2008"/>
      <c r="U40" s="2008"/>
      <c r="V40" s="2008"/>
      <c r="W40" s="2008"/>
      <c r="X40" s="2008"/>
      <c r="Y40" s="2008"/>
      <c r="Z40" s="2008"/>
      <c r="AA40" s="2008"/>
      <c r="AB40" s="2008"/>
      <c r="AC40" s="2008"/>
      <c r="AD40" s="2008"/>
    </row>
    <row r="41" spans="1:30" ht="13.5" customHeight="1">
      <c r="A41" s="2008"/>
      <c r="B41" s="2008"/>
      <c r="C41" s="296" t="s">
        <v>1708</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2020"/>
      <c r="L41" s="2016"/>
      <c r="M41" s="2008"/>
      <c r="N41" s="2008"/>
      <c r="O41" s="2008"/>
      <c r="P41" s="2008"/>
      <c r="Q41" s="2008"/>
      <c r="R41" s="2008"/>
      <c r="S41" s="2008"/>
      <c r="T41" s="2008"/>
      <c r="U41" s="2008"/>
      <c r="V41" s="2008"/>
      <c r="W41" s="2008"/>
      <c r="X41" s="2008"/>
      <c r="Y41" s="2008"/>
      <c r="Z41" s="2008"/>
      <c r="AA41" s="2008"/>
      <c r="AB41" s="2008"/>
      <c r="AC41" s="2008"/>
      <c r="AD41" s="2008"/>
    </row>
    <row r="42" spans="1:30" s="301" customFormat="1" ht="13.5" customHeight="1">
      <c r="A42" s="2018"/>
      <c r="B42" s="2018"/>
      <c r="C42" s="296" t="s">
        <v>1709</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2023"/>
      <c r="L42" s="2017"/>
      <c r="M42" s="2018"/>
      <c r="N42" s="2018"/>
      <c r="O42" s="2018"/>
      <c r="P42" s="2018"/>
      <c r="Q42" s="2018"/>
      <c r="R42" s="2018"/>
      <c r="S42" s="2018"/>
      <c r="T42" s="2018"/>
      <c r="U42" s="2018"/>
      <c r="V42" s="2018"/>
      <c r="W42" s="2018"/>
      <c r="X42" s="2018"/>
      <c r="Y42" s="2018"/>
      <c r="Z42" s="2018"/>
      <c r="AA42" s="2018"/>
      <c r="AB42" s="2018"/>
      <c r="AC42" s="2018"/>
      <c r="AD42" s="2018"/>
    </row>
    <row r="43" spans="1:30" s="301" customFormat="1">
      <c r="A43" s="2018"/>
      <c r="B43" s="2021"/>
      <c r="C43" s="2022"/>
      <c r="D43" s="2018"/>
      <c r="E43" s="2018"/>
      <c r="F43" s="2018"/>
      <c r="G43" s="2018"/>
      <c r="H43" s="2018"/>
      <c r="I43" s="2018"/>
      <c r="J43" s="2018"/>
      <c r="K43" s="2023"/>
      <c r="L43" s="2017"/>
      <c r="M43" s="2018"/>
      <c r="N43" s="2018"/>
      <c r="O43" s="2018"/>
      <c r="P43" s="2018"/>
      <c r="Q43" s="2018"/>
      <c r="R43" s="2018"/>
      <c r="S43" s="2018"/>
      <c r="T43" s="2018"/>
      <c r="U43" s="2018"/>
      <c r="V43" s="2018"/>
      <c r="W43" s="2018"/>
      <c r="X43" s="2018"/>
      <c r="Y43" s="2018"/>
      <c r="Z43" s="2018"/>
      <c r="AA43" s="2018"/>
      <c r="AB43" s="2018"/>
      <c r="AC43" s="2018"/>
      <c r="AD43" s="2018"/>
    </row>
    <row r="44" spans="1:30">
      <c r="A44" s="2008"/>
      <c r="B44" s="2021"/>
      <c r="C44" s="2022"/>
      <c r="D44" s="2008"/>
      <c r="E44" s="2008"/>
      <c r="F44" s="2008"/>
      <c r="G44" s="2008"/>
      <c r="H44" s="2008"/>
      <c r="I44" s="2008"/>
      <c r="J44" s="2008"/>
      <c r="K44" s="2020"/>
      <c r="L44" s="2016"/>
      <c r="M44" s="2008"/>
      <c r="N44" s="2008"/>
      <c r="O44" s="2008"/>
      <c r="P44" s="2008"/>
      <c r="Q44" s="2008"/>
      <c r="R44" s="2008"/>
      <c r="S44" s="2008"/>
      <c r="T44" s="2008"/>
      <c r="U44" s="2008"/>
      <c r="V44" s="2008"/>
      <c r="W44" s="2008"/>
      <c r="X44" s="2008"/>
      <c r="Y44" s="2008"/>
      <c r="Z44" s="2008"/>
      <c r="AA44" s="2008"/>
      <c r="AB44" s="2008"/>
      <c r="AC44" s="2008"/>
      <c r="AD44" s="2008"/>
    </row>
    <row r="45" spans="1:30" ht="21.75" thickBot="1">
      <c r="A45" s="476" t="s">
        <v>1710</v>
      </c>
      <c r="B45" s="265"/>
      <c r="C45" s="477"/>
      <c r="D45" s="477"/>
      <c r="E45" s="477"/>
      <c r="F45" s="478"/>
      <c r="G45" s="478"/>
      <c r="H45" s="477"/>
      <c r="I45" s="477"/>
      <c r="J45" s="477"/>
      <c r="K45" s="479"/>
      <c r="L45" s="480"/>
      <c r="M45" s="477"/>
      <c r="N45" s="2058"/>
      <c r="O45" s="2058"/>
      <c r="P45" s="2058"/>
      <c r="Q45" s="2029"/>
      <c r="R45" s="2008"/>
      <c r="S45" s="2008"/>
      <c r="T45" s="2008"/>
      <c r="U45" s="2008"/>
      <c r="V45" s="2008"/>
      <c r="W45" s="2008"/>
      <c r="X45" s="2008"/>
      <c r="Y45" s="2008"/>
      <c r="Z45" s="2008"/>
      <c r="AA45" s="2008"/>
      <c r="AB45" s="2008"/>
      <c r="AC45" s="2008"/>
      <c r="AD45" s="2008"/>
    </row>
    <row r="46" spans="1:30" s="305" customFormat="1" ht="15">
      <c r="A46" s="303" t="s">
        <v>1591</v>
      </c>
      <c r="B46" s="304"/>
      <c r="C46" s="803" t="str">
        <f>YEAR(C7)&amp;"-"&amp;MONTH(C7)</f>
        <v>2026-1</v>
      </c>
      <c r="D46" s="804">
        <f>EDATE(C46,-1)</f>
        <v>45992</v>
      </c>
      <c r="E46" s="804">
        <f t="shared" ref="E46:O46" si="16">EDATE(D46,-1)</f>
        <v>45962</v>
      </c>
      <c r="F46" s="804">
        <f t="shared" si="16"/>
        <v>45931</v>
      </c>
      <c r="G46" s="804">
        <f t="shared" si="16"/>
        <v>45901</v>
      </c>
      <c r="H46" s="804">
        <f t="shared" si="16"/>
        <v>45870</v>
      </c>
      <c r="I46" s="804">
        <f t="shared" si="16"/>
        <v>45839</v>
      </c>
      <c r="J46" s="804">
        <f t="shared" si="16"/>
        <v>45809</v>
      </c>
      <c r="K46" s="804">
        <f t="shared" si="16"/>
        <v>45778</v>
      </c>
      <c r="L46" s="804">
        <f t="shared" si="16"/>
        <v>45748</v>
      </c>
      <c r="M46" s="804">
        <f t="shared" si="16"/>
        <v>45717</v>
      </c>
      <c r="N46" s="804">
        <f t="shared" si="16"/>
        <v>45689</v>
      </c>
      <c r="O46" s="804">
        <f t="shared" si="16"/>
        <v>45658</v>
      </c>
      <c r="P46" s="2031"/>
      <c r="Q46" s="2031"/>
      <c r="R46" s="2031"/>
      <c r="S46" s="2031"/>
      <c r="T46" s="2031"/>
      <c r="U46" s="2031"/>
      <c r="V46" s="2031"/>
      <c r="W46" s="2031"/>
      <c r="X46" s="2031"/>
      <c r="Y46" s="2031"/>
      <c r="Z46" s="2031"/>
      <c r="AA46" s="2031"/>
      <c r="AB46" s="2031"/>
      <c r="AC46" s="2031"/>
      <c r="AD46" s="2031"/>
    </row>
    <row r="47" spans="1:30" s="46" customFormat="1" ht="15">
      <c r="A47" s="306"/>
      <c r="B47" s="307"/>
      <c r="C47" s="802">
        <v>100</v>
      </c>
      <c r="D47" s="309"/>
      <c r="E47" s="309"/>
      <c r="F47" s="309"/>
      <c r="G47" s="309"/>
      <c r="H47" s="309"/>
      <c r="I47" s="309"/>
      <c r="J47" s="309"/>
      <c r="K47" s="309"/>
      <c r="L47" s="309"/>
      <c r="M47" s="310"/>
      <c r="N47" s="309"/>
      <c r="O47" s="311"/>
      <c r="P47" s="2029"/>
      <c r="Q47" s="1962"/>
      <c r="R47" s="1962"/>
      <c r="S47" s="1962"/>
      <c r="T47" s="1962"/>
      <c r="U47" s="1962"/>
      <c r="V47" s="1962"/>
      <c r="W47" s="1962"/>
      <c r="X47" s="1962"/>
      <c r="Y47" s="1962"/>
      <c r="Z47" s="1962"/>
      <c r="AA47" s="1962"/>
      <c r="AB47" s="1962"/>
      <c r="AC47" s="1962"/>
      <c r="AD47" s="1962"/>
    </row>
    <row r="48" spans="1:30" s="46" customFormat="1" ht="15.75" thickBot="1">
      <c r="A48" s="312" t="s">
        <v>1628</v>
      </c>
      <c r="B48" s="313"/>
      <c r="C48" s="314"/>
      <c r="D48" s="315"/>
      <c r="E48" s="315"/>
      <c r="F48" s="315"/>
      <c r="G48" s="315"/>
      <c r="H48" s="315"/>
      <c r="I48" s="315"/>
      <c r="J48" s="315"/>
      <c r="K48" s="315"/>
      <c r="L48" s="315"/>
      <c r="M48" s="316"/>
      <c r="N48" s="315"/>
      <c r="O48" s="317"/>
      <c r="P48" s="2029"/>
      <c r="Q48" s="2029"/>
      <c r="R48" s="1962"/>
      <c r="S48" s="1962"/>
      <c r="T48" s="1962"/>
      <c r="U48" s="1962"/>
      <c r="V48" s="1962"/>
      <c r="W48" s="1962"/>
      <c r="X48" s="1962"/>
      <c r="Y48" s="1962"/>
      <c r="Z48" s="1962"/>
      <c r="AA48" s="1962"/>
      <c r="AB48" s="1962"/>
      <c r="AC48" s="1962"/>
      <c r="AD48" s="1962"/>
    </row>
    <row r="49" spans="1:30" s="46" customFormat="1" ht="15">
      <c r="A49" s="318" t="s">
        <v>1593</v>
      </c>
      <c r="B49" s="307"/>
      <c r="C49" s="319" t="s">
        <v>1688</v>
      </c>
      <c r="D49" s="20"/>
      <c r="E49" s="20"/>
      <c r="F49" s="20"/>
      <c r="G49" s="20"/>
      <c r="H49" s="20"/>
      <c r="I49" s="20"/>
      <c r="J49" s="20"/>
      <c r="K49" s="20"/>
      <c r="L49" s="320"/>
      <c r="M49" s="321"/>
      <c r="N49" s="2041"/>
      <c r="O49" s="2041"/>
      <c r="P49" s="2065"/>
      <c r="Q49" s="2029"/>
      <c r="R49" s="1962"/>
      <c r="S49" s="1962"/>
      <c r="T49" s="1962"/>
      <c r="U49" s="1962"/>
      <c r="V49" s="1962"/>
      <c r="W49" s="1962"/>
      <c r="X49" s="1962"/>
      <c r="Y49" s="1962"/>
      <c r="Z49" s="1962"/>
      <c r="AA49" s="1962"/>
      <c r="AB49" s="1962"/>
      <c r="AC49" s="1962"/>
      <c r="AD49" s="1962"/>
    </row>
    <row r="50" spans="1:30" s="46" customFormat="1" ht="15.75" thickBot="1">
      <c r="A50" s="318"/>
      <c r="B50" s="307"/>
      <c r="C50" s="411">
        <v>100</v>
      </c>
      <c r="D50" s="309"/>
      <c r="E50" s="309"/>
      <c r="F50" s="309"/>
      <c r="G50" s="309"/>
      <c r="H50" s="309"/>
      <c r="I50" s="309"/>
      <c r="J50" s="309"/>
      <c r="K50" s="309"/>
      <c r="L50" s="309"/>
      <c r="M50" s="311"/>
      <c r="N50" s="2041"/>
      <c r="O50" s="2041"/>
      <c r="P50" s="2029"/>
      <c r="Q50" s="2029"/>
      <c r="R50" s="1962"/>
      <c r="S50" s="1962"/>
      <c r="T50" s="1962"/>
      <c r="U50" s="1962"/>
      <c r="V50" s="1962"/>
      <c r="W50" s="1962"/>
      <c r="X50" s="1962"/>
      <c r="Y50" s="1962"/>
      <c r="Z50" s="1962"/>
      <c r="AA50" s="1962"/>
      <c r="AB50" s="1962"/>
      <c r="AC50" s="1962"/>
      <c r="AD50" s="1962"/>
    </row>
    <row r="51" spans="1:30">
      <c r="A51" s="262" t="s">
        <v>1631</v>
      </c>
      <c r="B51" s="322" t="s">
        <v>1597</v>
      </c>
      <c r="C51" s="323">
        <f>C9</f>
        <v>0</v>
      </c>
      <c r="D51" s="324"/>
      <c r="E51" s="324"/>
      <c r="F51" s="324"/>
      <c r="G51" s="324"/>
      <c r="H51" s="324"/>
      <c r="I51" s="324"/>
      <c r="J51" s="324"/>
      <c r="K51" s="325"/>
      <c r="L51" s="326"/>
      <c r="M51" s="327"/>
      <c r="N51" s="2042"/>
      <c r="O51" s="2042"/>
      <c r="P51" s="2041"/>
      <c r="Q51" s="2029"/>
      <c r="R51" s="2008"/>
      <c r="S51" s="2008"/>
      <c r="T51" s="2008"/>
      <c r="U51" s="2008"/>
      <c r="V51" s="2008"/>
      <c r="W51" s="2008"/>
      <c r="X51" s="2008"/>
      <c r="Y51" s="2008"/>
      <c r="Z51" s="2008"/>
      <c r="AA51" s="2008"/>
      <c r="AB51" s="2008"/>
      <c r="AC51" s="2008"/>
      <c r="AD51" s="2008"/>
    </row>
    <row r="52" spans="1:30" ht="15.75" thickBot="1">
      <c r="A52" s="254"/>
      <c r="B52" s="328"/>
      <c r="C52" s="329">
        <v>100</v>
      </c>
      <c r="D52" s="329"/>
      <c r="E52" s="329"/>
      <c r="F52" s="329"/>
      <c r="G52" s="329"/>
      <c r="H52" s="329"/>
      <c r="I52" s="329"/>
      <c r="J52" s="329"/>
      <c r="K52" s="329"/>
      <c r="L52" s="329"/>
      <c r="M52" s="330"/>
      <c r="N52" s="2043"/>
      <c r="O52" s="2043"/>
      <c r="P52" s="2041"/>
      <c r="Q52" s="2029"/>
      <c r="R52" s="2008"/>
      <c r="S52" s="2008"/>
      <c r="T52" s="2008"/>
      <c r="U52" s="2008"/>
      <c r="V52" s="2008"/>
      <c r="W52" s="2008"/>
      <c r="X52" s="2008"/>
      <c r="Y52" s="2008"/>
      <c r="Z52" s="2008"/>
      <c r="AA52" s="2008"/>
      <c r="AB52" s="2008"/>
      <c r="AC52" s="2008"/>
      <c r="AD52" s="2008"/>
    </row>
    <row r="53" spans="1:30" ht="27.75" thickTop="1">
      <c r="A53" s="254"/>
      <c r="B53" s="331" t="s">
        <v>1600</v>
      </c>
      <c r="C53" s="372"/>
      <c r="D53" s="372"/>
      <c r="E53" s="372"/>
      <c r="F53" s="372"/>
      <c r="G53" s="372"/>
      <c r="H53" s="372"/>
      <c r="I53" s="372"/>
      <c r="J53" s="372"/>
      <c r="K53" s="373"/>
      <c r="L53" s="374"/>
      <c r="M53" s="375"/>
      <c r="N53" s="2042"/>
      <c r="O53" s="2042"/>
      <c r="P53" s="2041"/>
      <c r="Q53" s="2029"/>
      <c r="R53" s="2008"/>
      <c r="S53" s="2008"/>
      <c r="T53" s="2008"/>
      <c r="U53" s="2008"/>
      <c r="V53" s="2008"/>
      <c r="W53" s="2008"/>
      <c r="X53" s="2008"/>
      <c r="Y53" s="2008"/>
      <c r="Z53" s="2008"/>
      <c r="AA53" s="2008"/>
      <c r="AB53" s="2008"/>
      <c r="AC53" s="2008"/>
      <c r="AD53" s="2008"/>
    </row>
    <row r="54" spans="1:30" ht="15.75" thickBot="1">
      <c r="A54" s="254"/>
      <c r="B54" s="336" t="s">
        <v>3883</v>
      </c>
      <c r="C54" s="329"/>
      <c r="D54" s="329"/>
      <c r="E54" s="329"/>
      <c r="F54" s="329"/>
      <c r="G54" s="329"/>
      <c r="H54" s="329"/>
      <c r="I54" s="329"/>
      <c r="J54" s="329"/>
      <c r="K54" s="329"/>
      <c r="L54" s="329"/>
      <c r="M54" s="330"/>
      <c r="N54" s="2043"/>
      <c r="O54" s="2043"/>
      <c r="P54" s="2041"/>
      <c r="Q54" s="2029"/>
      <c r="R54" s="2008"/>
      <c r="S54" s="2008"/>
      <c r="T54" s="2008"/>
      <c r="U54" s="2008"/>
      <c r="V54" s="2008"/>
      <c r="W54" s="2008"/>
      <c r="X54" s="2008"/>
      <c r="Y54" s="2008"/>
      <c r="Z54" s="2008"/>
      <c r="AA54" s="2008"/>
      <c r="AB54" s="2008"/>
      <c r="AC54" s="2008"/>
      <c r="AD54" s="2008"/>
    </row>
    <row r="55" spans="1:30" ht="15.75" thickTop="1">
      <c r="A55" s="254"/>
      <c r="B55" s="428">
        <f>B11</f>
        <v>111</v>
      </c>
      <c r="C55" s="342"/>
      <c r="D55" s="342"/>
      <c r="E55" s="342"/>
      <c r="F55" s="342"/>
      <c r="G55" s="342"/>
      <c r="H55" s="342"/>
      <c r="I55" s="342"/>
      <c r="J55" s="342"/>
      <c r="K55" s="343"/>
      <c r="L55" s="344"/>
      <c r="M55" s="345"/>
      <c r="N55" s="2042"/>
      <c r="O55" s="2042"/>
      <c r="P55" s="2041"/>
      <c r="Q55" s="2029"/>
      <c r="R55" s="2008"/>
      <c r="S55" s="2008"/>
      <c r="T55" s="2008"/>
      <c r="U55" s="2008"/>
      <c r="V55" s="2008"/>
      <c r="W55" s="2008"/>
      <c r="X55" s="2008"/>
      <c r="Y55" s="2008"/>
      <c r="Z55" s="2008"/>
      <c r="AA55" s="2008"/>
      <c r="AB55" s="2008"/>
      <c r="AC55" s="2008"/>
      <c r="AD55" s="2008"/>
    </row>
    <row r="56" spans="1:30" ht="15.75" thickBot="1">
      <c r="A56" s="254"/>
      <c r="B56" s="328"/>
      <c r="C56" s="352"/>
      <c r="D56" s="329"/>
      <c r="E56" s="329"/>
      <c r="F56" s="329"/>
      <c r="G56" s="329"/>
      <c r="H56" s="329"/>
      <c r="I56" s="329"/>
      <c r="J56" s="329"/>
      <c r="K56" s="329"/>
      <c r="L56" s="329"/>
      <c r="M56" s="330"/>
      <c r="N56" s="2043"/>
      <c r="O56" s="2043"/>
      <c r="P56" s="2041"/>
      <c r="Q56" s="2029"/>
      <c r="R56" s="2008"/>
      <c r="S56" s="2008"/>
      <c r="T56" s="2008"/>
      <c r="U56" s="2008"/>
      <c r="V56" s="2008"/>
      <c r="W56" s="2008"/>
      <c r="X56" s="2008"/>
      <c r="Y56" s="2008"/>
      <c r="Z56" s="2008"/>
      <c r="AA56" s="2008"/>
      <c r="AB56" s="2008"/>
      <c r="AC56" s="2008"/>
      <c r="AD56" s="2008"/>
    </row>
    <row r="57" spans="1:30" s="279" customFormat="1" ht="15.75" thickTop="1">
      <c r="A57" s="346"/>
      <c r="B57" s="331">
        <f>B12</f>
        <v>111</v>
      </c>
      <c r="C57" s="342"/>
      <c r="D57" s="342"/>
      <c r="E57" s="342"/>
      <c r="F57" s="342"/>
      <c r="G57" s="347"/>
      <c r="H57" s="348"/>
      <c r="I57" s="348"/>
      <c r="J57" s="348"/>
      <c r="K57" s="348"/>
      <c r="L57" s="349"/>
      <c r="M57" s="350"/>
      <c r="N57" s="2044"/>
      <c r="O57" s="2044"/>
      <c r="P57" s="2044"/>
      <c r="Q57" s="2036"/>
      <c r="R57" s="2014"/>
      <c r="S57" s="2014"/>
      <c r="T57" s="2014"/>
      <c r="U57" s="2014"/>
      <c r="V57" s="2014"/>
      <c r="W57" s="2014"/>
      <c r="X57" s="2014"/>
      <c r="Y57" s="2014"/>
      <c r="Z57" s="2014"/>
      <c r="AA57" s="2014"/>
      <c r="AB57" s="2014"/>
      <c r="AC57" s="2014"/>
      <c r="AD57" s="2014"/>
    </row>
    <row r="58" spans="1:30" s="279" customFormat="1" ht="15.75" thickBot="1">
      <c r="A58" s="346"/>
      <c r="B58" s="336"/>
      <c r="C58" s="352"/>
      <c r="D58" s="329"/>
      <c r="E58" s="329"/>
      <c r="F58" s="329"/>
      <c r="G58" s="329"/>
      <c r="H58" s="329"/>
      <c r="I58" s="329"/>
      <c r="J58" s="329"/>
      <c r="K58" s="329"/>
      <c r="L58" s="329"/>
      <c r="M58" s="330"/>
      <c r="N58" s="2043"/>
      <c r="O58" s="2043"/>
      <c r="P58" s="2044"/>
      <c r="Q58" s="2036"/>
      <c r="R58" s="2014"/>
      <c r="S58" s="2014"/>
      <c r="T58" s="2014"/>
      <c r="U58" s="2014"/>
      <c r="V58" s="2014"/>
      <c r="W58" s="2014"/>
      <c r="X58" s="2014"/>
      <c r="Y58" s="2014"/>
      <c r="Z58" s="2014"/>
      <c r="AA58" s="2014"/>
      <c r="AB58" s="2014"/>
      <c r="AC58" s="2014"/>
      <c r="AD58" s="2014"/>
    </row>
    <row r="59" spans="1:30" s="279" customFormat="1" ht="15.75" thickTop="1">
      <c r="A59" s="346"/>
      <c r="B59" s="331">
        <f>B13</f>
        <v>111</v>
      </c>
      <c r="C59" s="342"/>
      <c r="D59" s="342"/>
      <c r="E59" s="342"/>
      <c r="F59" s="342"/>
      <c r="G59" s="347"/>
      <c r="H59" s="348"/>
      <c r="I59" s="348"/>
      <c r="J59" s="348"/>
      <c r="K59" s="348"/>
      <c r="L59" s="349"/>
      <c r="M59" s="350"/>
      <c r="N59" s="2044"/>
      <c r="O59" s="2044"/>
      <c r="P59" s="2014"/>
      <c r="Q59" s="2038"/>
      <c r="R59" s="2014"/>
      <c r="S59" s="2014"/>
      <c r="T59" s="2014"/>
      <c r="U59" s="2014"/>
      <c r="V59" s="2014"/>
      <c r="W59" s="2014"/>
      <c r="X59" s="2014"/>
      <c r="Y59" s="2014"/>
      <c r="Z59" s="2014"/>
      <c r="AA59" s="2014"/>
      <c r="AB59" s="2014"/>
      <c r="AC59" s="2014"/>
      <c r="AD59" s="2014"/>
    </row>
    <row r="60" spans="1:30" s="279" customFormat="1" ht="15.75" thickBot="1">
      <c r="A60" s="346"/>
      <c r="B60" s="336"/>
      <c r="C60" s="352"/>
      <c r="D60" s="352"/>
      <c r="E60" s="352"/>
      <c r="F60" s="352"/>
      <c r="G60" s="352"/>
      <c r="H60" s="354"/>
      <c r="I60" s="354"/>
      <c r="J60" s="354"/>
      <c r="K60" s="354"/>
      <c r="L60" s="354"/>
      <c r="M60" s="355"/>
      <c r="N60" s="2044"/>
      <c r="O60" s="2044"/>
      <c r="P60" s="2044"/>
      <c r="Q60" s="2036"/>
      <c r="R60" s="2014"/>
      <c r="S60" s="2014"/>
      <c r="T60" s="2014"/>
      <c r="U60" s="2014"/>
      <c r="V60" s="2014"/>
      <c r="W60" s="2014"/>
      <c r="X60" s="2014"/>
      <c r="Y60" s="2014"/>
      <c r="Z60" s="2014"/>
      <c r="AA60" s="2014"/>
      <c r="AB60" s="2014"/>
      <c r="AC60" s="2014"/>
      <c r="AD60" s="2014"/>
    </row>
    <row r="61" spans="1:30" ht="15" thickTop="1">
      <c r="A61" s="262" t="s">
        <v>1602</v>
      </c>
      <c r="B61" s="322" t="s">
        <v>1638</v>
      </c>
      <c r="C61" s="364" t="s">
        <v>1633</v>
      </c>
      <c r="D61" s="364" t="s">
        <v>1634</v>
      </c>
      <c r="E61" s="364" t="s">
        <v>1635</v>
      </c>
      <c r="F61" s="364" t="s">
        <v>1636</v>
      </c>
      <c r="G61" s="364" t="s">
        <v>1637</v>
      </c>
      <c r="H61" s="323"/>
      <c r="I61" s="323"/>
      <c r="J61" s="323"/>
      <c r="K61" s="365"/>
      <c r="L61" s="366"/>
      <c r="M61" s="367"/>
      <c r="N61" s="2042"/>
      <c r="O61" s="2042"/>
      <c r="P61" s="2066"/>
      <c r="Q61" s="2029"/>
      <c r="R61" s="2008"/>
      <c r="S61" s="2008"/>
      <c r="T61" s="2008"/>
      <c r="U61" s="2008"/>
      <c r="V61" s="2008"/>
      <c r="W61" s="2008"/>
      <c r="X61" s="2008"/>
      <c r="Y61" s="2008"/>
      <c r="Z61" s="2008"/>
      <c r="AA61" s="2008"/>
      <c r="AB61" s="2008"/>
      <c r="AC61" s="2008"/>
      <c r="AD61" s="2008"/>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43"/>
      <c r="O62" s="2043"/>
      <c r="P62" s="2041"/>
      <c r="Q62" s="2029"/>
      <c r="R62" s="2008"/>
      <c r="S62" s="2008"/>
      <c r="T62" s="2008"/>
      <c r="U62" s="2008"/>
      <c r="V62" s="2008"/>
      <c r="W62" s="2008"/>
      <c r="X62" s="2008"/>
      <c r="Y62" s="2008"/>
      <c r="Z62" s="2008"/>
      <c r="AA62" s="2008"/>
      <c r="AB62" s="2008"/>
      <c r="AC62" s="2008"/>
      <c r="AD62" s="2008"/>
    </row>
    <row r="63" spans="1:30" ht="27.75" thickTop="1">
      <c r="A63" s="254"/>
      <c r="B63" s="331" t="s">
        <v>1775</v>
      </c>
      <c r="C63" s="368" t="s">
        <v>1633</v>
      </c>
      <c r="D63" s="368" t="s">
        <v>1634</v>
      </c>
      <c r="E63" s="368" t="s">
        <v>1635</v>
      </c>
      <c r="F63" s="368" t="s">
        <v>1636</v>
      </c>
      <c r="G63" s="368" t="s">
        <v>1637</v>
      </c>
      <c r="H63" s="332"/>
      <c r="I63" s="332"/>
      <c r="J63" s="332"/>
      <c r="K63" s="333"/>
      <c r="L63" s="334"/>
      <c r="M63" s="335"/>
      <c r="N63" s="2042"/>
      <c r="O63" s="2042"/>
      <c r="P63" s="2041"/>
      <c r="Q63" s="2029"/>
      <c r="R63" s="2008"/>
      <c r="S63" s="2008"/>
      <c r="T63" s="2008"/>
      <c r="U63" s="2008"/>
      <c r="V63" s="2008"/>
      <c r="W63" s="2008"/>
      <c r="X63" s="2008"/>
      <c r="Y63" s="2008"/>
      <c r="Z63" s="2008"/>
      <c r="AA63" s="2008"/>
      <c r="AB63" s="2008"/>
      <c r="AC63" s="2008"/>
      <c r="AD63" s="2008"/>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43"/>
      <c r="O64" s="2043"/>
      <c r="P64" s="2041"/>
      <c r="Q64" s="2029"/>
      <c r="R64" s="2008"/>
      <c r="S64" s="2008"/>
      <c r="T64" s="2008"/>
      <c r="U64" s="2008"/>
      <c r="V64" s="2008"/>
      <c r="W64" s="2008"/>
      <c r="X64" s="2008"/>
      <c r="Y64" s="2008"/>
      <c r="Z64" s="2008"/>
      <c r="AA64" s="2008"/>
      <c r="AB64" s="2008"/>
      <c r="AC64" s="2008"/>
      <c r="AD64" s="2008"/>
    </row>
    <row r="65" spans="1:30" ht="15.75" thickTop="1">
      <c r="A65" s="254"/>
      <c r="B65" s="339" t="s">
        <v>1725</v>
      </c>
      <c r="C65" s="428" t="s">
        <v>1711</v>
      </c>
      <c r="D65" s="428" t="s">
        <v>1712</v>
      </c>
      <c r="E65" s="428" t="s">
        <v>1713</v>
      </c>
      <c r="F65" s="428" t="s">
        <v>1714</v>
      </c>
      <c r="G65" s="428" t="s">
        <v>1715</v>
      </c>
      <c r="H65" s="332"/>
      <c r="I65" s="332"/>
      <c r="J65" s="332"/>
      <c r="K65" s="332"/>
      <c r="L65" s="332"/>
      <c r="M65" s="779"/>
      <c r="N65" s="2043"/>
      <c r="O65" s="2043"/>
      <c r="P65" s="2041"/>
      <c r="Q65" s="2029"/>
      <c r="R65" s="2008"/>
      <c r="S65" s="2008"/>
      <c r="T65" s="2008"/>
      <c r="U65" s="2008"/>
      <c r="V65" s="2008"/>
      <c r="W65" s="2008"/>
      <c r="X65" s="2008"/>
      <c r="Y65" s="2008"/>
      <c r="Z65" s="2008"/>
      <c r="AA65" s="2008"/>
      <c r="AB65" s="2008"/>
      <c r="AC65" s="2008"/>
      <c r="AD65" s="2008"/>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43"/>
      <c r="O66" s="2043"/>
      <c r="P66" s="2041"/>
      <c r="Q66" s="2029"/>
      <c r="R66" s="2008"/>
      <c r="S66" s="2008"/>
      <c r="T66" s="2008"/>
      <c r="U66" s="2008"/>
      <c r="V66" s="2008"/>
      <c r="W66" s="2008"/>
      <c r="X66" s="2008"/>
      <c r="Y66" s="2008"/>
      <c r="Z66" s="2008"/>
      <c r="AA66" s="2008"/>
      <c r="AB66" s="2008"/>
      <c r="AC66" s="2008"/>
      <c r="AD66" s="2008"/>
    </row>
    <row r="67" spans="1:30" ht="15.75" thickTop="1">
      <c r="A67" s="254"/>
      <c r="B67" s="331" t="s">
        <v>1645</v>
      </c>
      <c r="C67" s="368" t="s">
        <v>1633</v>
      </c>
      <c r="D67" s="368" t="s">
        <v>1634</v>
      </c>
      <c r="E67" s="368" t="s">
        <v>1635</v>
      </c>
      <c r="F67" s="368" t="s">
        <v>1636</v>
      </c>
      <c r="G67" s="368" t="s">
        <v>1637</v>
      </c>
      <c r="H67" s="332"/>
      <c r="I67" s="332"/>
      <c r="J67" s="332"/>
      <c r="K67" s="333"/>
      <c r="L67" s="334"/>
      <c r="M67" s="335"/>
      <c r="N67" s="2042"/>
      <c r="O67" s="2042"/>
      <c r="P67" s="2041"/>
      <c r="Q67" s="2029"/>
      <c r="R67" s="2008"/>
      <c r="S67" s="2008"/>
      <c r="T67" s="2008"/>
      <c r="U67" s="2008"/>
      <c r="V67" s="2008"/>
      <c r="W67" s="2008"/>
      <c r="X67" s="2008"/>
      <c r="Y67" s="2008"/>
      <c r="Z67" s="2008"/>
      <c r="AA67" s="2008"/>
      <c r="AB67" s="2008"/>
      <c r="AC67" s="2008"/>
      <c r="AD67" s="2008"/>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43"/>
      <c r="O68" s="2043"/>
      <c r="P68" s="2041"/>
      <c r="Q68" s="2029"/>
      <c r="R68" s="2008"/>
      <c r="S68" s="2008"/>
      <c r="T68" s="2008"/>
      <c r="U68" s="2008"/>
      <c r="V68" s="2008"/>
      <c r="W68" s="2008"/>
      <c r="X68" s="2008"/>
      <c r="Y68" s="2008"/>
      <c r="Z68" s="2008"/>
      <c r="AA68" s="2008"/>
      <c r="AB68" s="2008"/>
      <c r="AC68" s="2008"/>
      <c r="AD68" s="2008"/>
    </row>
    <row r="69" spans="1:30" ht="15.75" thickTop="1">
      <c r="A69" s="254"/>
      <c r="B69" s="331" t="s">
        <v>1764</v>
      </c>
      <c r="C69" s="347"/>
      <c r="D69" s="347"/>
      <c r="E69" s="347"/>
      <c r="F69" s="347"/>
      <c r="G69" s="347"/>
      <c r="H69" s="372"/>
      <c r="I69" s="372"/>
      <c r="J69" s="372"/>
      <c r="K69" s="373"/>
      <c r="L69" s="374"/>
      <c r="M69" s="375"/>
      <c r="N69" s="2042"/>
      <c r="O69" s="2042"/>
      <c r="P69" s="2041"/>
      <c r="Q69" s="2029"/>
      <c r="R69" s="2008"/>
      <c r="S69" s="2008"/>
      <c r="T69" s="2008"/>
      <c r="U69" s="2008"/>
      <c r="V69" s="2008"/>
      <c r="W69" s="2008"/>
      <c r="X69" s="2008"/>
      <c r="Y69" s="2008"/>
      <c r="Z69" s="2008"/>
      <c r="AA69" s="2008"/>
      <c r="AB69" s="2008"/>
      <c r="AC69" s="2008"/>
      <c r="AD69" s="2008"/>
    </row>
    <row r="70" spans="1:30" ht="15.75" thickBot="1">
      <c r="A70" s="254"/>
      <c r="B70" s="336"/>
      <c r="C70" s="337">
        <v>100</v>
      </c>
      <c r="D70" s="337">
        <f>C70-$K22</f>
        <v>100</v>
      </c>
      <c r="E70" s="337"/>
      <c r="F70" s="337"/>
      <c r="G70" s="337"/>
      <c r="H70" s="337"/>
      <c r="I70" s="337"/>
      <c r="J70" s="337"/>
      <c r="K70" s="337"/>
      <c r="L70" s="337"/>
      <c r="M70" s="338"/>
      <c r="N70" s="2043"/>
      <c r="O70" s="2043"/>
      <c r="P70" s="2041"/>
      <c r="Q70" s="2029"/>
      <c r="R70" s="2008"/>
      <c r="S70" s="2008"/>
      <c r="T70" s="2008"/>
      <c r="U70" s="2008"/>
      <c r="V70" s="2008"/>
      <c r="W70" s="2008"/>
      <c r="X70" s="2008"/>
      <c r="Y70" s="2008"/>
      <c r="Z70" s="2008"/>
      <c r="AA70" s="2008"/>
      <c r="AB70" s="2008"/>
      <c r="AC70" s="2008"/>
      <c r="AD70" s="2008"/>
    </row>
    <row r="71" spans="1:30" s="46" customFormat="1" ht="15.75" thickTop="1">
      <c r="A71" s="257"/>
      <c r="B71" s="331">
        <f>B23</f>
        <v>111</v>
      </c>
      <c r="C71" s="342"/>
      <c r="D71" s="342"/>
      <c r="E71" s="342"/>
      <c r="F71" s="342"/>
      <c r="G71" s="347"/>
      <c r="H71" s="347"/>
      <c r="I71" s="347"/>
      <c r="J71" s="347"/>
      <c r="K71" s="347"/>
      <c r="L71" s="369"/>
      <c r="M71" s="370"/>
      <c r="N71" s="2041"/>
      <c r="O71" s="2041"/>
      <c r="P71" s="2041"/>
      <c r="Q71" s="2029"/>
      <c r="R71" s="1962"/>
      <c r="S71" s="1962"/>
      <c r="T71" s="1962"/>
      <c r="U71" s="1962"/>
      <c r="V71" s="1962"/>
      <c r="W71" s="1962"/>
      <c r="X71" s="1962"/>
      <c r="Y71" s="1962"/>
      <c r="Z71" s="1962"/>
      <c r="AA71" s="1962"/>
      <c r="AB71" s="1962"/>
      <c r="AC71" s="1962"/>
      <c r="AD71" s="1962"/>
    </row>
    <row r="72" spans="1:30" s="46" customFormat="1" ht="15.75" thickBot="1">
      <c r="A72" s="257"/>
      <c r="B72" s="336"/>
      <c r="C72" s="352"/>
      <c r="D72" s="329"/>
      <c r="E72" s="329"/>
      <c r="F72" s="329"/>
      <c r="G72" s="329"/>
      <c r="H72" s="329"/>
      <c r="I72" s="329"/>
      <c r="J72" s="329"/>
      <c r="K72" s="329"/>
      <c r="L72" s="329"/>
      <c r="M72" s="330"/>
      <c r="N72" s="2043"/>
      <c r="O72" s="2043"/>
      <c r="P72" s="2041"/>
      <c r="Q72" s="2029"/>
      <c r="R72" s="1962"/>
      <c r="S72" s="1962"/>
      <c r="T72" s="1962"/>
      <c r="U72" s="1962"/>
      <c r="V72" s="1962"/>
      <c r="W72" s="1962"/>
      <c r="X72" s="1962"/>
      <c r="Y72" s="1962"/>
      <c r="Z72" s="1962"/>
      <c r="AA72" s="1962"/>
      <c r="AB72" s="1962"/>
      <c r="AC72" s="1962"/>
      <c r="AD72" s="1962"/>
    </row>
    <row r="73" spans="1:30" s="46" customFormat="1" ht="15.75" thickTop="1">
      <c r="A73" s="257"/>
      <c r="B73" s="331">
        <f>B24</f>
        <v>111</v>
      </c>
      <c r="C73" s="342"/>
      <c r="D73" s="342"/>
      <c r="E73" s="342"/>
      <c r="F73" s="342"/>
      <c r="G73" s="347"/>
      <c r="H73" s="347"/>
      <c r="I73" s="347"/>
      <c r="J73" s="347"/>
      <c r="K73" s="347"/>
      <c r="L73" s="347"/>
      <c r="M73" s="370"/>
      <c r="N73" s="2041"/>
      <c r="O73" s="2041"/>
      <c r="P73" s="2041"/>
      <c r="Q73" s="2029"/>
      <c r="R73" s="1962"/>
      <c r="S73" s="1962"/>
      <c r="T73" s="1962"/>
      <c r="U73" s="1962"/>
      <c r="V73" s="1962"/>
      <c r="W73" s="1962"/>
      <c r="X73" s="1962"/>
      <c r="Y73" s="1962"/>
      <c r="Z73" s="1962"/>
      <c r="AA73" s="1962"/>
      <c r="AB73" s="1962"/>
      <c r="AC73" s="1962"/>
      <c r="AD73" s="1962"/>
    </row>
    <row r="74" spans="1:30" s="46" customFormat="1" ht="15.75" thickBot="1">
      <c r="A74" s="257"/>
      <c r="B74" s="336"/>
      <c r="C74" s="352"/>
      <c r="D74" s="329"/>
      <c r="E74" s="329"/>
      <c r="F74" s="329"/>
      <c r="G74" s="329"/>
      <c r="H74" s="329"/>
      <c r="I74" s="329"/>
      <c r="J74" s="329"/>
      <c r="K74" s="329"/>
      <c r="L74" s="329"/>
      <c r="M74" s="330"/>
      <c r="N74" s="2043"/>
      <c r="O74" s="2043"/>
      <c r="P74" s="2041"/>
      <c r="Q74" s="2029"/>
      <c r="R74" s="1962"/>
      <c r="S74" s="1962"/>
      <c r="T74" s="1962"/>
      <c r="U74" s="1962"/>
      <c r="V74" s="1962"/>
      <c r="W74" s="1962"/>
      <c r="X74" s="1962"/>
      <c r="Y74" s="1962"/>
      <c r="Z74" s="1962"/>
      <c r="AA74" s="1962"/>
      <c r="AB74" s="1962"/>
      <c r="AC74" s="1962"/>
      <c r="AD74" s="1962"/>
    </row>
    <row r="75" spans="1:30" s="279" customFormat="1" ht="15.75" thickTop="1">
      <c r="A75" s="346"/>
      <c r="B75" s="331">
        <f>B25</f>
        <v>111</v>
      </c>
      <c r="C75" s="342"/>
      <c r="D75" s="342"/>
      <c r="E75" s="342"/>
      <c r="F75" s="342"/>
      <c r="G75" s="347"/>
      <c r="H75" s="348"/>
      <c r="I75" s="348"/>
      <c r="J75" s="348"/>
      <c r="K75" s="348"/>
      <c r="L75" s="349"/>
      <c r="M75" s="350"/>
      <c r="N75" s="2044"/>
      <c r="O75" s="2044"/>
      <c r="P75" s="2044"/>
      <c r="Q75" s="2036"/>
      <c r="R75" s="2014"/>
      <c r="S75" s="2014"/>
      <c r="T75" s="2014"/>
      <c r="U75" s="2014"/>
      <c r="V75" s="2014"/>
      <c r="W75" s="2014"/>
      <c r="X75" s="2014"/>
      <c r="Y75" s="2014"/>
      <c r="Z75" s="2014"/>
      <c r="AA75" s="2014"/>
      <c r="AB75" s="2014"/>
      <c r="AC75" s="2014"/>
      <c r="AD75" s="2014"/>
    </row>
    <row r="76" spans="1:30" s="279" customFormat="1" ht="15.75" thickBot="1">
      <c r="A76" s="346"/>
      <c r="B76" s="336"/>
      <c r="C76" s="352"/>
      <c r="D76" s="352"/>
      <c r="E76" s="352"/>
      <c r="F76" s="352"/>
      <c r="G76" s="329"/>
      <c r="H76" s="329"/>
      <c r="I76" s="329"/>
      <c r="J76" s="329"/>
      <c r="K76" s="329"/>
      <c r="L76" s="329"/>
      <c r="M76" s="330"/>
      <c r="N76" s="2044"/>
      <c r="O76" s="2044"/>
      <c r="P76" s="2044"/>
      <c r="Q76" s="2036"/>
      <c r="R76" s="2014"/>
      <c r="S76" s="2014"/>
      <c r="T76" s="2014"/>
      <c r="U76" s="2014"/>
      <c r="V76" s="2014"/>
      <c r="W76" s="2014"/>
      <c r="X76" s="2014"/>
      <c r="Y76" s="2014"/>
      <c r="Z76" s="2014"/>
      <c r="AA76" s="2014"/>
      <c r="AB76" s="2014"/>
      <c r="AC76" s="2014"/>
      <c r="AD76" s="2014"/>
    </row>
    <row r="77" spans="1:30" ht="15" thickTop="1">
      <c r="A77" s="262" t="s">
        <v>1606</v>
      </c>
      <c r="B77" s="322" t="s">
        <v>1652</v>
      </c>
      <c r="C77" s="347"/>
      <c r="D77" s="347"/>
      <c r="E77" s="324"/>
      <c r="F77" s="324"/>
      <c r="G77" s="324"/>
      <c r="H77" s="324"/>
      <c r="I77" s="324"/>
      <c r="J77" s="324"/>
      <c r="K77" s="325"/>
      <c r="L77" s="326"/>
      <c r="M77" s="327"/>
      <c r="N77" s="2042"/>
      <c r="O77" s="2042"/>
      <c r="P77" s="2041"/>
      <c r="Q77" s="2029"/>
      <c r="R77" s="2008"/>
      <c r="S77" s="2008"/>
      <c r="T77" s="2008"/>
      <c r="U77" s="2008"/>
      <c r="V77" s="2008"/>
      <c r="W77" s="2008"/>
      <c r="X77" s="2008"/>
      <c r="Y77" s="2008"/>
      <c r="Z77" s="2008"/>
      <c r="AA77" s="2008"/>
      <c r="AB77" s="2008"/>
      <c r="AC77" s="2008"/>
      <c r="AD77" s="2008"/>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43"/>
      <c r="O78" s="2043"/>
      <c r="P78" s="2041"/>
      <c r="Q78" s="2029"/>
      <c r="R78" s="2008"/>
      <c r="S78" s="2008"/>
      <c r="T78" s="2008"/>
      <c r="U78" s="2008"/>
      <c r="V78" s="2008"/>
      <c r="W78" s="2008"/>
      <c r="X78" s="2008"/>
      <c r="Y78" s="2008"/>
      <c r="Z78" s="2008"/>
      <c r="AA78" s="2008"/>
      <c r="AB78" s="2008"/>
      <c r="AC78" s="2008"/>
      <c r="AD78" s="2008"/>
    </row>
    <row r="79" spans="1:30" ht="15.75" thickTop="1">
      <c r="A79" s="254"/>
      <c r="B79" s="331" t="s">
        <v>1767</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41"/>
      <c r="O79" s="2041"/>
      <c r="P79" s="2041"/>
      <c r="Q79" s="2029"/>
      <c r="R79" s="2008"/>
      <c r="S79" s="2008"/>
      <c r="T79" s="2008"/>
      <c r="U79" s="2008"/>
      <c r="V79" s="2008"/>
      <c r="W79" s="2008"/>
      <c r="X79" s="2008"/>
      <c r="Y79" s="2008"/>
      <c r="Z79" s="2008"/>
      <c r="AA79" s="2008"/>
      <c r="AB79" s="2008"/>
      <c r="AC79" s="2008"/>
      <c r="AD79" s="2008"/>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41"/>
      <c r="O80" s="2041"/>
      <c r="P80" s="2041"/>
      <c r="Q80" s="2029"/>
      <c r="R80" s="2008"/>
      <c r="S80" s="2008"/>
      <c r="T80" s="2008"/>
      <c r="U80" s="2008"/>
      <c r="V80" s="2008"/>
      <c r="W80" s="2008"/>
      <c r="X80" s="2008"/>
      <c r="Y80" s="2008"/>
      <c r="Z80" s="2008"/>
      <c r="AA80" s="2008"/>
      <c r="AB80" s="2008"/>
      <c r="AC80" s="2008"/>
      <c r="AD80" s="2008"/>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43"/>
      <c r="O81" s="2043"/>
      <c r="P81" s="2044"/>
      <c r="Q81" s="2036"/>
      <c r="R81" s="2014"/>
      <c r="S81" s="2014"/>
      <c r="T81" s="2014"/>
      <c r="U81" s="2014"/>
      <c r="V81" s="2014"/>
      <c r="W81" s="2014"/>
      <c r="X81" s="2014"/>
      <c r="Y81" s="2014"/>
      <c r="Z81" s="2014"/>
      <c r="AA81" s="2014"/>
      <c r="AB81" s="2014"/>
      <c r="AC81" s="2014"/>
      <c r="AD81" s="2014"/>
    </row>
    <row r="82" spans="1:30" ht="15" thickTop="1">
      <c r="A82" s="280"/>
      <c r="B82" s="339" t="s">
        <v>1768</v>
      </c>
      <c r="C82" s="347"/>
      <c r="D82" s="347"/>
      <c r="E82" s="372"/>
      <c r="F82" s="372"/>
      <c r="G82" s="372"/>
      <c r="H82" s="372"/>
      <c r="I82" s="372"/>
      <c r="J82" s="372"/>
      <c r="K82" s="373"/>
      <c r="L82" s="374"/>
      <c r="M82" s="375"/>
      <c r="N82" s="2042"/>
      <c r="O82" s="2042"/>
      <c r="P82" s="2041"/>
      <c r="Q82" s="2029"/>
      <c r="R82" s="2008"/>
      <c r="S82" s="2008"/>
      <c r="T82" s="2008"/>
      <c r="U82" s="2008"/>
      <c r="V82" s="2008"/>
      <c r="W82" s="2008"/>
      <c r="X82" s="2008"/>
      <c r="Y82" s="2008"/>
      <c r="Z82" s="2008"/>
      <c r="AA82" s="2008"/>
      <c r="AB82" s="2008"/>
      <c r="AC82" s="2008"/>
      <c r="AD82" s="2008"/>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43"/>
      <c r="O83" s="2043"/>
      <c r="P83" s="2041"/>
      <c r="Q83" s="2029"/>
      <c r="R83" s="2008"/>
      <c r="S83" s="2008"/>
      <c r="T83" s="2008"/>
      <c r="U83" s="2008"/>
      <c r="V83" s="2008"/>
      <c r="W83" s="2008"/>
      <c r="X83" s="2008"/>
      <c r="Y83" s="2008"/>
      <c r="Z83" s="2008"/>
      <c r="AA83" s="2008"/>
      <c r="AB83" s="2008"/>
      <c r="AC83" s="2008"/>
      <c r="AD83" s="2008"/>
    </row>
    <row r="84" spans="1:30" ht="15" thickTop="1">
      <c r="A84" s="280"/>
      <c r="B84" s="331" t="s">
        <v>1776</v>
      </c>
      <c r="C84" s="347"/>
      <c r="D84" s="347"/>
      <c r="E84" s="347"/>
      <c r="F84" s="347"/>
      <c r="G84" s="347"/>
      <c r="H84" s="347"/>
      <c r="I84" s="372"/>
      <c r="J84" s="372"/>
      <c r="K84" s="373"/>
      <c r="L84" s="374"/>
      <c r="M84" s="375"/>
      <c r="N84" s="2042"/>
      <c r="O84" s="2042"/>
      <c r="P84" s="2041"/>
      <c r="Q84" s="2029"/>
      <c r="R84" s="2008"/>
      <c r="S84" s="2008"/>
      <c r="T84" s="2008"/>
      <c r="U84" s="2008"/>
      <c r="V84" s="2008"/>
      <c r="W84" s="2008"/>
      <c r="X84" s="2008"/>
      <c r="Y84" s="2008"/>
      <c r="Z84" s="2008"/>
      <c r="AA84" s="2008"/>
      <c r="AB84" s="2008"/>
      <c r="AC84" s="2008"/>
      <c r="AD84" s="2008"/>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43"/>
      <c r="O85" s="2043"/>
      <c r="P85" s="2041"/>
      <c r="Q85" s="2029"/>
      <c r="R85" s="2008"/>
      <c r="S85" s="2008"/>
      <c r="T85" s="2008"/>
      <c r="U85" s="2008"/>
      <c r="V85" s="2008"/>
      <c r="W85" s="2008"/>
      <c r="X85" s="2008"/>
      <c r="Y85" s="2008"/>
      <c r="Z85" s="2008"/>
      <c r="AA85" s="2008"/>
      <c r="AB85" s="2008"/>
      <c r="AC85" s="2008"/>
      <c r="AD85" s="2008"/>
    </row>
    <row r="86" spans="1:30" ht="15" thickTop="1">
      <c r="A86" s="280"/>
      <c r="B86" s="339" t="s">
        <v>1777</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42"/>
      <c r="O86" s="2042"/>
      <c r="P86" s="2041"/>
      <c r="Q86" s="2029"/>
      <c r="R86" s="2008"/>
      <c r="S86" s="2008"/>
      <c r="T86" s="2008"/>
      <c r="U86" s="2008"/>
      <c r="V86" s="2008"/>
      <c r="W86" s="2008"/>
      <c r="X86" s="2008"/>
      <c r="Y86" s="2008"/>
      <c r="Z86" s="2008"/>
      <c r="AA86" s="2008"/>
      <c r="AB86" s="2008"/>
      <c r="AC86" s="2008"/>
      <c r="AD86" s="2008"/>
    </row>
    <row r="87" spans="1:30">
      <c r="A87" s="280"/>
      <c r="B87" s="339"/>
      <c r="C87" s="5"/>
      <c r="D87" s="5"/>
      <c r="E87" s="5"/>
      <c r="F87" s="5"/>
      <c r="G87" s="5"/>
      <c r="H87" s="5"/>
      <c r="I87" s="5"/>
      <c r="J87" s="383"/>
      <c r="K87" s="383"/>
      <c r="L87" s="384"/>
      <c r="M87" s="385"/>
      <c r="N87" s="2042"/>
      <c r="O87" s="2042"/>
      <c r="P87" s="2041"/>
      <c r="Q87" s="2029"/>
      <c r="R87" s="2008"/>
      <c r="S87" s="2008"/>
      <c r="T87" s="2008"/>
      <c r="U87" s="2008"/>
      <c r="V87" s="2008"/>
      <c r="W87" s="2008"/>
      <c r="X87" s="2008"/>
      <c r="Y87" s="2008"/>
      <c r="Z87" s="2008"/>
      <c r="AA87" s="2008"/>
      <c r="AB87" s="2008"/>
      <c r="AC87" s="2008"/>
      <c r="AD87" s="2008"/>
    </row>
    <row r="88" spans="1:30" ht="15.75" thickBot="1">
      <c r="A88" s="254"/>
      <c r="B88" s="336"/>
      <c r="C88" s="352"/>
      <c r="D88" s="329"/>
      <c r="E88" s="329"/>
      <c r="F88" s="329"/>
      <c r="G88" s="329"/>
      <c r="H88" s="329"/>
      <c r="I88" s="329"/>
      <c r="J88" s="329"/>
      <c r="K88" s="329"/>
      <c r="L88" s="329"/>
      <c r="M88" s="329"/>
      <c r="N88" s="2043"/>
      <c r="O88" s="2043"/>
      <c r="P88" s="2041"/>
      <c r="Q88" s="2029"/>
      <c r="R88" s="2008"/>
      <c r="S88" s="2008"/>
      <c r="T88" s="2008"/>
      <c r="U88" s="2008"/>
      <c r="V88" s="2008"/>
      <c r="W88" s="2008"/>
      <c r="X88" s="2008"/>
      <c r="Y88" s="2008"/>
      <c r="Z88" s="2008"/>
      <c r="AA88" s="2008"/>
      <c r="AB88" s="2008"/>
      <c r="AC88" s="2008"/>
      <c r="AD88" s="2008"/>
    </row>
    <row r="89" spans="1:30" s="279" customFormat="1" ht="15" thickTop="1">
      <c r="A89" s="277"/>
      <c r="B89" s="331" t="s">
        <v>1778</v>
      </c>
      <c r="C89" s="347"/>
      <c r="D89" s="347"/>
      <c r="E89" s="347"/>
      <c r="F89" s="347"/>
      <c r="G89" s="347"/>
      <c r="H89" s="347"/>
      <c r="I89" s="347"/>
      <c r="J89" s="347"/>
      <c r="K89" s="347"/>
      <c r="L89" s="347"/>
      <c r="M89" s="370"/>
      <c r="N89" s="2044"/>
      <c r="O89" s="2044"/>
      <c r="P89" s="2044"/>
      <c r="Q89" s="2036"/>
      <c r="R89" s="2014"/>
      <c r="S89" s="2014"/>
      <c r="T89" s="2014"/>
      <c r="U89" s="2014"/>
      <c r="V89" s="2014"/>
      <c r="W89" s="2014"/>
      <c r="X89" s="2014"/>
      <c r="Y89" s="2014"/>
      <c r="Z89" s="2014"/>
      <c r="AA89" s="2014"/>
      <c r="AB89" s="2014"/>
      <c r="AC89" s="2014"/>
      <c r="AD89" s="2014"/>
    </row>
    <row r="90" spans="1:30" s="279" customFormat="1" ht="15.75" thickBot="1">
      <c r="A90" s="346"/>
      <c r="B90" s="336"/>
      <c r="C90" s="352"/>
      <c r="D90" s="329"/>
      <c r="E90" s="329"/>
      <c r="F90" s="329"/>
      <c r="G90" s="329"/>
      <c r="H90" s="329"/>
      <c r="I90" s="329"/>
      <c r="J90" s="329"/>
      <c r="K90" s="329"/>
      <c r="L90" s="329"/>
      <c r="M90" s="330"/>
      <c r="N90" s="2044"/>
      <c r="O90" s="2044"/>
      <c r="P90" s="2044"/>
      <c r="Q90" s="2036"/>
      <c r="R90" s="2014"/>
      <c r="S90" s="2014"/>
      <c r="T90" s="2014"/>
      <c r="U90" s="2014"/>
      <c r="V90" s="2014"/>
      <c r="W90" s="2014"/>
      <c r="X90" s="2014"/>
      <c r="Y90" s="2014"/>
      <c r="Z90" s="2014"/>
      <c r="AA90" s="2014"/>
      <c r="AB90" s="2014"/>
      <c r="AC90" s="2014"/>
      <c r="AD90" s="2014"/>
    </row>
    <row r="91" spans="1:30" ht="15" thickTop="1">
      <c r="A91" s="280"/>
      <c r="B91" s="331">
        <f>B32</f>
        <v>111</v>
      </c>
      <c r="C91" s="342"/>
      <c r="D91" s="342"/>
      <c r="E91" s="342"/>
      <c r="F91" s="342"/>
      <c r="G91" s="347"/>
      <c r="H91" s="348"/>
      <c r="I91" s="348"/>
      <c r="J91" s="348"/>
      <c r="K91" s="348"/>
      <c r="L91" s="349"/>
      <c r="M91" s="350"/>
      <c r="N91" s="2042"/>
      <c r="O91" s="2042"/>
      <c r="P91" s="2041"/>
      <c r="Q91" s="2029"/>
      <c r="R91" s="2008"/>
      <c r="S91" s="2008"/>
      <c r="T91" s="2008"/>
      <c r="U91" s="2008"/>
      <c r="V91" s="2008"/>
      <c r="W91" s="2008"/>
      <c r="X91" s="2008"/>
      <c r="Y91" s="2008"/>
      <c r="Z91" s="2008"/>
      <c r="AA91" s="2008"/>
      <c r="AB91" s="2008"/>
      <c r="AC91" s="2008"/>
      <c r="AD91" s="2008"/>
    </row>
    <row r="92" spans="1:30" ht="15.75" thickBot="1">
      <c r="A92" s="254"/>
      <c r="B92" s="336"/>
      <c r="C92" s="352"/>
      <c r="D92" s="329"/>
      <c r="E92" s="329"/>
      <c r="F92" s="329"/>
      <c r="G92" s="352"/>
      <c r="H92" s="354"/>
      <c r="I92" s="354"/>
      <c r="J92" s="354"/>
      <c r="K92" s="354"/>
      <c r="L92" s="354"/>
      <c r="M92" s="355"/>
      <c r="N92" s="2043"/>
      <c r="O92" s="2043"/>
      <c r="P92" s="2041"/>
      <c r="Q92" s="2029"/>
      <c r="R92" s="2008"/>
      <c r="S92" s="2008"/>
      <c r="T92" s="2008"/>
      <c r="U92" s="2008"/>
      <c r="V92" s="2008"/>
      <c r="W92" s="2008"/>
      <c r="X92" s="2008"/>
      <c r="Y92" s="2008"/>
      <c r="Z92" s="2008"/>
      <c r="AA92" s="2008"/>
      <c r="AB92" s="2008"/>
      <c r="AC92" s="2008"/>
      <c r="AD92" s="2008"/>
    </row>
    <row r="93" spans="1:30" ht="15" thickTop="1">
      <c r="A93" s="280"/>
      <c r="B93" s="331">
        <f>B33</f>
        <v>111</v>
      </c>
      <c r="C93" s="342"/>
      <c r="D93" s="342"/>
      <c r="E93" s="342"/>
      <c r="F93" s="342"/>
      <c r="G93" s="347"/>
      <c r="H93" s="348"/>
      <c r="I93" s="348"/>
      <c r="J93" s="348"/>
      <c r="K93" s="348"/>
      <c r="L93" s="349"/>
      <c r="M93" s="350"/>
      <c r="N93" s="2042"/>
      <c r="O93" s="2042"/>
      <c r="P93" s="2041"/>
      <c r="Q93" s="2029"/>
      <c r="R93" s="2008"/>
      <c r="S93" s="2008"/>
      <c r="T93" s="2008"/>
      <c r="U93" s="2008"/>
      <c r="V93" s="2008"/>
      <c r="W93" s="2008"/>
      <c r="X93" s="2008"/>
      <c r="Y93" s="2008"/>
      <c r="Z93" s="2008"/>
      <c r="AA93" s="2008"/>
      <c r="AB93" s="2008"/>
      <c r="AC93" s="2008"/>
      <c r="AD93" s="2008"/>
    </row>
    <row r="94" spans="1:30" ht="15.75" thickBot="1">
      <c r="A94" s="254"/>
      <c r="B94" s="336"/>
      <c r="C94" s="352"/>
      <c r="D94" s="329"/>
      <c r="E94" s="329"/>
      <c r="F94" s="329"/>
      <c r="G94" s="352"/>
      <c r="H94" s="354"/>
      <c r="I94" s="354"/>
      <c r="J94" s="354"/>
      <c r="K94" s="354"/>
      <c r="L94" s="354"/>
      <c r="M94" s="355"/>
      <c r="N94" s="2043"/>
      <c r="O94" s="2043"/>
      <c r="P94" s="2041"/>
      <c r="Q94" s="2029"/>
      <c r="R94" s="2008"/>
      <c r="S94" s="2008"/>
      <c r="T94" s="2008"/>
      <c r="U94" s="2008"/>
      <c r="V94" s="2008"/>
      <c r="W94" s="2008"/>
      <c r="X94" s="2008"/>
      <c r="Y94" s="2008"/>
      <c r="Z94" s="2008"/>
      <c r="AA94" s="2008"/>
      <c r="AB94" s="2008"/>
      <c r="AC94" s="2008"/>
      <c r="AD94" s="2008"/>
    </row>
    <row r="95" spans="1:30" ht="15" thickTop="1">
      <c r="A95" s="280"/>
      <c r="B95" s="410">
        <f>B34</f>
        <v>111</v>
      </c>
      <c r="C95" s="342"/>
      <c r="D95" s="342"/>
      <c r="E95" s="342"/>
      <c r="F95" s="342"/>
      <c r="G95" s="347"/>
      <c r="H95" s="348"/>
      <c r="I95" s="348"/>
      <c r="J95" s="348"/>
      <c r="K95" s="348"/>
      <c r="L95" s="349"/>
      <c r="M95" s="350"/>
      <c r="N95" s="2043"/>
      <c r="O95" s="2043"/>
      <c r="P95" s="2043"/>
      <c r="Q95" s="2057"/>
      <c r="R95" s="2008"/>
      <c r="S95" s="2008"/>
      <c r="T95" s="2008"/>
      <c r="U95" s="2008"/>
      <c r="V95" s="2008"/>
      <c r="W95" s="2008"/>
      <c r="X95" s="2008"/>
      <c r="Y95" s="2008"/>
      <c r="Z95" s="2008"/>
      <c r="AA95" s="2008"/>
      <c r="AB95" s="2008"/>
      <c r="AC95" s="2008"/>
      <c r="AD95" s="2008"/>
    </row>
    <row r="96" spans="1:30" ht="15.75" thickBot="1">
      <c r="A96" s="254"/>
      <c r="B96" s="336"/>
      <c r="C96" s="352"/>
      <c r="D96" s="352"/>
      <c r="E96" s="352"/>
      <c r="F96" s="352"/>
      <c r="G96" s="352"/>
      <c r="H96" s="354"/>
      <c r="I96" s="354"/>
      <c r="J96" s="354"/>
      <c r="K96" s="354"/>
      <c r="L96" s="354"/>
      <c r="M96" s="355"/>
      <c r="N96" s="2043"/>
      <c r="O96" s="2043"/>
      <c r="P96" s="2041"/>
      <c r="Q96" s="2029"/>
      <c r="R96" s="2008"/>
      <c r="S96" s="2008"/>
      <c r="T96" s="2008"/>
      <c r="U96" s="2008"/>
      <c r="V96" s="2008"/>
      <c r="W96" s="2008"/>
      <c r="X96" s="2008"/>
      <c r="Y96" s="2008"/>
      <c r="Z96" s="2008"/>
      <c r="AA96" s="2008"/>
      <c r="AB96" s="2008"/>
      <c r="AC96" s="2008"/>
      <c r="AD96" s="2008"/>
    </row>
    <row r="97" spans="1:30" ht="15" thickTop="1">
      <c r="N97" s="2008"/>
      <c r="O97" s="2008"/>
      <c r="P97" s="2008"/>
      <c r="Q97" s="2008"/>
      <c r="R97" s="2008"/>
      <c r="S97" s="2008"/>
      <c r="T97" s="2008"/>
      <c r="U97" s="2008"/>
      <c r="V97" s="2008"/>
      <c r="W97" s="2008"/>
      <c r="X97" s="2008"/>
      <c r="Y97" s="2008"/>
      <c r="Z97" s="2008"/>
      <c r="AA97" s="2008"/>
      <c r="AB97" s="2008"/>
      <c r="AC97" s="2008"/>
      <c r="AD97" s="2008"/>
    </row>
    <row r="98" spans="1:30">
      <c r="A98" s="632"/>
      <c r="B98" s="632"/>
      <c r="C98" s="632"/>
      <c r="D98" s="632"/>
      <c r="E98" s="632"/>
      <c r="F98" s="632"/>
      <c r="G98" s="632"/>
      <c r="H98" s="632"/>
      <c r="I98" s="632"/>
      <c r="J98" s="632"/>
      <c r="K98" s="633"/>
      <c r="L98" s="634"/>
      <c r="M98" s="632"/>
      <c r="N98" s="2008"/>
      <c r="O98" s="2008"/>
      <c r="P98" s="2008"/>
      <c r="Q98" s="2008"/>
      <c r="R98" s="2008"/>
      <c r="S98" s="2008"/>
      <c r="T98" s="2008"/>
      <c r="U98" s="2008"/>
      <c r="V98" s="2008"/>
      <c r="W98" s="2008"/>
      <c r="X98" s="2008"/>
      <c r="Y98" s="2008"/>
      <c r="Z98" s="2008"/>
      <c r="AA98" s="2008"/>
      <c r="AB98" s="2008"/>
      <c r="AC98" s="2008"/>
      <c r="AD98" s="2008"/>
    </row>
    <row r="99" spans="1:30">
      <c r="A99" s="632"/>
      <c r="B99" s="632"/>
      <c r="C99" s="632"/>
      <c r="D99" s="632"/>
      <c r="E99" s="632"/>
      <c r="F99" s="632"/>
      <c r="G99" s="632"/>
      <c r="H99" s="632"/>
      <c r="I99" s="632"/>
      <c r="J99" s="632"/>
      <c r="K99" s="633"/>
      <c r="L99" s="634"/>
      <c r="M99" s="632"/>
      <c r="N99" s="2008"/>
      <c r="O99" s="2008"/>
      <c r="P99" s="2008"/>
      <c r="Q99" s="2008"/>
      <c r="R99" s="2008"/>
      <c r="S99" s="2008"/>
      <c r="T99" s="2008"/>
      <c r="U99" s="2008"/>
      <c r="V99" s="2008"/>
      <c r="W99" s="2008"/>
      <c r="X99" s="2008"/>
      <c r="Y99" s="2008"/>
      <c r="Z99" s="2008"/>
      <c r="AA99" s="2008"/>
      <c r="AB99" s="2008"/>
      <c r="AC99" s="2008"/>
      <c r="AD99" s="2008"/>
    </row>
    <row r="100" spans="1:30">
      <c r="A100" s="632"/>
      <c r="B100" s="632"/>
      <c r="C100" s="632"/>
      <c r="D100" s="632"/>
      <c r="E100" s="632"/>
      <c r="F100" s="632"/>
      <c r="G100" s="632"/>
      <c r="H100" s="632"/>
      <c r="I100" s="632"/>
      <c r="J100" s="632"/>
      <c r="K100" s="633"/>
      <c r="L100" s="634"/>
      <c r="M100" s="632"/>
      <c r="N100" s="2008"/>
      <c r="O100" s="2008"/>
      <c r="P100" s="2008"/>
      <c r="Q100" s="2008"/>
      <c r="R100" s="2008"/>
      <c r="S100" s="2008"/>
      <c r="T100" s="2008"/>
      <c r="U100" s="2008"/>
      <c r="V100" s="2008"/>
      <c r="W100" s="2008"/>
      <c r="X100" s="2008"/>
      <c r="Y100" s="2008"/>
      <c r="Z100" s="2008"/>
      <c r="AA100" s="2008"/>
      <c r="AB100" s="2008"/>
      <c r="AC100" s="2008"/>
      <c r="AD100" s="2008"/>
    </row>
    <row r="101" spans="1:30">
      <c r="A101" s="632"/>
      <c r="B101" s="632"/>
      <c r="C101" s="632"/>
      <c r="D101" s="632"/>
      <c r="E101" s="632"/>
      <c r="F101" s="632"/>
      <c r="G101" s="632"/>
      <c r="H101" s="632"/>
      <c r="I101" s="632"/>
      <c r="J101" s="632"/>
      <c r="K101" s="633"/>
      <c r="L101" s="634"/>
      <c r="M101" s="632"/>
      <c r="N101" s="2008"/>
      <c r="O101" s="2008"/>
      <c r="P101" s="2008"/>
      <c r="Q101" s="2008"/>
      <c r="R101" s="2008"/>
      <c r="S101" s="2008"/>
      <c r="T101" s="2008"/>
      <c r="U101" s="2008"/>
      <c r="V101" s="2008"/>
      <c r="W101" s="2008"/>
      <c r="X101" s="2008"/>
      <c r="Y101" s="2008"/>
      <c r="Z101" s="2008"/>
      <c r="AA101" s="2008"/>
      <c r="AB101" s="2008"/>
      <c r="AC101" s="2008"/>
      <c r="AD101" s="2008"/>
    </row>
    <row r="102" spans="1:30">
      <c r="A102" s="632"/>
      <c r="B102" s="632"/>
      <c r="C102" s="632"/>
      <c r="D102" s="632"/>
      <c r="E102" s="632"/>
      <c r="F102" s="632"/>
      <c r="G102" s="632"/>
      <c r="H102" s="632"/>
      <c r="I102" s="632"/>
      <c r="J102" s="632"/>
      <c r="K102" s="633"/>
      <c r="L102" s="634"/>
      <c r="M102" s="632"/>
      <c r="N102" s="2008"/>
      <c r="O102" s="2008"/>
      <c r="P102" s="2008"/>
      <c r="Q102" s="2008"/>
      <c r="R102" s="2008"/>
      <c r="S102" s="2008"/>
      <c r="T102" s="2008"/>
      <c r="U102" s="2008"/>
      <c r="V102" s="2008"/>
      <c r="W102" s="2008"/>
      <c r="X102" s="2008"/>
      <c r="Y102" s="2008"/>
      <c r="Z102" s="2008"/>
      <c r="AA102" s="2008"/>
      <c r="AB102" s="2008"/>
      <c r="AC102" s="2008"/>
      <c r="AD102" s="2008"/>
    </row>
    <row r="103" spans="1:30">
      <c r="A103" s="632"/>
      <c r="B103" s="632"/>
      <c r="C103" s="632"/>
      <c r="D103" s="632"/>
      <c r="E103" s="632"/>
      <c r="F103" s="632"/>
      <c r="G103" s="632"/>
      <c r="H103" s="632"/>
      <c r="I103" s="632"/>
      <c r="J103" s="632"/>
      <c r="K103" s="633"/>
      <c r="L103" s="634"/>
      <c r="M103" s="632"/>
      <c r="N103" s="632"/>
      <c r="O103" s="632"/>
      <c r="P103" s="2008"/>
      <c r="Q103" s="2008"/>
      <c r="R103" s="2008"/>
      <c r="S103" s="2008"/>
      <c r="T103" s="2008"/>
      <c r="U103" s="2008"/>
      <c r="V103" s="2008"/>
      <c r="W103" s="2008"/>
      <c r="X103" s="2008"/>
      <c r="Y103" s="2008"/>
      <c r="Z103" s="2008"/>
      <c r="AA103" s="2008"/>
      <c r="AB103" s="2008"/>
      <c r="AC103" s="2008"/>
      <c r="AD103" s="2008"/>
    </row>
    <row r="104" spans="1:30">
      <c r="A104" s="632"/>
      <c r="B104" s="632"/>
      <c r="C104" s="632"/>
      <c r="D104" s="632"/>
      <c r="E104" s="632"/>
      <c r="F104" s="632"/>
      <c r="G104" s="632"/>
      <c r="H104" s="632"/>
      <c r="I104" s="632"/>
      <c r="J104" s="632"/>
      <c r="K104" s="633"/>
      <c r="L104" s="634"/>
      <c r="M104" s="632"/>
      <c r="N104" s="632"/>
      <c r="O104" s="632"/>
      <c r="P104" s="632"/>
      <c r="Q104" s="632"/>
      <c r="R104" s="632"/>
      <c r="S104" s="632"/>
      <c r="T104" s="632"/>
    </row>
    <row r="105" spans="1:30">
      <c r="A105" s="632"/>
      <c r="B105" s="632"/>
      <c r="C105" s="632"/>
      <c r="D105" s="632"/>
      <c r="E105" s="632"/>
      <c r="F105" s="632"/>
      <c r="G105" s="632"/>
      <c r="H105" s="632"/>
      <c r="I105" s="632"/>
      <c r="J105" s="632"/>
      <c r="K105" s="633"/>
      <c r="L105" s="634"/>
      <c r="M105" s="632"/>
      <c r="N105" s="632"/>
      <c r="O105" s="632"/>
      <c r="P105" s="632"/>
      <c r="Q105" s="632"/>
      <c r="R105" s="632"/>
      <c r="S105" s="632"/>
      <c r="T105" s="632"/>
    </row>
    <row r="106" spans="1:30">
      <c r="A106" s="632"/>
      <c r="B106" s="632"/>
      <c r="C106" s="632"/>
      <c r="D106" s="632"/>
      <c r="E106" s="632"/>
      <c r="F106" s="632"/>
      <c r="G106" s="632"/>
      <c r="H106" s="632"/>
      <c r="I106" s="632"/>
      <c r="J106" s="632"/>
      <c r="K106" s="633"/>
      <c r="L106" s="634"/>
      <c r="M106" s="632"/>
      <c r="N106" s="632"/>
      <c r="O106" s="632"/>
      <c r="P106" s="632"/>
      <c r="Q106" s="632"/>
      <c r="R106" s="632"/>
      <c r="S106" s="632"/>
      <c r="T106" s="632"/>
    </row>
    <row r="107" spans="1:30">
      <c r="A107" s="632"/>
      <c r="B107" s="632"/>
      <c r="C107" s="632"/>
      <c r="D107" s="632"/>
      <c r="E107" s="632"/>
      <c r="F107" s="632"/>
      <c r="G107" s="632"/>
      <c r="H107" s="632"/>
      <c r="I107" s="632"/>
      <c r="J107" s="632"/>
      <c r="K107" s="633"/>
      <c r="L107" s="634"/>
      <c r="M107" s="632"/>
      <c r="N107" s="632"/>
      <c r="O107" s="632"/>
      <c r="P107" s="632"/>
      <c r="Q107" s="632"/>
      <c r="R107" s="632"/>
      <c r="S107" s="632"/>
      <c r="T107" s="632"/>
    </row>
    <row r="108" spans="1:30">
      <c r="A108" s="632"/>
      <c r="B108" s="632"/>
      <c r="C108" s="632"/>
      <c r="D108" s="632"/>
      <c r="E108" s="632"/>
      <c r="F108" s="632"/>
      <c r="G108" s="632"/>
      <c r="H108" s="632"/>
      <c r="I108" s="632"/>
      <c r="J108" s="632"/>
      <c r="K108" s="633"/>
      <c r="L108" s="634"/>
      <c r="M108" s="632"/>
      <c r="N108" s="632"/>
      <c r="O108" s="632"/>
      <c r="P108" s="632"/>
      <c r="Q108" s="632"/>
      <c r="R108" s="632"/>
      <c r="S108" s="632"/>
      <c r="T108" s="632"/>
    </row>
    <row r="109" spans="1:30">
      <c r="A109" s="632"/>
      <c r="B109" s="632"/>
      <c r="C109" s="632"/>
      <c r="D109" s="632"/>
      <c r="E109" s="632"/>
      <c r="F109" s="632"/>
      <c r="G109" s="632"/>
      <c r="H109" s="632"/>
      <c r="I109" s="632"/>
      <c r="J109" s="632"/>
      <c r="K109" s="633"/>
      <c r="L109" s="634"/>
      <c r="M109" s="632"/>
      <c r="N109" s="632"/>
      <c r="O109" s="632"/>
      <c r="P109" s="632"/>
      <c r="Q109" s="632"/>
      <c r="R109" s="632"/>
      <c r="S109" s="632"/>
      <c r="T109" s="632"/>
    </row>
    <row r="110" spans="1:30">
      <c r="A110" s="632"/>
      <c r="B110" s="632"/>
      <c r="C110" s="632"/>
      <c r="D110" s="632"/>
      <c r="E110" s="632"/>
      <c r="F110" s="632"/>
      <c r="G110" s="632"/>
      <c r="H110" s="632"/>
      <c r="I110" s="632"/>
      <c r="J110" s="632"/>
      <c r="K110" s="633"/>
      <c r="L110" s="634"/>
      <c r="M110" s="632"/>
      <c r="N110" s="632"/>
      <c r="O110" s="632"/>
      <c r="P110" s="632"/>
      <c r="Q110" s="632"/>
      <c r="R110" s="632"/>
      <c r="S110" s="632"/>
      <c r="T110" s="632"/>
    </row>
    <row r="111" spans="1:30">
      <c r="A111" s="632"/>
      <c r="B111" s="632"/>
      <c r="C111" s="632"/>
      <c r="D111" s="632"/>
      <c r="E111" s="632"/>
      <c r="F111" s="632"/>
      <c r="G111" s="632"/>
      <c r="H111" s="632"/>
      <c r="I111" s="632"/>
      <c r="J111" s="632"/>
      <c r="K111" s="633"/>
      <c r="L111" s="634"/>
      <c r="M111" s="632"/>
      <c r="N111" s="632"/>
      <c r="O111" s="632"/>
      <c r="P111" s="632"/>
      <c r="Q111" s="632"/>
      <c r="R111" s="632"/>
      <c r="S111" s="632"/>
      <c r="T111" s="632"/>
    </row>
    <row r="112" spans="1:30">
      <c r="A112" s="632"/>
      <c r="B112" s="632"/>
      <c r="C112" s="632"/>
      <c r="D112" s="632"/>
      <c r="E112" s="632"/>
      <c r="F112" s="632"/>
      <c r="G112" s="632"/>
      <c r="H112" s="632"/>
      <c r="I112" s="632"/>
      <c r="J112" s="632"/>
      <c r="K112" s="633"/>
      <c r="L112" s="634"/>
      <c r="M112" s="632"/>
      <c r="N112" s="632"/>
      <c r="O112" s="632"/>
      <c r="P112" s="632"/>
      <c r="Q112" s="632"/>
      <c r="R112" s="632"/>
      <c r="S112" s="632"/>
      <c r="T112" s="632"/>
    </row>
    <row r="113" spans="1:20">
      <c r="A113" s="632"/>
      <c r="B113" s="632"/>
      <c r="C113" s="632"/>
      <c r="D113" s="632"/>
      <c r="E113" s="632"/>
      <c r="F113" s="632"/>
      <c r="G113" s="632"/>
      <c r="H113" s="632"/>
      <c r="I113" s="632"/>
      <c r="J113" s="632"/>
      <c r="K113" s="633"/>
      <c r="L113" s="634"/>
      <c r="M113" s="632"/>
      <c r="N113" s="632"/>
      <c r="O113" s="632"/>
      <c r="P113" s="632"/>
      <c r="Q113" s="632"/>
      <c r="R113" s="632"/>
      <c r="S113" s="632"/>
      <c r="T113" s="632"/>
    </row>
    <row r="114" spans="1:20">
      <c r="A114" s="632"/>
      <c r="B114" s="632"/>
      <c r="C114" s="632"/>
      <c r="D114" s="632"/>
      <c r="E114" s="632"/>
      <c r="F114" s="632"/>
      <c r="G114" s="632"/>
      <c r="H114" s="632"/>
      <c r="I114" s="632"/>
      <c r="J114" s="632"/>
      <c r="K114" s="633"/>
      <c r="L114" s="634"/>
      <c r="M114" s="632"/>
      <c r="N114" s="632"/>
      <c r="O114" s="632"/>
      <c r="P114" s="632"/>
      <c r="Q114" s="632"/>
      <c r="R114" s="632"/>
      <c r="S114" s="632"/>
      <c r="T114" s="632"/>
    </row>
    <row r="115" spans="1:20">
      <c r="A115" s="632"/>
      <c r="B115" s="632"/>
      <c r="C115" s="632"/>
      <c r="D115" s="632"/>
      <c r="E115" s="632"/>
      <c r="F115" s="632"/>
      <c r="G115" s="632"/>
      <c r="H115" s="632"/>
      <c r="I115" s="632"/>
      <c r="J115" s="632"/>
      <c r="K115" s="633"/>
      <c r="L115" s="634"/>
      <c r="M115" s="632"/>
      <c r="N115" s="632"/>
      <c r="O115" s="632"/>
      <c r="P115" s="632"/>
      <c r="Q115" s="632"/>
      <c r="R115" s="632"/>
      <c r="S115" s="632"/>
      <c r="T115" s="632"/>
    </row>
    <row r="116" spans="1:20">
      <c r="A116" s="632"/>
      <c r="B116" s="632"/>
      <c r="C116" s="632"/>
      <c r="D116" s="632"/>
      <c r="E116" s="632"/>
      <c r="F116" s="632"/>
      <c r="G116" s="632"/>
      <c r="H116" s="632"/>
      <c r="I116" s="632"/>
      <c r="J116" s="632"/>
      <c r="K116" s="633"/>
      <c r="L116" s="634"/>
      <c r="M116" s="632"/>
      <c r="N116" s="632"/>
      <c r="O116" s="632"/>
      <c r="P116" s="632"/>
      <c r="Q116" s="632"/>
      <c r="R116" s="632"/>
      <c r="S116" s="632"/>
      <c r="T116" s="632"/>
    </row>
    <row r="117" spans="1:20">
      <c r="A117" s="632"/>
      <c r="B117" s="632"/>
      <c r="C117" s="632"/>
      <c r="D117" s="632"/>
      <c r="E117" s="632"/>
      <c r="F117" s="632"/>
      <c r="G117" s="632"/>
      <c r="H117" s="632"/>
      <c r="I117" s="632"/>
      <c r="J117" s="632"/>
      <c r="K117" s="633"/>
      <c r="L117" s="634"/>
      <c r="M117" s="632"/>
      <c r="N117" s="632"/>
      <c r="O117" s="632"/>
      <c r="P117" s="632"/>
      <c r="Q117" s="632"/>
      <c r="R117" s="632"/>
      <c r="S117" s="632"/>
      <c r="T117" s="632"/>
    </row>
    <row r="118" spans="1:20">
      <c r="A118" s="632"/>
      <c r="B118" s="632"/>
      <c r="C118" s="632"/>
      <c r="D118" s="632"/>
      <c r="E118" s="632"/>
      <c r="F118" s="632"/>
      <c r="G118" s="632"/>
      <c r="H118" s="632"/>
      <c r="I118" s="632"/>
      <c r="J118" s="632"/>
      <c r="K118" s="633"/>
      <c r="L118" s="634"/>
      <c r="M118" s="632"/>
      <c r="N118" s="632"/>
      <c r="O118" s="632"/>
      <c r="P118" s="632"/>
      <c r="Q118" s="632"/>
      <c r="R118" s="632"/>
      <c r="S118" s="632"/>
      <c r="T118" s="632"/>
    </row>
    <row r="119" spans="1:20">
      <c r="A119" s="632"/>
      <c r="B119" s="632"/>
      <c r="C119" s="632"/>
      <c r="D119" s="632"/>
      <c r="E119" s="632"/>
      <c r="F119" s="632"/>
      <c r="G119" s="632"/>
      <c r="H119" s="632"/>
      <c r="I119" s="632"/>
      <c r="J119" s="632"/>
      <c r="K119" s="633"/>
      <c r="L119" s="634"/>
      <c r="M119" s="632"/>
      <c r="N119" s="632"/>
      <c r="O119" s="632"/>
      <c r="P119" s="632"/>
      <c r="Q119" s="632"/>
      <c r="R119" s="632"/>
      <c r="S119" s="632"/>
      <c r="T119" s="632"/>
    </row>
    <row r="120" spans="1:20">
      <c r="A120" s="632"/>
      <c r="B120" s="632"/>
      <c r="C120" s="632"/>
      <c r="D120" s="632"/>
      <c r="E120" s="632"/>
      <c r="F120" s="632"/>
      <c r="G120" s="632"/>
      <c r="H120" s="632"/>
      <c r="I120" s="632"/>
      <c r="J120" s="632"/>
      <c r="K120" s="633"/>
      <c r="L120" s="634"/>
      <c r="M120" s="632"/>
      <c r="N120" s="632"/>
      <c r="O120" s="632"/>
      <c r="P120" s="632"/>
      <c r="Q120" s="632"/>
      <c r="R120" s="632"/>
      <c r="S120" s="632"/>
      <c r="T120" s="632"/>
    </row>
    <row r="121" spans="1:20">
      <c r="A121" s="632"/>
      <c r="B121" s="632"/>
      <c r="C121" s="632"/>
      <c r="D121" s="632"/>
      <c r="E121" s="632"/>
      <c r="F121" s="632"/>
      <c r="G121" s="632"/>
      <c r="H121" s="632"/>
      <c r="I121" s="632"/>
      <c r="J121" s="632"/>
      <c r="K121" s="633"/>
      <c r="L121" s="634"/>
      <c r="M121" s="632"/>
      <c r="N121" s="632"/>
      <c r="O121" s="632"/>
      <c r="P121" s="632"/>
      <c r="Q121" s="632"/>
      <c r="R121" s="632"/>
      <c r="S121" s="632"/>
      <c r="T121" s="632"/>
    </row>
    <row r="122" spans="1:20">
      <c r="A122" s="632"/>
      <c r="B122" s="632"/>
      <c r="C122" s="632"/>
      <c r="D122" s="632"/>
      <c r="E122" s="632"/>
      <c r="F122" s="632"/>
      <c r="G122" s="632"/>
      <c r="H122" s="632"/>
      <c r="I122" s="632"/>
      <c r="J122" s="632"/>
      <c r="K122" s="633"/>
      <c r="L122" s="634"/>
      <c r="M122" s="632"/>
      <c r="N122" s="632"/>
      <c r="O122" s="632"/>
      <c r="P122" s="632"/>
      <c r="Q122" s="632"/>
      <c r="R122" s="632"/>
      <c r="S122" s="632"/>
      <c r="T122" s="632"/>
    </row>
    <row r="123" spans="1:20">
      <c r="A123" s="632"/>
      <c r="B123" s="632"/>
      <c r="C123" s="632"/>
      <c r="D123" s="632"/>
      <c r="E123" s="632"/>
      <c r="F123" s="632"/>
      <c r="G123" s="632"/>
      <c r="H123" s="632"/>
      <c r="I123" s="632"/>
      <c r="J123" s="632"/>
      <c r="K123" s="633"/>
      <c r="L123" s="634"/>
      <c r="M123" s="632"/>
      <c r="N123" s="632"/>
      <c r="O123" s="632"/>
      <c r="P123" s="632"/>
      <c r="Q123" s="632"/>
      <c r="R123" s="632"/>
      <c r="S123" s="632"/>
      <c r="T123" s="632"/>
    </row>
    <row r="124" spans="1:20">
      <c r="A124" s="632"/>
      <c r="B124" s="632"/>
      <c r="C124" s="632"/>
      <c r="D124" s="632"/>
      <c r="E124" s="632"/>
      <c r="F124" s="632"/>
      <c r="G124" s="632"/>
      <c r="H124" s="632"/>
      <c r="I124" s="632"/>
      <c r="J124" s="632"/>
      <c r="K124" s="633"/>
      <c r="L124" s="634"/>
      <c r="M124" s="632"/>
      <c r="N124" s="632"/>
      <c r="O124" s="632"/>
      <c r="P124" s="632"/>
      <c r="Q124" s="632"/>
      <c r="R124" s="632"/>
      <c r="S124" s="632"/>
      <c r="T124" s="632"/>
    </row>
    <row r="125" spans="1:20">
      <c r="A125" s="632"/>
      <c r="B125" s="632"/>
      <c r="C125" s="632"/>
      <c r="D125" s="632"/>
      <c r="E125" s="632"/>
      <c r="F125" s="632"/>
      <c r="G125" s="632"/>
      <c r="H125" s="632"/>
      <c r="I125" s="632"/>
      <c r="J125" s="632"/>
      <c r="K125" s="633"/>
      <c r="L125" s="634"/>
      <c r="M125" s="632"/>
      <c r="N125" s="632"/>
      <c r="O125" s="632"/>
      <c r="P125" s="632"/>
      <c r="Q125" s="632"/>
      <c r="R125" s="632"/>
      <c r="S125" s="632"/>
      <c r="T125" s="632"/>
    </row>
    <row r="126" spans="1:20">
      <c r="A126" s="632"/>
      <c r="B126" s="632"/>
      <c r="C126" s="632"/>
      <c r="D126" s="632"/>
      <c r="E126" s="632"/>
      <c r="F126" s="632"/>
      <c r="G126" s="632"/>
      <c r="H126" s="632"/>
      <c r="I126" s="632"/>
      <c r="J126" s="632"/>
      <c r="K126" s="633"/>
      <c r="L126" s="634"/>
      <c r="M126" s="632"/>
      <c r="N126" s="632"/>
      <c r="O126" s="632"/>
      <c r="P126" s="632"/>
      <c r="Q126" s="632"/>
      <c r="R126" s="632"/>
      <c r="S126" s="632"/>
      <c r="T126" s="632"/>
    </row>
    <row r="127" spans="1:20">
      <c r="A127" s="632"/>
      <c r="B127" s="632"/>
      <c r="C127" s="632"/>
      <c r="D127" s="632"/>
      <c r="E127" s="632"/>
      <c r="F127" s="632"/>
      <c r="G127" s="632"/>
      <c r="H127" s="632"/>
      <c r="I127" s="632"/>
      <c r="J127" s="632"/>
      <c r="K127" s="633"/>
      <c r="L127" s="634"/>
      <c r="M127" s="632"/>
      <c r="N127" s="632"/>
      <c r="O127" s="632"/>
      <c r="P127" s="632"/>
      <c r="Q127" s="632"/>
      <c r="R127" s="632"/>
      <c r="S127" s="632"/>
      <c r="T127" s="632"/>
    </row>
    <row r="128" spans="1:20">
      <c r="A128" s="632"/>
      <c r="B128" s="632"/>
      <c r="C128" s="632"/>
      <c r="D128" s="632"/>
      <c r="E128" s="632"/>
      <c r="F128" s="632"/>
      <c r="G128" s="632"/>
      <c r="H128" s="632"/>
      <c r="I128" s="632"/>
      <c r="J128" s="632"/>
      <c r="K128" s="633"/>
      <c r="L128" s="634"/>
      <c r="M128" s="632"/>
      <c r="N128" s="632"/>
      <c r="O128" s="632"/>
      <c r="P128" s="632"/>
      <c r="Q128" s="632"/>
      <c r="R128" s="632"/>
      <c r="S128" s="632"/>
      <c r="T128" s="632"/>
    </row>
    <row r="129" spans="1:20">
      <c r="A129" s="632"/>
      <c r="B129" s="632"/>
      <c r="C129" s="632"/>
      <c r="D129" s="632"/>
      <c r="E129" s="632"/>
      <c r="F129" s="632"/>
      <c r="G129" s="632"/>
      <c r="H129" s="632"/>
      <c r="I129" s="632"/>
      <c r="J129" s="632"/>
      <c r="K129" s="633"/>
      <c r="L129" s="634"/>
      <c r="M129" s="632"/>
      <c r="N129" s="632"/>
      <c r="O129" s="632"/>
      <c r="P129" s="632"/>
      <c r="Q129" s="632"/>
      <c r="R129" s="632"/>
      <c r="S129" s="632"/>
      <c r="T129" s="632"/>
    </row>
    <row r="130" spans="1:20">
      <c r="A130" s="632"/>
      <c r="B130" s="632"/>
      <c r="C130" s="632"/>
      <c r="D130" s="632"/>
      <c r="E130" s="632"/>
      <c r="F130" s="632"/>
      <c r="G130" s="632"/>
      <c r="H130" s="632"/>
      <c r="I130" s="632"/>
      <c r="J130" s="632"/>
      <c r="K130" s="633"/>
      <c r="L130" s="634"/>
      <c r="M130" s="632"/>
      <c r="N130" s="632"/>
      <c r="O130" s="632"/>
      <c r="P130" s="632"/>
      <c r="Q130" s="632"/>
      <c r="R130" s="632"/>
      <c r="S130" s="632"/>
      <c r="T130" s="632"/>
    </row>
    <row r="131" spans="1:20">
      <c r="A131" s="632"/>
      <c r="B131" s="632"/>
      <c r="C131" s="632"/>
      <c r="D131" s="632"/>
      <c r="E131" s="632"/>
      <c r="F131" s="632"/>
      <c r="G131" s="632"/>
      <c r="H131" s="632"/>
      <c r="I131" s="632"/>
      <c r="J131" s="632"/>
      <c r="K131" s="633"/>
      <c r="L131" s="634"/>
      <c r="M131" s="632"/>
      <c r="N131" s="632"/>
      <c r="O131" s="632"/>
      <c r="P131" s="632"/>
      <c r="Q131" s="632"/>
      <c r="R131" s="632"/>
      <c r="S131" s="632"/>
      <c r="T131" s="632"/>
    </row>
    <row r="132" spans="1:20">
      <c r="A132" s="632"/>
      <c r="B132" s="632"/>
      <c r="C132" s="632"/>
      <c r="D132" s="632"/>
      <c r="E132" s="632"/>
      <c r="F132" s="632"/>
      <c r="G132" s="632"/>
      <c r="H132" s="632"/>
      <c r="I132" s="632"/>
      <c r="J132" s="632"/>
      <c r="K132" s="633"/>
      <c r="L132" s="634"/>
      <c r="M132" s="632"/>
      <c r="N132" s="632"/>
      <c r="O132" s="632"/>
      <c r="P132" s="632"/>
      <c r="Q132" s="632"/>
      <c r="R132" s="632"/>
      <c r="S132" s="632"/>
      <c r="T132" s="632"/>
    </row>
    <row r="133" spans="1:20">
      <c r="A133" s="632"/>
      <c r="B133" s="632"/>
      <c r="C133" s="632"/>
      <c r="D133" s="632"/>
      <c r="E133" s="632"/>
      <c r="F133" s="632"/>
      <c r="G133" s="632"/>
      <c r="H133" s="632"/>
      <c r="I133" s="632"/>
      <c r="J133" s="632"/>
      <c r="K133" s="633"/>
      <c r="L133" s="634"/>
      <c r="M133" s="632"/>
      <c r="N133" s="632"/>
      <c r="O133" s="632"/>
      <c r="P133" s="632"/>
      <c r="Q133" s="632"/>
      <c r="R133" s="632"/>
      <c r="S133" s="632"/>
      <c r="T133" s="632"/>
    </row>
    <row r="134" spans="1:20">
      <c r="A134" s="632"/>
      <c r="B134" s="632"/>
      <c r="C134" s="632"/>
      <c r="D134" s="632"/>
      <c r="E134" s="632"/>
      <c r="F134" s="632"/>
      <c r="G134" s="632"/>
      <c r="H134" s="632"/>
      <c r="I134" s="632"/>
      <c r="J134" s="632"/>
      <c r="K134" s="633"/>
      <c r="L134" s="634"/>
      <c r="M134" s="632"/>
      <c r="N134" s="632"/>
      <c r="O134" s="632"/>
      <c r="P134" s="632"/>
      <c r="Q134" s="632"/>
      <c r="R134" s="632"/>
      <c r="S134" s="632"/>
      <c r="T134" s="632"/>
    </row>
    <row r="135" spans="1:20">
      <c r="A135" s="632"/>
      <c r="B135" s="632"/>
      <c r="C135" s="632"/>
      <c r="D135" s="632"/>
      <c r="E135" s="632"/>
      <c r="F135" s="632"/>
      <c r="G135" s="632"/>
      <c r="H135" s="632"/>
      <c r="I135" s="632"/>
      <c r="J135" s="632"/>
      <c r="K135" s="633"/>
      <c r="L135" s="634"/>
      <c r="M135" s="632"/>
      <c r="N135" s="632"/>
      <c r="O135" s="632"/>
      <c r="P135" s="632"/>
      <c r="Q135" s="632"/>
      <c r="R135" s="632"/>
      <c r="S135" s="632"/>
      <c r="T135" s="632"/>
    </row>
    <row r="136" spans="1:20">
      <c r="A136" s="632"/>
      <c r="B136" s="632"/>
      <c r="C136" s="632"/>
      <c r="D136" s="632"/>
      <c r="E136" s="632"/>
      <c r="F136" s="632"/>
      <c r="G136" s="632"/>
      <c r="H136" s="632"/>
      <c r="I136" s="632"/>
      <c r="J136" s="632"/>
      <c r="K136" s="633"/>
      <c r="L136" s="634"/>
      <c r="M136" s="632"/>
      <c r="N136" s="632"/>
      <c r="O136" s="632"/>
      <c r="P136" s="632"/>
      <c r="Q136" s="632"/>
      <c r="R136" s="632"/>
      <c r="S136" s="632"/>
      <c r="T136" s="632"/>
    </row>
    <row r="137" spans="1:20">
      <c r="A137" s="632"/>
      <c r="B137" s="632"/>
      <c r="C137" s="632"/>
      <c r="D137" s="632"/>
      <c r="E137" s="632"/>
      <c r="F137" s="632"/>
      <c r="G137" s="632"/>
      <c r="H137" s="632"/>
      <c r="I137" s="632"/>
      <c r="J137" s="632"/>
      <c r="K137" s="633"/>
      <c r="L137" s="634"/>
      <c r="M137" s="632"/>
      <c r="N137" s="632"/>
      <c r="O137" s="632"/>
      <c r="P137" s="632"/>
      <c r="Q137" s="632"/>
      <c r="R137" s="632"/>
      <c r="S137" s="632"/>
      <c r="T137" s="632"/>
    </row>
    <row r="138" spans="1:20">
      <c r="A138" s="632"/>
      <c r="B138" s="632"/>
      <c r="C138" s="632"/>
      <c r="D138" s="632"/>
      <c r="E138" s="632"/>
      <c r="F138" s="632"/>
      <c r="G138" s="632"/>
      <c r="H138" s="632"/>
      <c r="I138" s="632"/>
      <c r="J138" s="632"/>
      <c r="K138" s="633"/>
      <c r="L138" s="634"/>
      <c r="M138" s="632"/>
      <c r="N138" s="632"/>
      <c r="O138" s="632"/>
      <c r="P138" s="632"/>
      <c r="Q138" s="632"/>
      <c r="R138" s="632"/>
      <c r="S138" s="632"/>
      <c r="T138" s="632"/>
    </row>
    <row r="139" spans="1:20">
      <c r="A139" s="632"/>
      <c r="B139" s="632"/>
      <c r="C139" s="632"/>
      <c r="D139" s="632"/>
      <c r="E139" s="632"/>
      <c r="F139" s="632"/>
      <c r="G139" s="632"/>
      <c r="H139" s="632"/>
      <c r="I139" s="632"/>
      <c r="J139" s="632"/>
      <c r="K139" s="633"/>
      <c r="L139" s="634"/>
      <c r="M139" s="632"/>
      <c r="N139" s="632"/>
      <c r="O139" s="632"/>
      <c r="P139" s="632"/>
      <c r="Q139" s="632"/>
      <c r="R139" s="632"/>
      <c r="S139" s="632"/>
      <c r="T139" s="632"/>
    </row>
    <row r="140" spans="1:20">
      <c r="A140" s="632"/>
      <c r="B140" s="632"/>
      <c r="C140" s="632"/>
      <c r="D140" s="632"/>
      <c r="E140" s="632"/>
      <c r="F140" s="632"/>
      <c r="G140" s="632"/>
      <c r="H140" s="632"/>
      <c r="I140" s="632"/>
      <c r="J140" s="632"/>
      <c r="K140" s="633"/>
      <c r="L140" s="634"/>
      <c r="M140" s="632"/>
      <c r="N140" s="632"/>
      <c r="O140" s="632"/>
      <c r="P140" s="632"/>
      <c r="Q140" s="632"/>
      <c r="R140" s="632"/>
      <c r="S140" s="632"/>
      <c r="T140" s="632"/>
    </row>
    <row r="141" spans="1:20">
      <c r="A141" s="632"/>
      <c r="B141" s="632"/>
      <c r="C141" s="632"/>
      <c r="D141" s="632"/>
      <c r="E141" s="632"/>
      <c r="F141" s="632"/>
      <c r="G141" s="632"/>
      <c r="H141" s="632"/>
      <c r="I141" s="632"/>
      <c r="J141" s="632"/>
      <c r="K141" s="633"/>
      <c r="L141" s="634"/>
      <c r="M141" s="632"/>
      <c r="N141" s="632"/>
      <c r="O141" s="632"/>
      <c r="P141" s="632"/>
      <c r="Q141" s="632"/>
      <c r="R141" s="632"/>
      <c r="S141" s="632"/>
      <c r="T141" s="632"/>
    </row>
    <row r="142" spans="1:20">
      <c r="A142" s="632"/>
      <c r="B142" s="632"/>
      <c r="C142" s="632"/>
      <c r="D142" s="632"/>
      <c r="E142" s="632"/>
      <c r="F142" s="632"/>
      <c r="G142" s="632"/>
      <c r="H142" s="632"/>
      <c r="I142" s="632"/>
      <c r="J142" s="632"/>
      <c r="K142" s="633"/>
      <c r="L142" s="634"/>
      <c r="M142" s="632"/>
      <c r="N142" s="632"/>
      <c r="O142" s="632"/>
      <c r="P142" s="632"/>
      <c r="Q142" s="632"/>
      <c r="R142" s="632"/>
      <c r="S142" s="632"/>
      <c r="T142" s="632"/>
    </row>
    <row r="143" spans="1:20">
      <c r="A143" s="632"/>
      <c r="B143" s="632"/>
      <c r="C143" s="632"/>
      <c r="D143" s="632"/>
      <c r="E143" s="632"/>
      <c r="F143" s="632"/>
      <c r="G143" s="632"/>
      <c r="H143" s="632"/>
      <c r="I143" s="632"/>
      <c r="J143" s="632"/>
      <c r="K143" s="633"/>
      <c r="L143" s="634"/>
      <c r="M143" s="632"/>
      <c r="N143" s="632"/>
      <c r="O143" s="632"/>
      <c r="P143" s="632"/>
      <c r="Q143" s="632"/>
      <c r="R143" s="632"/>
      <c r="S143" s="632"/>
      <c r="T143" s="632"/>
    </row>
    <row r="144" spans="1:20">
      <c r="A144" s="632"/>
      <c r="B144" s="632"/>
      <c r="C144" s="632"/>
      <c r="D144" s="632"/>
      <c r="E144" s="632"/>
      <c r="F144" s="632"/>
      <c r="G144" s="632"/>
      <c r="H144" s="632"/>
      <c r="I144" s="632"/>
      <c r="J144" s="632"/>
      <c r="K144" s="633"/>
      <c r="L144" s="634"/>
      <c r="M144" s="632"/>
      <c r="N144" s="632"/>
      <c r="O144" s="632"/>
      <c r="P144" s="632"/>
      <c r="Q144" s="632"/>
      <c r="R144" s="632"/>
      <c r="S144" s="632"/>
      <c r="T144" s="632"/>
    </row>
    <row r="145" spans="1:20">
      <c r="A145" s="632"/>
      <c r="B145" s="632"/>
      <c r="C145" s="632"/>
      <c r="D145" s="632"/>
      <c r="E145" s="632"/>
      <c r="F145" s="632"/>
      <c r="G145" s="632"/>
      <c r="H145" s="632"/>
      <c r="I145" s="632"/>
      <c r="J145" s="632"/>
      <c r="K145" s="633"/>
      <c r="L145" s="634"/>
      <c r="M145" s="632"/>
      <c r="N145" s="632"/>
      <c r="O145" s="632"/>
      <c r="P145" s="632"/>
      <c r="Q145" s="632"/>
      <c r="R145" s="632"/>
      <c r="S145" s="632"/>
      <c r="T145" s="632"/>
    </row>
    <row r="146" spans="1:20">
      <c r="A146" s="632"/>
      <c r="B146" s="632"/>
      <c r="C146" s="632"/>
      <c r="D146" s="632"/>
      <c r="E146" s="632"/>
      <c r="F146" s="632"/>
      <c r="G146" s="632"/>
      <c r="H146" s="632"/>
      <c r="I146" s="632"/>
      <c r="J146" s="632"/>
      <c r="K146" s="633"/>
      <c r="L146" s="634"/>
      <c r="M146" s="632"/>
      <c r="N146" s="632"/>
      <c r="O146" s="632"/>
      <c r="P146" s="632"/>
      <c r="Q146" s="632"/>
      <c r="R146" s="632"/>
      <c r="S146" s="632"/>
      <c r="T146" s="632"/>
    </row>
    <row r="147" spans="1:20">
      <c r="A147" s="632"/>
      <c r="B147" s="632"/>
      <c r="C147" s="632"/>
      <c r="D147" s="632"/>
      <c r="E147" s="632"/>
      <c r="F147" s="632"/>
      <c r="G147" s="632"/>
      <c r="H147" s="632"/>
      <c r="I147" s="632"/>
      <c r="J147" s="632"/>
      <c r="K147" s="633"/>
      <c r="L147" s="634"/>
      <c r="M147" s="632"/>
      <c r="N147" s="632"/>
      <c r="O147" s="632"/>
      <c r="P147" s="632"/>
      <c r="Q147" s="632"/>
      <c r="R147" s="632"/>
      <c r="S147" s="632"/>
      <c r="T147" s="632"/>
    </row>
    <row r="148" spans="1:20">
      <c r="A148" s="632"/>
      <c r="B148" s="632"/>
      <c r="C148" s="632"/>
      <c r="D148" s="632"/>
      <c r="E148" s="632"/>
      <c r="F148" s="632"/>
      <c r="G148" s="632"/>
      <c r="H148" s="632"/>
      <c r="I148" s="632"/>
      <c r="J148" s="632"/>
      <c r="K148" s="633"/>
      <c r="L148" s="634"/>
      <c r="M148" s="632"/>
      <c r="N148" s="632"/>
      <c r="O148" s="632"/>
      <c r="P148" s="632"/>
      <c r="Q148" s="632"/>
      <c r="R148" s="632"/>
      <c r="S148" s="632"/>
      <c r="T148" s="632"/>
    </row>
    <row r="149" spans="1:20">
      <c r="A149" s="632"/>
      <c r="B149" s="632"/>
      <c r="C149" s="632"/>
      <c r="D149" s="632"/>
      <c r="E149" s="632"/>
      <c r="F149" s="632"/>
      <c r="G149" s="632"/>
      <c r="H149" s="632"/>
      <c r="I149" s="632"/>
      <c r="J149" s="632"/>
      <c r="K149" s="633"/>
      <c r="L149" s="634"/>
      <c r="M149" s="632"/>
      <c r="N149" s="632"/>
      <c r="O149" s="632"/>
      <c r="P149" s="632"/>
      <c r="Q149" s="632"/>
      <c r="R149" s="632"/>
      <c r="S149" s="632"/>
      <c r="T149" s="632"/>
    </row>
    <row r="150" spans="1:20">
      <c r="A150" s="632"/>
      <c r="B150" s="632"/>
      <c r="C150" s="632"/>
      <c r="D150" s="632"/>
      <c r="E150" s="632"/>
      <c r="F150" s="632"/>
      <c r="G150" s="632"/>
      <c r="H150" s="632"/>
      <c r="I150" s="632"/>
      <c r="J150" s="632"/>
      <c r="K150" s="633"/>
      <c r="L150" s="634"/>
      <c r="M150" s="632"/>
      <c r="N150" s="632"/>
      <c r="O150" s="632"/>
      <c r="P150" s="632"/>
      <c r="Q150" s="632"/>
      <c r="R150" s="632"/>
      <c r="S150" s="632"/>
      <c r="T150" s="632"/>
    </row>
    <row r="151" spans="1:20">
      <c r="A151" s="632"/>
      <c r="B151" s="632"/>
      <c r="C151" s="632"/>
      <c r="D151" s="632"/>
      <c r="E151" s="632"/>
      <c r="F151" s="632"/>
      <c r="G151" s="632"/>
      <c r="H151" s="632"/>
      <c r="I151" s="632"/>
      <c r="J151" s="632"/>
      <c r="K151" s="633"/>
      <c r="L151" s="634"/>
      <c r="M151" s="632"/>
      <c r="N151" s="632"/>
      <c r="O151" s="632"/>
      <c r="P151" s="632"/>
      <c r="Q151" s="632"/>
      <c r="R151" s="632"/>
      <c r="S151" s="632"/>
      <c r="T151" s="632"/>
    </row>
    <row r="152" spans="1:20">
      <c r="A152" s="632"/>
      <c r="B152" s="632"/>
      <c r="C152" s="632"/>
      <c r="D152" s="632"/>
      <c r="E152" s="632"/>
      <c r="F152" s="632"/>
      <c r="G152" s="632"/>
      <c r="H152" s="632"/>
      <c r="I152" s="632"/>
      <c r="J152" s="632"/>
      <c r="K152" s="633"/>
      <c r="L152" s="634"/>
      <c r="M152" s="632"/>
      <c r="N152" s="632"/>
      <c r="O152" s="632"/>
      <c r="P152" s="632"/>
      <c r="Q152" s="632"/>
      <c r="R152" s="632"/>
      <c r="S152" s="632"/>
      <c r="T152" s="632"/>
    </row>
    <row r="153" spans="1:20">
      <c r="A153" s="632"/>
      <c r="B153" s="632"/>
      <c r="C153" s="632"/>
      <c r="D153" s="632"/>
      <c r="E153" s="632"/>
      <c r="F153" s="632"/>
      <c r="G153" s="632"/>
      <c r="H153" s="632"/>
      <c r="I153" s="632"/>
      <c r="J153" s="632"/>
      <c r="K153" s="633"/>
      <c r="L153" s="634"/>
      <c r="M153" s="632"/>
      <c r="N153" s="632"/>
      <c r="O153" s="632"/>
      <c r="P153" s="632"/>
      <c r="Q153" s="632"/>
      <c r="R153" s="632"/>
      <c r="S153" s="632"/>
      <c r="T153" s="632"/>
    </row>
    <row r="154" spans="1:20">
      <c r="A154" s="632"/>
      <c r="B154" s="632"/>
      <c r="C154" s="632"/>
      <c r="D154" s="632"/>
      <c r="E154" s="632"/>
      <c r="F154" s="632"/>
      <c r="G154" s="632"/>
      <c r="H154" s="632"/>
      <c r="I154" s="632"/>
      <c r="J154" s="632"/>
      <c r="K154" s="633"/>
      <c r="L154" s="634"/>
      <c r="M154" s="632"/>
      <c r="N154" s="632"/>
      <c r="O154" s="632"/>
      <c r="P154" s="632"/>
      <c r="Q154" s="632"/>
      <c r="R154" s="632"/>
      <c r="S154" s="632"/>
      <c r="T154" s="632"/>
    </row>
    <row r="155" spans="1:20">
      <c r="A155" s="632"/>
      <c r="B155" s="632"/>
      <c r="C155" s="632"/>
      <c r="D155" s="632"/>
      <c r="E155" s="632"/>
      <c r="F155" s="632"/>
      <c r="G155" s="632"/>
      <c r="H155" s="632"/>
      <c r="I155" s="632"/>
      <c r="J155" s="632"/>
      <c r="K155" s="633"/>
      <c r="L155" s="634"/>
      <c r="M155" s="632"/>
      <c r="N155" s="632"/>
      <c r="O155" s="632"/>
      <c r="P155" s="632"/>
      <c r="Q155" s="632"/>
      <c r="R155" s="632"/>
      <c r="S155" s="632"/>
      <c r="T155" s="632"/>
    </row>
    <row r="156" spans="1:20">
      <c r="A156" s="632"/>
      <c r="B156" s="632"/>
      <c r="C156" s="632"/>
      <c r="D156" s="632"/>
      <c r="E156" s="632"/>
      <c r="F156" s="632"/>
      <c r="G156" s="632"/>
      <c r="H156" s="632"/>
      <c r="I156" s="632"/>
      <c r="J156" s="632"/>
      <c r="K156" s="633"/>
      <c r="L156" s="634"/>
      <c r="M156" s="632"/>
      <c r="N156" s="632"/>
      <c r="O156" s="632"/>
      <c r="P156" s="632"/>
      <c r="Q156" s="632"/>
      <c r="R156" s="632"/>
      <c r="S156" s="632"/>
      <c r="T156" s="632"/>
    </row>
    <row r="157" spans="1:20">
      <c r="A157" s="632"/>
      <c r="B157" s="632"/>
      <c r="C157" s="632"/>
      <c r="D157" s="632"/>
      <c r="E157" s="632"/>
      <c r="F157" s="632"/>
      <c r="G157" s="632"/>
      <c r="H157" s="632"/>
      <c r="I157" s="632"/>
      <c r="J157" s="632"/>
      <c r="K157" s="633"/>
      <c r="L157" s="634"/>
      <c r="M157" s="632"/>
      <c r="N157" s="632"/>
      <c r="O157" s="632"/>
      <c r="P157" s="632"/>
      <c r="Q157" s="632"/>
      <c r="R157" s="632"/>
      <c r="S157" s="632"/>
      <c r="T157" s="632"/>
    </row>
    <row r="158" spans="1:20">
      <c r="A158" s="632"/>
      <c r="B158" s="632"/>
      <c r="C158" s="632"/>
      <c r="D158" s="632"/>
      <c r="E158" s="632"/>
      <c r="F158" s="632"/>
      <c r="G158" s="632"/>
      <c r="H158" s="632"/>
      <c r="I158" s="632"/>
      <c r="J158" s="632"/>
      <c r="K158" s="633"/>
      <c r="L158" s="634"/>
      <c r="M158" s="632"/>
      <c r="N158" s="632"/>
      <c r="O158" s="632"/>
      <c r="P158" s="632"/>
      <c r="Q158" s="632"/>
      <c r="R158" s="632"/>
      <c r="S158" s="632"/>
      <c r="T158" s="632"/>
    </row>
    <row r="159" spans="1:20">
      <c r="A159" s="632"/>
      <c r="B159" s="632"/>
      <c r="C159" s="632"/>
      <c r="D159" s="632"/>
      <c r="E159" s="632"/>
      <c r="F159" s="632"/>
      <c r="G159" s="632"/>
      <c r="H159" s="632"/>
      <c r="I159" s="632"/>
      <c r="J159" s="632"/>
      <c r="K159" s="633"/>
      <c r="L159" s="634"/>
      <c r="M159" s="632"/>
      <c r="N159" s="632"/>
      <c r="O159" s="632"/>
      <c r="P159" s="632"/>
      <c r="Q159" s="632"/>
      <c r="R159" s="632"/>
      <c r="S159" s="632"/>
      <c r="T159" s="632"/>
    </row>
    <row r="160" spans="1:20">
      <c r="A160" s="632"/>
      <c r="B160" s="632"/>
      <c r="C160" s="632"/>
      <c r="D160" s="632"/>
      <c r="E160" s="632"/>
      <c r="F160" s="632"/>
      <c r="G160" s="632"/>
      <c r="H160" s="632"/>
      <c r="I160" s="632"/>
      <c r="J160" s="632"/>
      <c r="K160" s="633"/>
      <c r="L160" s="634"/>
      <c r="M160" s="632"/>
      <c r="N160" s="632"/>
      <c r="O160" s="632"/>
      <c r="P160" s="632"/>
      <c r="Q160" s="632"/>
      <c r="R160" s="632"/>
      <c r="S160" s="632"/>
      <c r="T160" s="632"/>
    </row>
    <row r="161" spans="1:20">
      <c r="A161" s="632"/>
      <c r="B161" s="632"/>
      <c r="C161" s="632"/>
      <c r="D161" s="632"/>
      <c r="E161" s="632"/>
      <c r="F161" s="632"/>
      <c r="G161" s="632"/>
      <c r="H161" s="632"/>
      <c r="I161" s="632"/>
      <c r="J161" s="632"/>
      <c r="K161" s="633"/>
      <c r="L161" s="634"/>
      <c r="M161" s="632"/>
      <c r="N161" s="632"/>
      <c r="O161" s="632"/>
      <c r="P161" s="632"/>
      <c r="Q161" s="632"/>
      <c r="R161" s="632"/>
      <c r="S161" s="632"/>
      <c r="T161" s="632"/>
    </row>
    <row r="162" spans="1:20">
      <c r="A162" s="632"/>
      <c r="B162" s="632"/>
      <c r="C162" s="632"/>
      <c r="D162" s="632"/>
      <c r="E162" s="632"/>
      <c r="F162" s="632"/>
      <c r="G162" s="632"/>
      <c r="H162" s="632"/>
      <c r="I162" s="632"/>
      <c r="J162" s="632"/>
      <c r="K162" s="633"/>
      <c r="L162" s="634"/>
      <c r="M162" s="632"/>
      <c r="N162" s="632"/>
      <c r="O162" s="632"/>
      <c r="P162" s="632"/>
      <c r="Q162" s="632"/>
      <c r="R162" s="632"/>
      <c r="S162" s="632"/>
      <c r="T162" s="632"/>
    </row>
    <row r="163" spans="1:20">
      <c r="A163" s="632"/>
      <c r="B163" s="632"/>
      <c r="C163" s="632"/>
      <c r="D163" s="632"/>
      <c r="E163" s="632"/>
      <c r="F163" s="632"/>
      <c r="G163" s="632"/>
      <c r="H163" s="632"/>
      <c r="I163" s="632"/>
      <c r="J163" s="632"/>
      <c r="K163" s="633"/>
      <c r="L163" s="634"/>
      <c r="M163" s="632"/>
      <c r="N163" s="632"/>
      <c r="O163" s="632"/>
      <c r="P163" s="632"/>
      <c r="Q163" s="632"/>
      <c r="R163" s="632"/>
      <c r="S163" s="632"/>
      <c r="T163" s="632"/>
    </row>
    <row r="164" spans="1:20">
      <c r="A164" s="632"/>
      <c r="B164" s="632"/>
      <c r="C164" s="632"/>
      <c r="D164" s="632"/>
      <c r="E164" s="632"/>
      <c r="F164" s="632"/>
      <c r="G164" s="632"/>
      <c r="H164" s="632"/>
      <c r="I164" s="632"/>
      <c r="J164" s="632"/>
      <c r="K164" s="633"/>
      <c r="L164" s="634"/>
      <c r="M164" s="632"/>
      <c r="N164" s="632"/>
      <c r="O164" s="632"/>
      <c r="P164" s="632"/>
      <c r="Q164" s="632"/>
      <c r="R164" s="632"/>
      <c r="S164" s="632"/>
      <c r="T164" s="632"/>
    </row>
    <row r="165" spans="1:20">
      <c r="A165" s="632"/>
      <c r="B165" s="632"/>
      <c r="C165" s="632"/>
      <c r="D165" s="632"/>
      <c r="E165" s="632"/>
      <c r="F165" s="632"/>
      <c r="G165" s="632"/>
      <c r="H165" s="632"/>
      <c r="I165" s="632"/>
      <c r="J165" s="632"/>
      <c r="K165" s="633"/>
      <c r="L165" s="634"/>
      <c r="M165" s="632"/>
      <c r="N165" s="632"/>
      <c r="O165" s="632"/>
      <c r="P165" s="632"/>
      <c r="Q165" s="632"/>
      <c r="R165" s="632"/>
      <c r="S165" s="632"/>
      <c r="T165" s="632"/>
    </row>
    <row r="166" spans="1:20">
      <c r="A166" s="632"/>
      <c r="B166" s="632"/>
      <c r="C166" s="632"/>
      <c r="D166" s="632"/>
      <c r="E166" s="632"/>
      <c r="F166" s="632"/>
      <c r="G166" s="632"/>
      <c r="H166" s="632"/>
      <c r="I166" s="632"/>
      <c r="J166" s="632"/>
      <c r="K166" s="633"/>
      <c r="L166" s="634"/>
      <c r="M166" s="632"/>
      <c r="N166" s="632"/>
      <c r="O166" s="632"/>
      <c r="P166" s="632"/>
      <c r="Q166" s="632"/>
      <c r="R166" s="632"/>
      <c r="S166" s="632"/>
      <c r="T166" s="632"/>
    </row>
    <row r="167" spans="1:20">
      <c r="A167" s="632"/>
      <c r="B167" s="632"/>
      <c r="C167" s="632"/>
      <c r="D167" s="632"/>
      <c r="E167" s="632"/>
      <c r="F167" s="632"/>
      <c r="G167" s="632"/>
      <c r="H167" s="632"/>
      <c r="I167" s="632"/>
      <c r="J167" s="632"/>
      <c r="K167" s="633"/>
      <c r="L167" s="634"/>
      <c r="M167" s="632"/>
      <c r="N167" s="632"/>
      <c r="O167" s="632"/>
      <c r="P167" s="632"/>
      <c r="Q167" s="632"/>
      <c r="R167" s="632"/>
      <c r="S167" s="632"/>
      <c r="T167" s="632"/>
    </row>
    <row r="168" spans="1:20">
      <c r="A168" s="632"/>
      <c r="B168" s="632"/>
      <c r="C168" s="632"/>
      <c r="D168" s="632"/>
      <c r="E168" s="632"/>
      <c r="F168" s="632"/>
      <c r="G168" s="632"/>
      <c r="H168" s="632"/>
      <c r="I168" s="632"/>
      <c r="J168" s="632"/>
      <c r="K168" s="633"/>
      <c r="L168" s="634"/>
      <c r="M168" s="632"/>
      <c r="N168" s="632"/>
      <c r="O168" s="632"/>
      <c r="P168" s="632"/>
      <c r="Q168" s="632"/>
      <c r="R168" s="632"/>
      <c r="S168" s="632"/>
      <c r="T168" s="632"/>
    </row>
    <row r="169" spans="1:20">
      <c r="A169" s="632"/>
      <c r="B169" s="632"/>
      <c r="C169" s="632"/>
      <c r="D169" s="632"/>
      <c r="E169" s="632"/>
      <c r="F169" s="632"/>
      <c r="G169" s="632"/>
      <c r="H169" s="632"/>
      <c r="I169" s="632"/>
      <c r="J169" s="632"/>
      <c r="K169" s="633"/>
      <c r="L169" s="634"/>
      <c r="M169" s="632"/>
      <c r="N169" s="632"/>
      <c r="O169" s="632"/>
      <c r="P169" s="632"/>
      <c r="Q169" s="632"/>
      <c r="R169" s="632"/>
      <c r="S169" s="632"/>
      <c r="T169" s="632"/>
    </row>
    <row r="170" spans="1:20">
      <c r="A170" s="632"/>
      <c r="B170" s="632"/>
      <c r="C170" s="632"/>
      <c r="D170" s="632"/>
      <c r="E170" s="632"/>
      <c r="F170" s="632"/>
      <c r="G170" s="632"/>
      <c r="H170" s="632"/>
      <c r="I170" s="632"/>
      <c r="J170" s="632"/>
      <c r="K170" s="633"/>
      <c r="L170" s="634"/>
      <c r="M170" s="632"/>
      <c r="N170" s="632"/>
      <c r="O170" s="632"/>
      <c r="P170" s="632"/>
      <c r="Q170" s="632"/>
      <c r="R170" s="632"/>
      <c r="S170" s="632"/>
      <c r="T170" s="632"/>
    </row>
    <row r="171" spans="1:20">
      <c r="A171" s="632"/>
      <c r="B171" s="632"/>
      <c r="C171" s="632"/>
      <c r="D171" s="632"/>
      <c r="E171" s="632"/>
      <c r="F171" s="632"/>
      <c r="G171" s="632"/>
      <c r="H171" s="632"/>
      <c r="I171" s="632"/>
      <c r="J171" s="632"/>
      <c r="K171" s="633"/>
      <c r="L171" s="634"/>
      <c r="M171" s="632"/>
      <c r="N171" s="632"/>
      <c r="O171" s="632"/>
      <c r="P171" s="632"/>
      <c r="Q171" s="632"/>
      <c r="R171" s="632"/>
      <c r="S171" s="632"/>
      <c r="T171" s="632"/>
    </row>
    <row r="172" spans="1:20">
      <c r="A172" s="632"/>
      <c r="B172" s="632"/>
      <c r="C172" s="632"/>
      <c r="D172" s="632"/>
      <c r="E172" s="632"/>
      <c r="F172" s="632"/>
      <c r="G172" s="632"/>
      <c r="H172" s="632"/>
      <c r="I172" s="632"/>
      <c r="J172" s="632"/>
      <c r="K172" s="633"/>
      <c r="L172" s="634"/>
      <c r="M172" s="632"/>
      <c r="N172" s="632"/>
      <c r="O172" s="632"/>
      <c r="P172" s="632"/>
      <c r="Q172" s="632"/>
      <c r="R172" s="632"/>
      <c r="S172" s="632"/>
      <c r="T172" s="632"/>
    </row>
    <row r="173" spans="1:20">
      <c r="A173" s="632"/>
      <c r="B173" s="632"/>
      <c r="C173" s="632"/>
      <c r="D173" s="632"/>
      <c r="E173" s="632"/>
      <c r="F173" s="632"/>
      <c r="G173" s="632"/>
      <c r="H173" s="632"/>
      <c r="I173" s="632"/>
      <c r="J173" s="632"/>
      <c r="K173" s="633"/>
      <c r="L173" s="634"/>
      <c r="M173" s="632"/>
      <c r="N173" s="632"/>
      <c r="O173" s="632"/>
      <c r="P173" s="632"/>
      <c r="Q173" s="632"/>
      <c r="R173" s="632"/>
      <c r="S173" s="632"/>
      <c r="T173" s="632"/>
    </row>
    <row r="174" spans="1:20">
      <c r="A174" s="632"/>
      <c r="B174" s="632"/>
      <c r="C174" s="632"/>
      <c r="D174" s="632"/>
      <c r="E174" s="632"/>
      <c r="F174" s="632"/>
      <c r="G174" s="632"/>
      <c r="H174" s="632"/>
      <c r="I174" s="632"/>
      <c r="J174" s="632"/>
      <c r="K174" s="633"/>
      <c r="L174" s="634"/>
      <c r="M174" s="632"/>
      <c r="N174" s="632"/>
      <c r="O174" s="632"/>
      <c r="P174" s="632"/>
      <c r="Q174" s="632"/>
      <c r="R174" s="632"/>
      <c r="S174" s="632"/>
      <c r="T174" s="632"/>
    </row>
    <row r="175" spans="1:20">
      <c r="A175" s="632"/>
      <c r="B175" s="632"/>
      <c r="C175" s="632"/>
      <c r="D175" s="632"/>
      <c r="E175" s="632"/>
      <c r="F175" s="632"/>
      <c r="G175" s="632"/>
      <c r="H175" s="632"/>
      <c r="I175" s="632"/>
      <c r="J175" s="632"/>
      <c r="K175" s="633"/>
      <c r="L175" s="634"/>
      <c r="M175" s="632"/>
      <c r="N175" s="632"/>
      <c r="O175" s="632"/>
      <c r="P175" s="632"/>
      <c r="Q175" s="632"/>
      <c r="R175" s="632"/>
      <c r="S175" s="632"/>
      <c r="T175" s="632"/>
    </row>
    <row r="176" spans="1:20">
      <c r="A176" s="632"/>
      <c r="B176" s="632"/>
      <c r="C176" s="632"/>
      <c r="D176" s="632"/>
      <c r="E176" s="632"/>
      <c r="F176" s="632"/>
      <c r="G176" s="632"/>
      <c r="H176" s="632"/>
      <c r="I176" s="632"/>
      <c r="J176" s="632"/>
      <c r="K176" s="633"/>
      <c r="L176" s="634"/>
      <c r="M176" s="632"/>
      <c r="N176" s="632"/>
      <c r="O176" s="632"/>
      <c r="P176" s="632"/>
      <c r="Q176" s="632"/>
      <c r="R176" s="632"/>
      <c r="S176" s="632"/>
      <c r="T176" s="632"/>
    </row>
    <row r="177" spans="1:20">
      <c r="A177" s="632"/>
      <c r="B177" s="632"/>
      <c r="C177" s="632"/>
      <c r="D177" s="632"/>
      <c r="E177" s="632"/>
      <c r="F177" s="632"/>
      <c r="G177" s="632"/>
      <c r="H177" s="632"/>
      <c r="I177" s="632"/>
      <c r="J177" s="632"/>
      <c r="K177" s="633"/>
      <c r="L177" s="634"/>
      <c r="M177" s="632"/>
      <c r="N177" s="632"/>
      <c r="O177" s="632"/>
      <c r="P177" s="632"/>
      <c r="Q177" s="632"/>
      <c r="R177" s="632"/>
      <c r="S177" s="632"/>
      <c r="T177" s="632"/>
    </row>
    <row r="178" spans="1:20">
      <c r="A178" s="632"/>
      <c r="B178" s="632"/>
      <c r="C178" s="632"/>
      <c r="D178" s="632"/>
      <c r="E178" s="632"/>
      <c r="F178" s="632"/>
      <c r="G178" s="632"/>
      <c r="H178" s="632"/>
      <c r="I178" s="632"/>
      <c r="J178" s="632"/>
      <c r="K178" s="633"/>
      <c r="L178" s="634"/>
      <c r="M178" s="632"/>
      <c r="N178" s="632"/>
      <c r="O178" s="632"/>
      <c r="P178" s="632"/>
      <c r="Q178" s="632"/>
      <c r="R178" s="632"/>
      <c r="S178" s="632"/>
      <c r="T178" s="632"/>
    </row>
    <row r="179" spans="1:20">
      <c r="A179" s="632"/>
      <c r="B179" s="632"/>
      <c r="C179" s="632"/>
      <c r="D179" s="632"/>
      <c r="E179" s="632"/>
      <c r="F179" s="632"/>
      <c r="G179" s="632"/>
      <c r="H179" s="632"/>
      <c r="I179" s="632"/>
      <c r="J179" s="632"/>
      <c r="K179" s="633"/>
      <c r="L179" s="634"/>
      <c r="M179" s="632"/>
      <c r="N179" s="632"/>
      <c r="O179" s="632"/>
      <c r="P179" s="632"/>
      <c r="Q179" s="632"/>
      <c r="R179" s="632"/>
      <c r="S179" s="632"/>
      <c r="T179" s="632"/>
    </row>
    <row r="180" spans="1:20">
      <c r="A180" s="632"/>
      <c r="B180" s="632"/>
      <c r="C180" s="632"/>
      <c r="D180" s="632"/>
      <c r="E180" s="632"/>
      <c r="F180" s="632"/>
      <c r="G180" s="632"/>
      <c r="H180" s="632"/>
      <c r="I180" s="632"/>
      <c r="J180" s="632"/>
      <c r="K180" s="633"/>
      <c r="L180" s="634"/>
      <c r="M180" s="632"/>
      <c r="N180" s="632"/>
      <c r="O180" s="632"/>
      <c r="P180" s="632"/>
      <c r="Q180" s="632"/>
      <c r="R180" s="632"/>
      <c r="S180" s="632"/>
      <c r="T180" s="632"/>
    </row>
    <row r="181" spans="1:20">
      <c r="A181" s="632"/>
      <c r="B181" s="632"/>
      <c r="C181" s="632"/>
      <c r="D181" s="632"/>
      <c r="E181" s="632"/>
      <c r="F181" s="632"/>
      <c r="G181" s="632"/>
      <c r="H181" s="632"/>
      <c r="I181" s="632"/>
      <c r="J181" s="632"/>
      <c r="K181" s="633"/>
      <c r="L181" s="634"/>
      <c r="M181" s="632"/>
      <c r="N181" s="632"/>
      <c r="O181" s="632"/>
      <c r="P181" s="632"/>
      <c r="Q181" s="632"/>
      <c r="R181" s="632"/>
      <c r="S181" s="632"/>
      <c r="T181" s="632"/>
    </row>
    <row r="182" spans="1:20">
      <c r="A182" s="632"/>
      <c r="B182" s="632"/>
      <c r="C182" s="632"/>
      <c r="D182" s="632"/>
      <c r="E182" s="632"/>
      <c r="F182" s="632"/>
      <c r="G182" s="632"/>
      <c r="H182" s="632"/>
      <c r="I182" s="632"/>
      <c r="J182" s="632"/>
      <c r="K182" s="633"/>
      <c r="L182" s="634"/>
      <c r="M182" s="632"/>
      <c r="N182" s="632"/>
      <c r="O182" s="632"/>
      <c r="P182" s="632"/>
      <c r="Q182" s="632"/>
      <c r="R182" s="632"/>
      <c r="S182" s="632"/>
      <c r="T182" s="632"/>
    </row>
    <row r="183" spans="1:20">
      <c r="A183" s="632"/>
      <c r="B183" s="632"/>
      <c r="C183" s="632"/>
      <c r="D183" s="632"/>
      <c r="E183" s="632"/>
      <c r="F183" s="632"/>
      <c r="G183" s="632"/>
      <c r="H183" s="632"/>
      <c r="I183" s="632"/>
      <c r="J183" s="632"/>
      <c r="K183" s="633"/>
      <c r="L183" s="634"/>
      <c r="M183" s="632"/>
      <c r="N183" s="632"/>
      <c r="O183" s="632"/>
      <c r="P183" s="632"/>
      <c r="Q183" s="632"/>
      <c r="R183" s="632"/>
      <c r="S183" s="632"/>
      <c r="T183" s="632"/>
    </row>
    <row r="184" spans="1:20">
      <c r="A184" s="632"/>
      <c r="B184" s="632"/>
      <c r="C184" s="632"/>
      <c r="D184" s="632"/>
      <c r="E184" s="632"/>
      <c r="F184" s="632"/>
      <c r="G184" s="632"/>
      <c r="H184" s="632"/>
      <c r="I184" s="632"/>
      <c r="J184" s="632"/>
      <c r="K184" s="633"/>
      <c r="L184" s="634"/>
      <c r="M184" s="632"/>
      <c r="N184" s="632"/>
      <c r="O184" s="632"/>
      <c r="P184" s="632"/>
      <c r="Q184" s="632"/>
      <c r="R184" s="632"/>
      <c r="S184" s="632"/>
      <c r="T184" s="632"/>
    </row>
    <row r="185" spans="1:20">
      <c r="A185" s="632"/>
      <c r="B185" s="632"/>
      <c r="C185" s="632"/>
      <c r="D185" s="632"/>
      <c r="E185" s="632"/>
      <c r="F185" s="632"/>
      <c r="G185" s="632"/>
      <c r="H185" s="632"/>
      <c r="I185" s="632"/>
      <c r="J185" s="632"/>
      <c r="K185" s="633"/>
      <c r="L185" s="634"/>
      <c r="M185" s="632"/>
      <c r="N185" s="632"/>
      <c r="O185" s="632"/>
      <c r="P185" s="632"/>
      <c r="Q185" s="632"/>
      <c r="R185" s="632"/>
      <c r="S185" s="632"/>
      <c r="T185" s="632"/>
    </row>
    <row r="186" spans="1:20">
      <c r="A186" s="632"/>
      <c r="B186" s="632"/>
      <c r="C186" s="632"/>
      <c r="D186" s="632"/>
      <c r="E186" s="632"/>
      <c r="F186" s="632"/>
      <c r="G186" s="632"/>
      <c r="H186" s="632"/>
      <c r="I186" s="632"/>
      <c r="J186" s="632"/>
      <c r="K186" s="633"/>
      <c r="L186" s="634"/>
      <c r="M186" s="632"/>
      <c r="N186" s="632"/>
      <c r="O186" s="632"/>
      <c r="P186" s="632"/>
      <c r="Q186" s="632"/>
      <c r="R186" s="632"/>
      <c r="S186" s="632"/>
      <c r="T186" s="632"/>
    </row>
    <row r="187" spans="1:20">
      <c r="A187" s="632"/>
      <c r="B187" s="632"/>
      <c r="C187" s="632"/>
      <c r="D187" s="632"/>
      <c r="E187" s="632"/>
      <c r="F187" s="632"/>
      <c r="G187" s="632"/>
      <c r="H187" s="632"/>
      <c r="I187" s="632"/>
      <c r="J187" s="632"/>
      <c r="K187" s="633"/>
      <c r="L187" s="634"/>
      <c r="M187" s="632"/>
      <c r="N187" s="632"/>
      <c r="O187" s="632"/>
      <c r="P187" s="632"/>
      <c r="Q187" s="632"/>
      <c r="R187" s="632"/>
      <c r="S187" s="632"/>
      <c r="T187" s="632"/>
    </row>
    <row r="188" spans="1:20">
      <c r="A188" s="632"/>
      <c r="B188" s="632"/>
      <c r="C188" s="632"/>
      <c r="D188" s="632"/>
      <c r="E188" s="632"/>
      <c r="F188" s="632"/>
      <c r="G188" s="632"/>
      <c r="H188" s="632"/>
      <c r="I188" s="632"/>
      <c r="J188" s="632"/>
      <c r="K188" s="633"/>
      <c r="L188" s="634"/>
      <c r="M188" s="632"/>
      <c r="N188" s="632"/>
      <c r="O188" s="632"/>
      <c r="P188" s="632"/>
      <c r="Q188" s="632"/>
      <c r="R188" s="632"/>
      <c r="S188" s="632"/>
      <c r="T188" s="632"/>
    </row>
    <row r="189" spans="1:20">
      <c r="A189" s="632"/>
      <c r="B189" s="632"/>
      <c r="C189" s="632"/>
      <c r="D189" s="632"/>
      <c r="E189" s="632"/>
      <c r="F189" s="632"/>
      <c r="G189" s="632"/>
      <c r="H189" s="632"/>
      <c r="I189" s="632"/>
      <c r="J189" s="632"/>
      <c r="K189" s="633"/>
      <c r="L189" s="634"/>
      <c r="M189" s="632"/>
      <c r="N189" s="632"/>
      <c r="O189" s="632"/>
      <c r="P189" s="632"/>
      <c r="Q189" s="632"/>
      <c r="R189" s="632"/>
      <c r="S189" s="632"/>
      <c r="T189" s="632"/>
    </row>
    <row r="190" spans="1:20">
      <c r="A190" s="632"/>
      <c r="B190" s="632"/>
      <c r="C190" s="632"/>
      <c r="D190" s="632"/>
      <c r="E190" s="632"/>
      <c r="F190" s="632"/>
      <c r="G190" s="632"/>
      <c r="H190" s="632"/>
      <c r="I190" s="632"/>
      <c r="J190" s="632"/>
      <c r="K190" s="633"/>
      <c r="L190" s="634"/>
      <c r="M190" s="632"/>
      <c r="N190" s="632"/>
      <c r="O190" s="632"/>
      <c r="P190" s="632"/>
      <c r="Q190" s="632"/>
      <c r="R190" s="632"/>
      <c r="S190" s="632"/>
      <c r="T190" s="632"/>
    </row>
    <row r="191" spans="1:20">
      <c r="A191" s="632"/>
      <c r="B191" s="632"/>
      <c r="C191" s="632"/>
      <c r="D191" s="632"/>
      <c r="E191" s="632"/>
      <c r="F191" s="632"/>
      <c r="G191" s="632"/>
      <c r="H191" s="632"/>
      <c r="I191" s="632"/>
      <c r="J191" s="632"/>
      <c r="K191" s="633"/>
      <c r="L191" s="634"/>
      <c r="M191" s="632"/>
      <c r="N191" s="632"/>
      <c r="O191" s="632"/>
      <c r="P191" s="632"/>
      <c r="Q191" s="632"/>
      <c r="R191" s="632"/>
      <c r="S191" s="632"/>
      <c r="T191" s="632"/>
    </row>
    <row r="192" spans="1:20">
      <c r="A192" s="632"/>
      <c r="B192" s="632"/>
      <c r="C192" s="632"/>
      <c r="D192" s="632"/>
      <c r="E192" s="632"/>
      <c r="F192" s="632"/>
      <c r="G192" s="632"/>
      <c r="H192" s="632"/>
      <c r="I192" s="632"/>
      <c r="J192" s="632"/>
      <c r="K192" s="633"/>
      <c r="L192" s="634"/>
      <c r="M192" s="632"/>
      <c r="N192" s="632"/>
      <c r="O192" s="632"/>
      <c r="P192" s="632"/>
      <c r="Q192" s="632"/>
      <c r="R192" s="632"/>
      <c r="S192" s="632"/>
      <c r="T192" s="632"/>
    </row>
    <row r="193" spans="1:20">
      <c r="A193" s="632"/>
      <c r="B193" s="632"/>
      <c r="C193" s="632"/>
      <c r="D193" s="632"/>
      <c r="E193" s="632"/>
      <c r="F193" s="632"/>
      <c r="G193" s="632"/>
      <c r="H193" s="632"/>
      <c r="I193" s="632"/>
      <c r="J193" s="632"/>
      <c r="K193" s="633"/>
      <c r="L193" s="634"/>
      <c r="M193" s="632"/>
      <c r="N193" s="632"/>
      <c r="O193" s="632"/>
      <c r="P193" s="632"/>
      <c r="Q193" s="632"/>
      <c r="R193" s="632"/>
      <c r="S193" s="632"/>
      <c r="T193" s="632"/>
    </row>
    <row r="194" spans="1:20">
      <c r="A194" s="632"/>
      <c r="B194" s="632"/>
      <c r="C194" s="632"/>
      <c r="D194" s="632"/>
      <c r="E194" s="632"/>
      <c r="F194" s="632"/>
      <c r="G194" s="632"/>
      <c r="H194" s="632"/>
      <c r="I194" s="632"/>
      <c r="J194" s="632"/>
      <c r="K194" s="633"/>
      <c r="L194" s="634"/>
      <c r="M194" s="632"/>
      <c r="N194" s="632"/>
      <c r="O194" s="632"/>
      <c r="P194" s="632"/>
      <c r="Q194" s="632"/>
      <c r="R194" s="632"/>
      <c r="S194" s="632"/>
      <c r="T194" s="632"/>
    </row>
    <row r="195" spans="1:20">
      <c r="A195" s="632"/>
      <c r="B195" s="632"/>
      <c r="C195" s="632"/>
      <c r="D195" s="632"/>
      <c r="E195" s="632"/>
      <c r="F195" s="632"/>
      <c r="G195" s="632"/>
      <c r="H195" s="632"/>
      <c r="I195" s="632"/>
      <c r="J195" s="632"/>
      <c r="K195" s="633"/>
      <c r="L195" s="634"/>
      <c r="M195" s="632"/>
      <c r="N195" s="632"/>
      <c r="O195" s="632"/>
      <c r="P195" s="632"/>
      <c r="Q195" s="632"/>
      <c r="R195" s="632"/>
      <c r="S195" s="632"/>
      <c r="T195" s="632"/>
    </row>
    <row r="196" spans="1:20">
      <c r="A196" s="632"/>
      <c r="B196" s="632"/>
      <c r="C196" s="632"/>
      <c r="D196" s="632"/>
      <c r="E196" s="632"/>
      <c r="F196" s="632"/>
      <c r="G196" s="632"/>
      <c r="H196" s="632"/>
      <c r="I196" s="632"/>
      <c r="J196" s="632"/>
      <c r="K196" s="633"/>
      <c r="L196" s="634"/>
      <c r="M196" s="632"/>
      <c r="N196" s="632"/>
      <c r="O196" s="632"/>
      <c r="P196" s="632"/>
      <c r="Q196" s="632"/>
      <c r="R196" s="632"/>
      <c r="S196" s="632"/>
      <c r="T196" s="632"/>
    </row>
    <row r="197" spans="1:20">
      <c r="A197" s="632"/>
      <c r="B197" s="632"/>
      <c r="C197" s="632"/>
      <c r="D197" s="632"/>
      <c r="E197" s="632"/>
      <c r="F197" s="632"/>
      <c r="G197" s="632"/>
      <c r="H197" s="632"/>
      <c r="I197" s="632"/>
      <c r="J197" s="632"/>
      <c r="K197" s="633"/>
      <c r="L197" s="634"/>
      <c r="M197" s="632"/>
      <c r="N197" s="632"/>
      <c r="O197" s="632"/>
      <c r="P197" s="632"/>
      <c r="Q197" s="632"/>
      <c r="R197" s="632"/>
      <c r="S197" s="632"/>
      <c r="T197" s="632"/>
    </row>
    <row r="198" spans="1:20">
      <c r="A198" s="632"/>
      <c r="B198" s="632"/>
      <c r="C198" s="632"/>
      <c r="D198" s="632"/>
      <c r="E198" s="632"/>
      <c r="F198" s="632"/>
      <c r="G198" s="632"/>
      <c r="H198" s="632"/>
      <c r="I198" s="632"/>
      <c r="J198" s="632"/>
      <c r="K198" s="633"/>
      <c r="L198" s="634"/>
      <c r="M198" s="632"/>
      <c r="N198" s="632"/>
      <c r="O198" s="632"/>
      <c r="P198" s="632"/>
      <c r="Q198" s="632"/>
      <c r="R198" s="632"/>
      <c r="S198" s="632"/>
      <c r="T198" s="632"/>
    </row>
    <row r="199" spans="1:20">
      <c r="A199" s="632"/>
      <c r="B199" s="632"/>
      <c r="C199" s="632"/>
      <c r="D199" s="632"/>
      <c r="E199" s="632"/>
      <c r="F199" s="632"/>
      <c r="G199" s="632"/>
      <c r="H199" s="632"/>
      <c r="I199" s="632"/>
      <c r="J199" s="632"/>
      <c r="K199" s="633"/>
      <c r="L199" s="634"/>
      <c r="M199" s="632"/>
      <c r="N199" s="632"/>
      <c r="O199" s="632"/>
      <c r="P199" s="632"/>
      <c r="Q199" s="632"/>
      <c r="R199" s="632"/>
      <c r="S199" s="632"/>
      <c r="T199" s="632"/>
    </row>
    <row r="200" spans="1:20">
      <c r="A200" s="632"/>
      <c r="B200" s="632"/>
      <c r="C200" s="632"/>
      <c r="D200" s="632"/>
      <c r="E200" s="632"/>
      <c r="F200" s="632"/>
      <c r="G200" s="632"/>
      <c r="H200" s="632"/>
      <c r="I200" s="632"/>
      <c r="J200" s="632"/>
      <c r="K200" s="633"/>
      <c r="L200" s="634"/>
      <c r="M200" s="632"/>
      <c r="N200" s="632"/>
      <c r="O200" s="632"/>
      <c r="P200" s="632"/>
      <c r="Q200" s="632"/>
      <c r="R200" s="632"/>
      <c r="S200" s="632"/>
      <c r="T200" s="632"/>
    </row>
    <row r="201" spans="1:20">
      <c r="A201" s="632"/>
      <c r="B201" s="632"/>
      <c r="C201" s="632"/>
      <c r="D201" s="632"/>
      <c r="E201" s="632"/>
      <c r="F201" s="632"/>
      <c r="G201" s="632"/>
      <c r="H201" s="632"/>
      <c r="I201" s="632"/>
      <c r="J201" s="632"/>
      <c r="K201" s="633"/>
      <c r="L201" s="634"/>
      <c r="M201" s="632"/>
      <c r="N201" s="632"/>
      <c r="O201" s="632"/>
      <c r="P201" s="632"/>
      <c r="Q201" s="632"/>
      <c r="R201" s="632"/>
      <c r="S201" s="632"/>
      <c r="T201" s="632"/>
    </row>
    <row r="202" spans="1:20">
      <c r="A202" s="632"/>
      <c r="B202" s="632"/>
      <c r="C202" s="632"/>
      <c r="D202" s="632"/>
      <c r="E202" s="632"/>
      <c r="F202" s="632"/>
      <c r="G202" s="632"/>
      <c r="H202" s="632"/>
      <c r="I202" s="632"/>
      <c r="J202" s="632"/>
      <c r="K202" s="633"/>
      <c r="L202" s="634"/>
      <c r="M202" s="632"/>
      <c r="N202" s="632"/>
      <c r="O202" s="632"/>
      <c r="P202" s="632"/>
      <c r="Q202" s="632"/>
      <c r="R202" s="632"/>
      <c r="S202" s="632"/>
      <c r="T202" s="632"/>
    </row>
    <row r="203" spans="1:20">
      <c r="A203" s="632"/>
      <c r="B203" s="632"/>
      <c r="C203" s="632"/>
      <c r="D203" s="632"/>
      <c r="E203" s="632"/>
      <c r="F203" s="632"/>
      <c r="G203" s="632"/>
      <c r="H203" s="632"/>
      <c r="I203" s="632"/>
      <c r="J203" s="632"/>
      <c r="K203" s="633"/>
      <c r="L203" s="634"/>
      <c r="M203" s="632"/>
      <c r="N203" s="632"/>
      <c r="O203" s="632"/>
      <c r="P203" s="632"/>
      <c r="Q203" s="632"/>
      <c r="R203" s="632"/>
      <c r="S203" s="632"/>
      <c r="T203" s="632"/>
    </row>
    <row r="204" spans="1:20">
      <c r="A204" s="632"/>
      <c r="B204" s="632"/>
      <c r="C204" s="632"/>
      <c r="D204" s="632"/>
      <c r="E204" s="632"/>
      <c r="F204" s="632"/>
      <c r="G204" s="632"/>
      <c r="H204" s="632"/>
      <c r="I204" s="632"/>
      <c r="J204" s="632"/>
      <c r="K204" s="633"/>
      <c r="L204" s="634"/>
      <c r="M204" s="632"/>
      <c r="N204" s="632"/>
      <c r="O204" s="632"/>
      <c r="P204" s="632"/>
      <c r="Q204" s="632"/>
      <c r="R204" s="632"/>
      <c r="S204" s="632"/>
      <c r="T204" s="632"/>
    </row>
    <row r="205" spans="1:20">
      <c r="A205" s="632"/>
      <c r="B205" s="632"/>
      <c r="C205" s="632"/>
      <c r="D205" s="632"/>
      <c r="E205" s="632"/>
      <c r="F205" s="632"/>
      <c r="G205" s="632"/>
      <c r="H205" s="632"/>
      <c r="I205" s="632"/>
      <c r="J205" s="632"/>
      <c r="K205" s="633"/>
      <c r="L205" s="634"/>
      <c r="M205" s="632"/>
      <c r="N205" s="632"/>
      <c r="O205" s="632"/>
      <c r="P205" s="632"/>
      <c r="Q205" s="632"/>
      <c r="R205" s="632"/>
      <c r="S205" s="632"/>
      <c r="T205" s="632"/>
    </row>
    <row r="206" spans="1:20">
      <c r="A206" s="632"/>
      <c r="B206" s="632"/>
      <c r="C206" s="632"/>
      <c r="D206" s="632"/>
      <c r="E206" s="632"/>
      <c r="F206" s="632"/>
      <c r="G206" s="632"/>
      <c r="H206" s="632"/>
      <c r="I206" s="632"/>
      <c r="J206" s="632"/>
      <c r="K206" s="633"/>
      <c r="L206" s="634"/>
      <c r="M206" s="632"/>
      <c r="N206" s="632"/>
      <c r="O206" s="632"/>
      <c r="P206" s="632"/>
      <c r="Q206" s="632"/>
      <c r="R206" s="632"/>
      <c r="S206" s="632"/>
      <c r="T206" s="632"/>
    </row>
    <row r="207" spans="1:20">
      <c r="A207" s="632"/>
      <c r="B207" s="632"/>
      <c r="C207" s="632"/>
      <c r="D207" s="632"/>
      <c r="E207" s="632"/>
      <c r="F207" s="632"/>
      <c r="G207" s="632"/>
      <c r="H207" s="632"/>
      <c r="I207" s="632"/>
      <c r="J207" s="632"/>
      <c r="K207" s="633"/>
      <c r="L207" s="634"/>
      <c r="M207" s="632"/>
      <c r="N207" s="632"/>
      <c r="O207" s="632"/>
      <c r="P207" s="632"/>
      <c r="Q207" s="632"/>
      <c r="R207" s="632"/>
      <c r="S207" s="632"/>
      <c r="T207" s="632"/>
    </row>
    <row r="208" spans="1:20">
      <c r="A208" s="632"/>
      <c r="B208" s="632"/>
      <c r="C208" s="632"/>
      <c r="D208" s="632"/>
      <c r="E208" s="632"/>
      <c r="F208" s="632"/>
      <c r="G208" s="632"/>
      <c r="H208" s="632"/>
      <c r="I208" s="632"/>
      <c r="J208" s="632"/>
      <c r="K208" s="633"/>
      <c r="L208" s="634"/>
      <c r="M208" s="632"/>
      <c r="N208" s="632"/>
      <c r="O208" s="632"/>
      <c r="P208" s="632"/>
      <c r="Q208" s="632"/>
      <c r="R208" s="632"/>
      <c r="S208" s="632"/>
      <c r="T208" s="632"/>
    </row>
    <row r="209" spans="1:20">
      <c r="A209" s="632"/>
      <c r="B209" s="632"/>
      <c r="C209" s="632"/>
      <c r="D209" s="632"/>
      <c r="E209" s="632"/>
      <c r="F209" s="632"/>
      <c r="G209" s="632"/>
      <c r="H209" s="632"/>
      <c r="I209" s="632"/>
      <c r="J209" s="632"/>
      <c r="K209" s="633"/>
      <c r="L209" s="634"/>
      <c r="M209" s="632"/>
      <c r="N209" s="632"/>
      <c r="O209" s="632"/>
      <c r="P209" s="632"/>
      <c r="Q209" s="632"/>
      <c r="R209" s="632"/>
      <c r="S209" s="632"/>
      <c r="T209" s="632"/>
    </row>
    <row r="210" spans="1:20">
      <c r="A210" s="632"/>
      <c r="B210" s="632"/>
      <c r="C210" s="632"/>
      <c r="D210" s="632"/>
      <c r="E210" s="632"/>
      <c r="F210" s="632"/>
      <c r="G210" s="632"/>
      <c r="H210" s="632"/>
      <c r="I210" s="632"/>
      <c r="J210" s="632"/>
      <c r="K210" s="633"/>
      <c r="L210" s="634"/>
      <c r="M210" s="632"/>
      <c r="N210" s="632"/>
      <c r="O210" s="632"/>
      <c r="P210" s="632"/>
      <c r="Q210" s="632"/>
      <c r="R210" s="632"/>
      <c r="S210" s="632"/>
      <c r="T210" s="632"/>
    </row>
    <row r="211" spans="1:20">
      <c r="A211" s="632"/>
      <c r="B211" s="632"/>
      <c r="C211" s="632"/>
      <c r="D211" s="632"/>
      <c r="E211" s="632"/>
      <c r="F211" s="632"/>
      <c r="G211" s="632"/>
      <c r="H211" s="632"/>
      <c r="I211" s="632"/>
      <c r="J211" s="632"/>
      <c r="K211" s="633"/>
      <c r="L211" s="634"/>
      <c r="M211" s="632"/>
      <c r="N211" s="632"/>
      <c r="O211" s="632"/>
      <c r="P211" s="632"/>
      <c r="Q211" s="632"/>
      <c r="R211" s="632"/>
      <c r="S211" s="632"/>
      <c r="T211" s="632"/>
    </row>
    <row r="212" spans="1:20">
      <c r="A212" s="632"/>
      <c r="B212" s="632"/>
      <c r="C212" s="632"/>
      <c r="D212" s="632"/>
      <c r="E212" s="632"/>
      <c r="F212" s="632"/>
      <c r="G212" s="632"/>
      <c r="H212" s="632"/>
      <c r="I212" s="632"/>
      <c r="J212" s="632"/>
      <c r="K212" s="633"/>
      <c r="L212" s="634"/>
      <c r="M212" s="632"/>
      <c r="N212" s="632"/>
      <c r="O212" s="632"/>
      <c r="P212" s="632"/>
      <c r="Q212" s="632"/>
      <c r="R212" s="632"/>
      <c r="S212" s="632"/>
      <c r="T212" s="632"/>
    </row>
    <row r="213" spans="1:20">
      <c r="A213" s="632"/>
      <c r="B213" s="632"/>
      <c r="C213" s="632"/>
      <c r="D213" s="632"/>
      <c r="E213" s="632"/>
      <c r="F213" s="632"/>
      <c r="G213" s="632"/>
      <c r="H213" s="632"/>
      <c r="I213" s="632"/>
      <c r="J213" s="632"/>
      <c r="K213" s="633"/>
      <c r="L213" s="634"/>
      <c r="M213" s="632"/>
      <c r="N213" s="632"/>
      <c r="O213" s="632"/>
      <c r="P213" s="632"/>
      <c r="Q213" s="632"/>
      <c r="R213" s="632"/>
      <c r="S213" s="632"/>
      <c r="T213" s="632"/>
    </row>
    <row r="214" spans="1:20">
      <c r="A214" s="632"/>
      <c r="B214" s="632"/>
      <c r="C214" s="632"/>
      <c r="D214" s="632"/>
      <c r="E214" s="632"/>
      <c r="F214" s="632"/>
      <c r="G214" s="632"/>
      <c r="H214" s="632"/>
      <c r="I214" s="632"/>
      <c r="J214" s="632"/>
      <c r="K214" s="633"/>
      <c r="L214" s="634"/>
      <c r="M214" s="632"/>
      <c r="N214" s="632"/>
      <c r="O214" s="632"/>
      <c r="P214" s="632"/>
      <c r="Q214" s="632"/>
      <c r="R214" s="632"/>
      <c r="S214" s="632"/>
      <c r="T214" s="632"/>
    </row>
    <row r="215" spans="1:20">
      <c r="A215" s="632"/>
      <c r="B215" s="632"/>
      <c r="C215" s="632"/>
      <c r="D215" s="632"/>
      <c r="E215" s="632"/>
      <c r="F215" s="632"/>
      <c r="G215" s="632"/>
      <c r="H215" s="632"/>
      <c r="I215" s="632"/>
      <c r="J215" s="632"/>
      <c r="K215" s="633"/>
      <c r="L215" s="634"/>
      <c r="M215" s="632"/>
      <c r="N215" s="632"/>
      <c r="O215" s="632"/>
      <c r="P215" s="632"/>
      <c r="Q215" s="632"/>
      <c r="R215" s="632"/>
      <c r="S215" s="632"/>
      <c r="T215" s="632"/>
    </row>
    <row r="216" spans="1:20">
      <c r="A216" s="632"/>
      <c r="B216" s="632"/>
      <c r="C216" s="632"/>
      <c r="D216" s="632"/>
      <c r="E216" s="632"/>
      <c r="F216" s="632"/>
      <c r="G216" s="632"/>
      <c r="H216" s="632"/>
      <c r="I216" s="632"/>
      <c r="J216" s="632"/>
      <c r="K216" s="633"/>
      <c r="L216" s="634"/>
      <c r="M216" s="632"/>
      <c r="N216" s="632"/>
      <c r="O216" s="632"/>
      <c r="P216" s="632"/>
      <c r="Q216" s="632"/>
      <c r="R216" s="632"/>
      <c r="S216" s="632"/>
      <c r="T216" s="632"/>
    </row>
    <row r="217" spans="1:20">
      <c r="A217" s="632"/>
      <c r="B217" s="632"/>
      <c r="C217" s="632"/>
      <c r="D217" s="632"/>
      <c r="E217" s="632"/>
      <c r="F217" s="632"/>
      <c r="G217" s="632"/>
      <c r="H217" s="632"/>
      <c r="I217" s="632"/>
      <c r="J217" s="632"/>
      <c r="K217" s="633"/>
      <c r="L217" s="634"/>
      <c r="M217" s="632"/>
      <c r="N217" s="632"/>
      <c r="O217" s="632"/>
      <c r="P217" s="632"/>
      <c r="Q217" s="632"/>
      <c r="R217" s="632"/>
      <c r="S217" s="632"/>
      <c r="T217" s="632"/>
    </row>
    <row r="218" spans="1:20">
      <c r="A218" s="632"/>
      <c r="B218" s="632"/>
      <c r="C218" s="632"/>
      <c r="D218" s="632"/>
      <c r="E218" s="632"/>
      <c r="F218" s="632"/>
      <c r="G218" s="632"/>
      <c r="H218" s="632"/>
      <c r="I218" s="632"/>
      <c r="J218" s="632"/>
      <c r="K218" s="633"/>
      <c r="L218" s="634"/>
      <c r="M218" s="632"/>
      <c r="N218" s="632"/>
      <c r="O218" s="632"/>
      <c r="P218" s="632"/>
      <c r="Q218" s="632"/>
      <c r="R218" s="632"/>
      <c r="S218" s="632"/>
      <c r="T218" s="632"/>
    </row>
    <row r="219" spans="1:20">
      <c r="A219" s="632"/>
      <c r="B219" s="632"/>
      <c r="C219" s="632"/>
      <c r="D219" s="632"/>
      <c r="E219" s="632"/>
      <c r="F219" s="632"/>
      <c r="G219" s="632"/>
      <c r="H219" s="632"/>
      <c r="I219" s="632"/>
      <c r="J219" s="632"/>
      <c r="K219" s="633"/>
      <c r="L219" s="634"/>
      <c r="M219" s="632"/>
      <c r="N219" s="632"/>
      <c r="O219" s="632"/>
      <c r="P219" s="632"/>
      <c r="Q219" s="632"/>
      <c r="R219" s="632"/>
      <c r="S219" s="632"/>
      <c r="T219" s="632"/>
    </row>
    <row r="220" spans="1:20">
      <c r="A220" s="632"/>
      <c r="B220" s="632"/>
      <c r="C220" s="632"/>
      <c r="D220" s="632"/>
      <c r="E220" s="632"/>
      <c r="F220" s="632"/>
      <c r="G220" s="632"/>
      <c r="H220" s="632"/>
      <c r="I220" s="632"/>
      <c r="J220" s="632"/>
      <c r="K220" s="633"/>
      <c r="L220" s="634"/>
      <c r="M220" s="632"/>
      <c r="N220" s="632"/>
      <c r="O220" s="632"/>
      <c r="P220" s="632"/>
      <c r="Q220" s="632"/>
      <c r="R220" s="632"/>
      <c r="S220" s="632"/>
      <c r="T220" s="632"/>
    </row>
    <row r="221" spans="1:20">
      <c r="A221" s="632"/>
      <c r="B221" s="632"/>
      <c r="C221" s="632"/>
      <c r="D221" s="632"/>
      <c r="E221" s="632"/>
      <c r="F221" s="632"/>
      <c r="G221" s="632"/>
      <c r="H221" s="632"/>
      <c r="I221" s="632"/>
      <c r="J221" s="632"/>
      <c r="K221" s="633"/>
      <c r="L221" s="634"/>
      <c r="M221" s="632"/>
      <c r="N221" s="632"/>
      <c r="O221" s="632"/>
      <c r="P221" s="632"/>
      <c r="Q221" s="632"/>
      <c r="R221" s="632"/>
      <c r="S221" s="632"/>
      <c r="T221" s="632"/>
    </row>
    <row r="222" spans="1:20">
      <c r="A222" s="632"/>
      <c r="B222" s="632"/>
      <c r="C222" s="632"/>
      <c r="D222" s="632"/>
      <c r="E222" s="632"/>
      <c r="F222" s="632"/>
      <c r="G222" s="632"/>
      <c r="H222" s="632"/>
      <c r="I222" s="632"/>
      <c r="J222" s="632"/>
      <c r="K222" s="633"/>
      <c r="L222" s="634"/>
      <c r="M222" s="632"/>
      <c r="N222" s="632"/>
      <c r="O222" s="632"/>
      <c r="P222" s="632"/>
      <c r="Q222" s="632"/>
      <c r="R222" s="632"/>
      <c r="S222" s="632"/>
      <c r="T222" s="632"/>
    </row>
    <row r="223" spans="1:20">
      <c r="A223" s="632"/>
      <c r="B223" s="632"/>
      <c r="C223" s="632"/>
      <c r="D223" s="632"/>
      <c r="E223" s="632"/>
      <c r="F223" s="632"/>
      <c r="G223" s="632"/>
      <c r="H223" s="632"/>
      <c r="I223" s="632"/>
      <c r="J223" s="632"/>
      <c r="K223" s="633"/>
      <c r="L223" s="634"/>
      <c r="M223" s="632"/>
      <c r="N223" s="632"/>
      <c r="O223" s="632"/>
      <c r="P223" s="632"/>
      <c r="Q223" s="632"/>
      <c r="R223" s="632"/>
      <c r="S223" s="632"/>
      <c r="T223" s="632"/>
    </row>
    <row r="224" spans="1:20">
      <c r="A224" s="632"/>
      <c r="B224" s="632"/>
      <c r="C224" s="632"/>
      <c r="D224" s="632"/>
      <c r="E224" s="632"/>
      <c r="F224" s="632"/>
      <c r="G224" s="632"/>
      <c r="H224" s="632"/>
      <c r="I224" s="632"/>
      <c r="J224" s="632"/>
      <c r="K224" s="633"/>
      <c r="L224" s="634"/>
      <c r="M224" s="632"/>
      <c r="N224" s="632"/>
      <c r="O224" s="632"/>
      <c r="P224" s="632"/>
      <c r="Q224" s="632"/>
      <c r="R224" s="632"/>
      <c r="S224" s="632"/>
      <c r="T224" s="632"/>
    </row>
    <row r="225" spans="1:20">
      <c r="A225" s="632"/>
      <c r="B225" s="632"/>
      <c r="C225" s="632"/>
      <c r="D225" s="632"/>
      <c r="E225" s="632"/>
      <c r="F225" s="632"/>
      <c r="G225" s="632"/>
      <c r="H225" s="632"/>
      <c r="I225" s="632"/>
      <c r="J225" s="632"/>
      <c r="K225" s="633"/>
      <c r="L225" s="634"/>
      <c r="M225" s="632"/>
      <c r="N225" s="632"/>
      <c r="O225" s="632"/>
      <c r="P225" s="632"/>
      <c r="Q225" s="632"/>
      <c r="R225" s="632"/>
      <c r="S225" s="632"/>
      <c r="T225" s="632"/>
    </row>
    <row r="226" spans="1:20">
      <c r="A226" s="632"/>
      <c r="B226" s="632"/>
      <c r="C226" s="632"/>
      <c r="D226" s="632"/>
      <c r="E226" s="632"/>
      <c r="F226" s="632"/>
      <c r="G226" s="632"/>
      <c r="H226" s="632"/>
      <c r="I226" s="632"/>
      <c r="J226" s="632"/>
      <c r="K226" s="633"/>
      <c r="L226" s="634"/>
      <c r="M226" s="632"/>
      <c r="N226" s="632"/>
      <c r="O226" s="632"/>
      <c r="P226" s="632"/>
      <c r="Q226" s="632"/>
      <c r="R226" s="632"/>
      <c r="S226" s="632"/>
      <c r="T226" s="632"/>
    </row>
    <row r="227" spans="1:20">
      <c r="A227" s="632"/>
      <c r="B227" s="632"/>
      <c r="C227" s="632"/>
      <c r="D227" s="632"/>
      <c r="E227" s="632"/>
      <c r="F227" s="632"/>
      <c r="G227" s="632"/>
      <c r="H227" s="632"/>
      <c r="I227" s="632"/>
      <c r="J227" s="632"/>
      <c r="K227" s="633"/>
      <c r="L227" s="634"/>
      <c r="M227" s="632"/>
      <c r="N227" s="632"/>
      <c r="O227" s="632"/>
      <c r="P227" s="632"/>
      <c r="Q227" s="632"/>
      <c r="R227" s="632"/>
      <c r="S227" s="632"/>
      <c r="T227" s="632"/>
    </row>
    <row r="228" spans="1:20">
      <c r="A228" s="632"/>
      <c r="B228" s="632"/>
      <c r="C228" s="632"/>
      <c r="D228" s="632"/>
      <c r="E228" s="632"/>
      <c r="F228" s="632"/>
      <c r="G228" s="632"/>
      <c r="H228" s="632"/>
      <c r="I228" s="632"/>
      <c r="J228" s="632"/>
      <c r="K228" s="633"/>
      <c r="L228" s="634"/>
      <c r="M228" s="632"/>
      <c r="N228" s="632"/>
      <c r="O228" s="632"/>
      <c r="P228" s="632"/>
      <c r="Q228" s="632"/>
      <c r="R228" s="632"/>
      <c r="S228" s="632"/>
      <c r="T228" s="632"/>
    </row>
    <row r="229" spans="1:20">
      <c r="A229" s="632"/>
      <c r="B229" s="632"/>
      <c r="C229" s="632"/>
      <c r="D229" s="632"/>
      <c r="E229" s="632"/>
      <c r="F229" s="632"/>
      <c r="G229" s="632"/>
      <c r="H229" s="632"/>
      <c r="I229" s="632"/>
      <c r="J229" s="632"/>
      <c r="K229" s="633"/>
      <c r="L229" s="634"/>
      <c r="M229" s="632"/>
      <c r="N229" s="632"/>
      <c r="O229" s="632"/>
      <c r="P229" s="632"/>
      <c r="Q229" s="632"/>
      <c r="R229" s="632"/>
      <c r="S229" s="632"/>
      <c r="T229" s="632"/>
    </row>
    <row r="230" spans="1:20">
      <c r="A230" s="632"/>
      <c r="B230" s="632"/>
      <c r="C230" s="632"/>
      <c r="D230" s="632"/>
      <c r="E230" s="632"/>
      <c r="F230" s="632"/>
      <c r="G230" s="632"/>
      <c r="H230" s="632"/>
      <c r="I230" s="632"/>
      <c r="J230" s="632"/>
      <c r="K230" s="633"/>
      <c r="L230" s="634"/>
      <c r="M230" s="632"/>
      <c r="N230" s="632"/>
      <c r="O230" s="632"/>
      <c r="P230" s="632"/>
      <c r="Q230" s="632"/>
      <c r="R230" s="632"/>
      <c r="S230" s="632"/>
      <c r="T230" s="632"/>
    </row>
    <row r="231" spans="1:20">
      <c r="A231" s="632"/>
      <c r="B231" s="632"/>
      <c r="C231" s="632"/>
      <c r="D231" s="632"/>
      <c r="E231" s="632"/>
      <c r="F231" s="632"/>
      <c r="G231" s="632"/>
      <c r="H231" s="632"/>
      <c r="I231" s="632"/>
      <c r="J231" s="632"/>
      <c r="K231" s="633"/>
      <c r="L231" s="634"/>
      <c r="M231" s="632"/>
      <c r="N231" s="632"/>
      <c r="O231" s="632"/>
      <c r="P231" s="632"/>
      <c r="Q231" s="632"/>
      <c r="R231" s="632"/>
      <c r="S231" s="632"/>
      <c r="T231" s="632"/>
    </row>
    <row r="232" spans="1:20">
      <c r="A232" s="632"/>
      <c r="B232" s="632"/>
      <c r="C232" s="632"/>
      <c r="D232" s="632"/>
      <c r="E232" s="632"/>
      <c r="F232" s="632"/>
      <c r="G232" s="632"/>
      <c r="H232" s="632"/>
      <c r="I232" s="632"/>
      <c r="J232" s="632"/>
      <c r="K232" s="633"/>
      <c r="L232" s="634"/>
      <c r="M232" s="632"/>
      <c r="N232" s="632"/>
      <c r="O232" s="632"/>
      <c r="P232" s="632"/>
      <c r="Q232" s="632"/>
      <c r="R232" s="632"/>
      <c r="S232" s="632"/>
      <c r="T232" s="632"/>
    </row>
    <row r="233" spans="1:20">
      <c r="A233" s="632"/>
      <c r="B233" s="632"/>
      <c r="C233" s="632"/>
      <c r="D233" s="632"/>
      <c r="E233" s="632"/>
      <c r="F233" s="632"/>
      <c r="G233" s="632"/>
      <c r="H233" s="632"/>
      <c r="I233" s="632"/>
      <c r="J233" s="632"/>
      <c r="K233" s="633"/>
      <c r="L233" s="634"/>
      <c r="M233" s="632"/>
      <c r="N233" s="632"/>
      <c r="O233" s="632"/>
      <c r="P233" s="632"/>
      <c r="Q233" s="632"/>
      <c r="R233" s="632"/>
      <c r="S233" s="632"/>
      <c r="T233" s="632"/>
    </row>
    <row r="234" spans="1:20">
      <c r="A234" s="632"/>
      <c r="B234" s="632"/>
      <c r="C234" s="632"/>
      <c r="D234" s="632"/>
      <c r="E234" s="632"/>
      <c r="F234" s="632"/>
      <c r="G234" s="632"/>
      <c r="H234" s="632"/>
      <c r="I234" s="632"/>
      <c r="J234" s="632"/>
      <c r="K234" s="633"/>
      <c r="L234" s="634"/>
      <c r="M234" s="632"/>
      <c r="N234" s="632"/>
      <c r="O234" s="632"/>
      <c r="P234" s="632"/>
      <c r="Q234" s="632"/>
      <c r="R234" s="632"/>
      <c r="S234" s="632"/>
      <c r="T234" s="632"/>
    </row>
    <row r="235" spans="1:20">
      <c r="A235" s="632"/>
      <c r="B235" s="632"/>
      <c r="C235" s="632"/>
      <c r="D235" s="632"/>
      <c r="E235" s="632"/>
      <c r="F235" s="632"/>
      <c r="G235" s="632"/>
      <c r="H235" s="632"/>
      <c r="I235" s="632"/>
      <c r="J235" s="632"/>
      <c r="K235" s="633"/>
      <c r="L235" s="634"/>
      <c r="M235" s="632"/>
      <c r="N235" s="632"/>
      <c r="O235" s="632"/>
      <c r="P235" s="632"/>
      <c r="Q235" s="632"/>
      <c r="R235" s="632"/>
      <c r="S235" s="632"/>
      <c r="T235" s="632"/>
    </row>
    <row r="236" spans="1:20">
      <c r="A236" s="632"/>
      <c r="B236" s="632"/>
      <c r="C236" s="632"/>
      <c r="D236" s="632"/>
      <c r="E236" s="632"/>
      <c r="F236" s="632"/>
      <c r="G236" s="632"/>
      <c r="H236" s="632"/>
      <c r="I236" s="632"/>
      <c r="J236" s="632"/>
      <c r="K236" s="633"/>
      <c r="L236" s="634"/>
      <c r="M236" s="632"/>
      <c r="N236" s="632"/>
      <c r="O236" s="632"/>
      <c r="P236" s="632"/>
      <c r="Q236" s="632"/>
      <c r="R236" s="632"/>
      <c r="S236" s="632"/>
      <c r="T236" s="632"/>
    </row>
    <row r="237" spans="1:20">
      <c r="A237" s="632"/>
      <c r="B237" s="632"/>
      <c r="C237" s="632"/>
      <c r="D237" s="632"/>
      <c r="E237" s="632"/>
      <c r="F237" s="632"/>
      <c r="G237" s="632"/>
      <c r="H237" s="632"/>
      <c r="I237" s="632"/>
      <c r="J237" s="632"/>
      <c r="K237" s="633"/>
      <c r="L237" s="634"/>
      <c r="M237" s="632"/>
      <c r="N237" s="632"/>
      <c r="O237" s="632"/>
      <c r="P237" s="632"/>
      <c r="Q237" s="632"/>
      <c r="R237" s="632"/>
      <c r="S237" s="632"/>
      <c r="T237" s="632"/>
    </row>
    <row r="238" spans="1:20">
      <c r="A238" s="632"/>
      <c r="B238" s="632"/>
      <c r="C238" s="632"/>
      <c r="D238" s="632"/>
      <c r="E238" s="632"/>
      <c r="F238" s="632"/>
      <c r="G238" s="632"/>
      <c r="H238" s="632"/>
      <c r="I238" s="632"/>
      <c r="J238" s="632"/>
      <c r="K238" s="633"/>
      <c r="L238" s="634"/>
      <c r="M238" s="632"/>
      <c r="N238" s="632"/>
      <c r="O238" s="632"/>
      <c r="P238" s="632"/>
      <c r="Q238" s="632"/>
      <c r="R238" s="632"/>
      <c r="S238" s="632"/>
      <c r="T238" s="632"/>
    </row>
    <row r="239" spans="1:20">
      <c r="A239" s="632"/>
      <c r="B239" s="632"/>
      <c r="C239" s="632"/>
      <c r="D239" s="632"/>
      <c r="E239" s="632"/>
      <c r="F239" s="632"/>
      <c r="G239" s="632"/>
      <c r="H239" s="632"/>
      <c r="I239" s="632"/>
      <c r="J239" s="632"/>
      <c r="K239" s="633"/>
      <c r="L239" s="634"/>
      <c r="M239" s="632"/>
      <c r="N239" s="632"/>
      <c r="O239" s="632"/>
      <c r="P239" s="632"/>
      <c r="Q239" s="632"/>
      <c r="R239" s="632"/>
      <c r="S239" s="632"/>
      <c r="T239" s="632"/>
    </row>
    <row r="240" spans="1:20">
      <c r="A240" s="632"/>
      <c r="B240" s="632"/>
      <c r="C240" s="632"/>
      <c r="D240" s="632"/>
      <c r="E240" s="632"/>
      <c r="F240" s="632"/>
      <c r="G240" s="632"/>
      <c r="H240" s="632"/>
      <c r="I240" s="632"/>
      <c r="J240" s="632"/>
      <c r="K240" s="633"/>
      <c r="L240" s="634"/>
      <c r="M240" s="632"/>
      <c r="N240" s="632"/>
      <c r="O240" s="632"/>
      <c r="P240" s="632"/>
      <c r="Q240" s="632"/>
      <c r="R240" s="632"/>
      <c r="S240" s="632"/>
      <c r="T240" s="632"/>
    </row>
    <row r="241" spans="1:20">
      <c r="A241" s="632"/>
      <c r="B241" s="632"/>
      <c r="C241" s="632"/>
      <c r="D241" s="632"/>
      <c r="E241" s="632"/>
      <c r="F241" s="632"/>
      <c r="G241" s="632"/>
      <c r="H241" s="632"/>
      <c r="I241" s="632"/>
      <c r="J241" s="632"/>
      <c r="K241" s="633"/>
      <c r="L241" s="634"/>
      <c r="M241" s="632"/>
      <c r="N241" s="632"/>
      <c r="O241" s="632"/>
      <c r="P241" s="632"/>
      <c r="Q241" s="632"/>
      <c r="R241" s="632"/>
      <c r="S241" s="632"/>
      <c r="T241" s="63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25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1779</v>
      </c>
      <c r="B1" s="231"/>
      <c r="C1" s="232" t="s">
        <v>1780</v>
      </c>
      <c r="D1" s="469"/>
      <c r="E1" s="469"/>
      <c r="F1" s="468" t="s">
        <v>1679</v>
      </c>
      <c r="G1" s="469"/>
      <c r="H1" s="469"/>
      <c r="I1" s="469"/>
      <c r="J1" s="469"/>
      <c r="K1" s="3228"/>
      <c r="L1" s="471"/>
      <c r="M1" s="472"/>
      <c r="N1" s="472"/>
      <c r="O1" s="472"/>
      <c r="P1" s="232"/>
      <c r="Q1" s="232"/>
      <c r="R1" s="232"/>
      <c r="S1" s="232"/>
      <c r="T1" s="232"/>
      <c r="U1" s="232"/>
      <c r="V1" s="232"/>
      <c r="W1" s="232"/>
      <c r="X1" s="232"/>
      <c r="Y1" s="232"/>
      <c r="Z1" s="232"/>
      <c r="AA1" s="232"/>
      <c r="AB1" s="232"/>
      <c r="AC1" s="481"/>
    </row>
    <row r="2" spans="1:29" s="233" customFormat="1" ht="28.5" customHeight="1">
      <c r="A2" s="96" t="s">
        <v>1433</v>
      </c>
      <c r="B2" s="2591" t="e">
        <f>F67</f>
        <v>#DIV/0!</v>
      </c>
      <c r="C2" s="604"/>
      <c r="D2" s="604"/>
      <c r="E2" s="605"/>
      <c r="F2" s="606"/>
      <c r="G2" s="605"/>
      <c r="H2" s="605"/>
      <c r="I2" s="605"/>
      <c r="J2" s="605"/>
      <c r="K2" s="3229"/>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392" t="e">
        <f>ROUND(IF(D3="",B2*10000/'数据-汇总表'!E3,B2*10000/D3),0)</f>
        <v>#DIV/0!</v>
      </c>
      <c r="C3" s="98" t="s">
        <v>1781</v>
      </c>
      <c r="D3" s="2990"/>
      <c r="E3" s="605"/>
      <c r="F3" s="606"/>
      <c r="G3" s="605"/>
      <c r="H3" s="605"/>
      <c r="I3" s="605"/>
      <c r="J3" s="605"/>
      <c r="K3" s="3229"/>
      <c r="L3" s="2024"/>
      <c r="M3" s="2025"/>
      <c r="N3" s="2025"/>
      <c r="O3" s="2025"/>
      <c r="P3" s="232"/>
      <c r="Q3" s="232"/>
      <c r="R3" s="232"/>
      <c r="S3" s="232"/>
      <c r="T3" s="232"/>
      <c r="U3" s="232"/>
      <c r="V3" s="232"/>
      <c r="W3" s="232"/>
      <c r="X3" s="232"/>
      <c r="Y3" s="232"/>
      <c r="Z3" s="232"/>
      <c r="AA3" s="232"/>
      <c r="AB3" s="488"/>
      <c r="AC3" s="481"/>
    </row>
    <row r="4" spans="1:29" s="233" customFormat="1" ht="28.5" customHeight="1">
      <c r="A4" s="3492" t="s">
        <v>3634</v>
      </c>
      <c r="B4" s="3494" t="e">
        <f>IF(B48="单位面积地价",C50,ROUND(B2*10000/'数据-汇总表'!D3,0))</f>
        <v>#DIV/0!</v>
      </c>
      <c r="C4" s="1362" t="s">
        <v>3636</v>
      </c>
      <c r="D4" s="605"/>
      <c r="E4" s="605"/>
      <c r="F4" s="606"/>
      <c r="G4" s="605"/>
      <c r="H4" s="605"/>
      <c r="I4" s="605"/>
      <c r="J4" s="605"/>
      <c r="K4" s="3229"/>
      <c r="L4" s="2024"/>
      <c r="M4" s="2025"/>
      <c r="N4" s="2025"/>
      <c r="O4" s="2025"/>
      <c r="P4" s="232"/>
      <c r="Q4" s="232"/>
      <c r="R4" s="232"/>
      <c r="S4" s="232"/>
      <c r="T4" s="232"/>
      <c r="U4" s="232"/>
      <c r="V4" s="232"/>
      <c r="W4" s="232"/>
      <c r="X4" s="232"/>
      <c r="Y4" s="232"/>
      <c r="Z4" s="232"/>
      <c r="AA4" s="232"/>
      <c r="AB4" s="232"/>
      <c r="AC4" s="481"/>
    </row>
    <row r="5" spans="1:29" s="233" customFormat="1" ht="28.5" customHeight="1" thickBot="1">
      <c r="A5" s="94"/>
      <c r="B5" s="3493" t="e">
        <f>ROUND(B2/('数据-汇总表'!D3/666.67),0)</f>
        <v>#DIV/0!</v>
      </c>
      <c r="C5" s="3495" t="s">
        <v>3635</v>
      </c>
      <c r="D5" s="605"/>
      <c r="E5" s="605"/>
      <c r="F5" s="606"/>
      <c r="G5" s="605"/>
      <c r="H5" s="605"/>
      <c r="I5" s="605"/>
      <c r="J5" s="605"/>
      <c r="K5" s="3229"/>
      <c r="L5" s="2024"/>
      <c r="M5" s="2025"/>
      <c r="N5" s="2025"/>
      <c r="O5" s="2025"/>
      <c r="P5" s="232"/>
      <c r="Q5" s="232"/>
      <c r="R5" s="232"/>
      <c r="S5" s="232"/>
      <c r="T5" s="232"/>
      <c r="U5" s="232"/>
      <c r="V5" s="232"/>
      <c r="W5" s="232"/>
      <c r="X5" s="232"/>
      <c r="Y5" s="232"/>
      <c r="Z5" s="232"/>
      <c r="AA5" s="232"/>
      <c r="AB5" s="232"/>
      <c r="AC5" s="481"/>
    </row>
    <row r="6" spans="1:29" ht="15">
      <c r="A6" s="235" t="s">
        <v>1681</v>
      </c>
      <c r="B6" s="236"/>
      <c r="C6" s="4677" t="s">
        <v>1682</v>
      </c>
      <c r="D6" s="4678"/>
      <c r="E6" s="4679" t="s">
        <v>1683</v>
      </c>
      <c r="F6" s="4680"/>
      <c r="G6" s="4677" t="s">
        <v>1684</v>
      </c>
      <c r="H6" s="4678"/>
      <c r="I6" s="4677" t="s">
        <v>1685</v>
      </c>
      <c r="J6" s="4678"/>
      <c r="K6" s="2940" t="s">
        <v>1686</v>
      </c>
      <c r="L6" s="2007"/>
      <c r="M6" s="2008"/>
      <c r="N6" s="2008"/>
      <c r="O6" s="2008"/>
      <c r="P6" s="4681" t="s">
        <v>1687</v>
      </c>
      <c r="Q6" s="4682"/>
      <c r="R6" s="4667" t="s">
        <v>1683</v>
      </c>
      <c r="S6" s="4668"/>
      <c r="T6" s="4667" t="s">
        <v>1684</v>
      </c>
      <c r="U6" s="4668"/>
      <c r="V6" s="4586" t="s">
        <v>1685</v>
      </c>
      <c r="W6" s="4586"/>
      <c r="X6" s="935"/>
      <c r="Y6" s="4686" t="s">
        <v>1687</v>
      </c>
      <c r="Z6" s="4687"/>
      <c r="AA6" s="4666" t="s">
        <v>1683</v>
      </c>
      <c r="AB6" s="4551" t="s">
        <v>1684</v>
      </c>
      <c r="AC6" s="4666" t="s">
        <v>1685</v>
      </c>
    </row>
    <row r="7" spans="1:29" ht="15">
      <c r="A7" s="238"/>
      <c r="B7" s="239"/>
      <c r="C7" s="4671" t="s">
        <v>1585</v>
      </c>
      <c r="D7" s="4672"/>
      <c r="E7" s="4669" t="s">
        <v>1586</v>
      </c>
      <c r="F7" s="4670"/>
      <c r="G7" s="4671" t="s">
        <v>1587</v>
      </c>
      <c r="H7" s="4672"/>
      <c r="I7" s="4671" t="s">
        <v>1588</v>
      </c>
      <c r="J7" s="4672"/>
      <c r="K7" s="2940"/>
      <c r="L7" s="2007"/>
      <c r="M7" s="2008"/>
      <c r="N7" s="2008"/>
      <c r="O7" s="2008"/>
      <c r="P7" s="4683"/>
      <c r="Q7" s="4580"/>
      <c r="R7" s="4557"/>
      <c r="S7" s="4558"/>
      <c r="T7" s="4557"/>
      <c r="U7" s="4558"/>
      <c r="V7" s="4586"/>
      <c r="W7" s="4586"/>
      <c r="X7" s="935"/>
      <c r="Y7" s="4591"/>
      <c r="Z7" s="4592"/>
      <c r="AA7" s="4551"/>
      <c r="AB7" s="4551"/>
      <c r="AC7" s="4551"/>
    </row>
    <row r="8" spans="1:29" ht="15.75" thickBot="1">
      <c r="A8" s="240"/>
      <c r="B8" s="241"/>
      <c r="C8" s="4673" t="s">
        <v>1589</v>
      </c>
      <c r="D8" s="4674"/>
      <c r="E8" s="4675" t="s">
        <v>1589</v>
      </c>
      <c r="F8" s="4676"/>
      <c r="G8" s="4673" t="s">
        <v>1589</v>
      </c>
      <c r="H8" s="4674"/>
      <c r="I8" s="4673" t="s">
        <v>1589</v>
      </c>
      <c r="J8" s="4674"/>
      <c r="K8" s="2940" t="s">
        <v>1590</v>
      </c>
      <c r="L8" s="2007"/>
      <c r="M8" s="2008"/>
      <c r="N8" s="2008"/>
      <c r="O8" s="2008"/>
      <c r="P8" s="4684"/>
      <c r="Q8" s="4582"/>
      <c r="R8" s="4557"/>
      <c r="S8" s="4558"/>
      <c r="T8" s="4583"/>
      <c r="U8" s="4584"/>
      <c r="V8" s="4586"/>
      <c r="W8" s="4586"/>
      <c r="X8" s="935"/>
      <c r="Y8" s="4593"/>
      <c r="Z8" s="4594"/>
      <c r="AA8" s="4552"/>
      <c r="AB8" s="4552"/>
      <c r="AC8" s="4552"/>
    </row>
    <row r="9" spans="1:29" s="46" customFormat="1" ht="15.75" thickBot="1">
      <c r="A9" s="3195" t="s">
        <v>1591</v>
      </c>
      <c r="B9" s="3196"/>
      <c r="C9" s="2888">
        <f>'数据-取费表'!B2</f>
        <v>46049</v>
      </c>
      <c r="D9" s="2963">
        <v>100</v>
      </c>
      <c r="E9" s="2917"/>
      <c r="F9" s="3831">
        <f>SUMIF(71:71,YEAR(E9)&amp;"-"&amp;INT((MONTH(E9)+2)/3),72:72)</f>
        <v>0</v>
      </c>
      <c r="G9" s="3226"/>
      <c r="H9" s="3843">
        <f>SUMIF(71:71,YEAR(G9)&amp;"-"&amp;INT((MONTH(G9)+2)/3),72:72)</f>
        <v>0</v>
      </c>
      <c r="I9" s="3226"/>
      <c r="J9" s="3843">
        <f>SUMIF(71:71,YEAR(I9)&amp;"-"&amp;INT((MONTH(I9)+2)/3),72:72)</f>
        <v>0</v>
      </c>
      <c r="K9" s="3230"/>
      <c r="L9" s="2009"/>
      <c r="M9" s="1962"/>
      <c r="N9" s="1962"/>
      <c r="O9" s="1962"/>
      <c r="P9" s="4685" t="s">
        <v>1592</v>
      </c>
      <c r="Q9" s="4595"/>
      <c r="R9" s="3873" t="s">
        <v>13</v>
      </c>
      <c r="S9" s="3654">
        <f t="shared" ref="S9:S17" si="0">F9</f>
        <v>0</v>
      </c>
      <c r="T9" s="3873" t="s">
        <v>13</v>
      </c>
      <c r="U9" s="3654">
        <f t="shared" ref="U9:U17" si="1">H9</f>
        <v>0</v>
      </c>
      <c r="V9" s="3873" t="s">
        <v>13</v>
      </c>
      <c r="W9" s="3654">
        <f t="shared" ref="W9:W17" si="2">J9</f>
        <v>0</v>
      </c>
      <c r="X9" s="482"/>
      <c r="Y9" s="4553" t="s">
        <v>1592</v>
      </c>
      <c r="Z9" s="4554"/>
      <c r="AA9" s="28" t="e">
        <f>D9/F9</f>
        <v>#DIV/0!</v>
      </c>
      <c r="AB9" s="28" t="e">
        <f>D9/H9</f>
        <v>#DIV/0!</v>
      </c>
      <c r="AC9" s="28" t="e">
        <f>D9/J9</f>
        <v>#DIV/0!</v>
      </c>
    </row>
    <row r="10" spans="1:29" s="46" customFormat="1" ht="15.75" thickBot="1">
      <c r="A10" s="3195" t="s">
        <v>1593</v>
      </c>
      <c r="B10" s="3196"/>
      <c r="C10" s="2889"/>
      <c r="D10" s="2963">
        <v>100</v>
      </c>
      <c r="E10" s="2889"/>
      <c r="F10" s="3831">
        <f>SUMIF(74:74,E10,75:75)-SUMIF(74:74,C10,75:75)+100</f>
        <v>100</v>
      </c>
      <c r="G10" s="2889"/>
      <c r="H10" s="3843">
        <f>SUMIF(74:74,G10,75:75)-SUMIF(74:74,C10,75:75)+100</f>
        <v>100</v>
      </c>
      <c r="I10" s="2889"/>
      <c r="J10" s="3843">
        <f>SUMIF(74:74,I10,75:75)-SUMIF(74:74,C10,75:75)+100</f>
        <v>100</v>
      </c>
      <c r="K10" s="3230"/>
      <c r="L10" s="2009"/>
      <c r="M10" s="1962"/>
      <c r="N10" s="1962"/>
      <c r="O10" s="1962"/>
      <c r="P10" s="4685" t="s">
        <v>1595</v>
      </c>
      <c r="Q10" s="4588"/>
      <c r="R10" s="3873" t="s">
        <v>13</v>
      </c>
      <c r="S10" s="3654">
        <f t="shared" si="0"/>
        <v>100</v>
      </c>
      <c r="T10" s="3873" t="s">
        <v>13</v>
      </c>
      <c r="U10" s="3654">
        <f t="shared" si="1"/>
        <v>100</v>
      </c>
      <c r="V10" s="3873" t="s">
        <v>13</v>
      </c>
      <c r="W10" s="3654">
        <f t="shared" si="2"/>
        <v>100</v>
      </c>
      <c r="X10" s="482"/>
      <c r="Y10" s="4553" t="s">
        <v>1595</v>
      </c>
      <c r="Z10" s="4554"/>
      <c r="AA10" s="28">
        <f t="shared" ref="AA10:AA47" si="3">D10/F10</f>
        <v>1</v>
      </c>
      <c r="AB10" s="28">
        <f t="shared" ref="AB10:AB47" si="4">D10/H10</f>
        <v>1</v>
      </c>
      <c r="AC10" s="28">
        <f t="shared" ref="AC10:AC47" si="5">D10/J10</f>
        <v>1</v>
      </c>
    </row>
    <row r="11" spans="1:29" s="46" customFormat="1">
      <c r="A11" s="3134" t="s">
        <v>1596</v>
      </c>
      <c r="B11" s="2869" t="s">
        <v>1597</v>
      </c>
      <c r="C11" s="3197"/>
      <c r="D11" s="2964">
        <v>100</v>
      </c>
      <c r="E11" s="3197"/>
      <c r="F11" s="3844">
        <f>SUMIF(76:76,E11,77:77)-SUMIF(76:76,C11,77:77)+100</f>
        <v>100</v>
      </c>
      <c r="G11" s="3197"/>
      <c r="H11" s="3844">
        <f>SUMIF(76:76,G11,77:77)-SUMIF(76:76,C11,77:77)+100</f>
        <v>100</v>
      </c>
      <c r="I11" s="3197"/>
      <c r="J11" s="3844">
        <f>SUMIF(76:76,I11,77:77)-SUMIF(76:76,C11,77:77)+100</f>
        <v>100</v>
      </c>
      <c r="K11" s="3230"/>
      <c r="L11" s="2009"/>
      <c r="M11" s="1962"/>
      <c r="N11" s="1962"/>
      <c r="O11" s="2061"/>
      <c r="P11" s="4605" t="s">
        <v>1598</v>
      </c>
      <c r="Q11" s="1731" t="str">
        <f t="shared" ref="Q11:Q17" si="6">B11</f>
        <v>用途</v>
      </c>
      <c r="R11" s="3873" t="s">
        <v>13</v>
      </c>
      <c r="S11" s="3654">
        <f t="shared" si="0"/>
        <v>100</v>
      </c>
      <c r="T11" s="3873" t="s">
        <v>13</v>
      </c>
      <c r="U11" s="3654">
        <f t="shared" si="1"/>
        <v>100</v>
      </c>
      <c r="V11" s="3873" t="s">
        <v>13</v>
      </c>
      <c r="W11" s="3654">
        <f t="shared" si="2"/>
        <v>100</v>
      </c>
      <c r="X11" s="482"/>
      <c r="Y11" s="4569" t="s">
        <v>1599</v>
      </c>
      <c r="Z11" s="28" t="str">
        <f t="shared" ref="Z11:Z17" si="7">Q11</f>
        <v>用途</v>
      </c>
      <c r="AA11" s="28">
        <f t="shared" si="3"/>
        <v>1</v>
      </c>
      <c r="AB11" s="28">
        <f t="shared" si="4"/>
        <v>1</v>
      </c>
      <c r="AC11" s="28">
        <f t="shared" si="5"/>
        <v>1</v>
      </c>
    </row>
    <row r="12" spans="1:29" s="253" customFormat="1" ht="27">
      <c r="A12" s="3198"/>
      <c r="B12" s="2866" t="s">
        <v>1600</v>
      </c>
      <c r="C12" s="2893"/>
      <c r="D12" s="2965">
        <v>100</v>
      </c>
      <c r="E12" s="2943"/>
      <c r="F12" s="3845">
        <f>ROUND(100/'数据-取费表'!G16,1)</f>
        <v>126</v>
      </c>
      <c r="G12" s="2949"/>
      <c r="H12" s="3845">
        <f>ROUND(100/'数据-取费表'!G16,1)</f>
        <v>126</v>
      </c>
      <c r="I12" s="2949"/>
      <c r="J12" s="3845">
        <f>ROUND(100/'数据-取费表'!G16,1)</f>
        <v>126</v>
      </c>
      <c r="K12" s="3231"/>
      <c r="L12" s="2010"/>
      <c r="M12" s="2011"/>
      <c r="N12" s="2011"/>
      <c r="O12" s="2062"/>
      <c r="P12" s="4605"/>
      <c r="Q12" s="1731" t="str">
        <f t="shared" si="6"/>
        <v>土地使用年限（年）</v>
      </c>
      <c r="R12" s="3873" t="s">
        <v>13</v>
      </c>
      <c r="S12" s="3654">
        <f t="shared" si="0"/>
        <v>126</v>
      </c>
      <c r="T12" s="3873" t="s">
        <v>13</v>
      </c>
      <c r="U12" s="3654">
        <f t="shared" si="1"/>
        <v>126</v>
      </c>
      <c r="V12" s="3873" t="s">
        <v>13</v>
      </c>
      <c r="W12" s="3654">
        <f t="shared" si="2"/>
        <v>126</v>
      </c>
      <c r="X12" s="482"/>
      <c r="Y12" s="4569"/>
      <c r="Z12" s="28" t="str">
        <f t="shared" si="7"/>
        <v>土地使用年限（年）</v>
      </c>
      <c r="AA12" s="28">
        <f t="shared" si="3"/>
        <v>0.79365079365079361</v>
      </c>
      <c r="AB12" s="28">
        <f t="shared" si="4"/>
        <v>0.79365079365079361</v>
      </c>
      <c r="AC12" s="28">
        <f t="shared" si="5"/>
        <v>0.79365079365079361</v>
      </c>
    </row>
    <row r="13" spans="1:29" ht="15">
      <c r="A13" s="3199"/>
      <c r="B13" s="2866" t="s">
        <v>1601</v>
      </c>
      <c r="C13" s="2892"/>
      <c r="D13" s="2965">
        <v>100</v>
      </c>
      <c r="E13" s="2892"/>
      <c r="F13" s="3845">
        <f>LOOKUP(E13,81:81,82:82)-LOOKUP(C13,81:81,82:82)+100</f>
        <v>100</v>
      </c>
      <c r="G13" s="2920"/>
      <c r="H13" s="3845">
        <f>LOOKUP(G13,81:81,82:82)-LOOKUP(C13,81:81,82:82)+100</f>
        <v>100</v>
      </c>
      <c r="I13" s="2892"/>
      <c r="J13" s="3845">
        <f>LOOKUP(I13,81:81,82:82)-LOOKUP(C13,81:81,82:82)+100</f>
        <v>100</v>
      </c>
      <c r="K13" s="3255"/>
      <c r="L13" s="2012"/>
      <c r="M13" s="2008"/>
      <c r="N13" s="2008"/>
      <c r="O13" s="2063"/>
      <c r="P13" s="4605"/>
      <c r="Q13" s="1731" t="str">
        <f t="shared" si="6"/>
        <v>容积率</v>
      </c>
      <c r="R13" s="3873" t="s">
        <v>13</v>
      </c>
      <c r="S13" s="3654">
        <f t="shared" si="0"/>
        <v>100</v>
      </c>
      <c r="T13" s="3873" t="s">
        <v>13</v>
      </c>
      <c r="U13" s="3654">
        <f t="shared" si="1"/>
        <v>100</v>
      </c>
      <c r="V13" s="3873" t="s">
        <v>13</v>
      </c>
      <c r="W13" s="3654">
        <f t="shared" si="2"/>
        <v>100</v>
      </c>
      <c r="X13" s="482"/>
      <c r="Y13" s="4569"/>
      <c r="Z13" s="28" t="str">
        <f t="shared" si="7"/>
        <v>容积率</v>
      </c>
      <c r="AA13" s="28">
        <f t="shared" si="3"/>
        <v>1</v>
      </c>
      <c r="AB13" s="28">
        <f t="shared" si="4"/>
        <v>1</v>
      </c>
      <c r="AC13" s="28">
        <f t="shared" si="5"/>
        <v>1</v>
      </c>
    </row>
    <row r="14" spans="1:29" s="46" customFormat="1" ht="15">
      <c r="A14" s="3200"/>
      <c r="B14" s="2870" t="s">
        <v>1782</v>
      </c>
      <c r="C14" s="2893"/>
      <c r="D14" s="2966">
        <v>100</v>
      </c>
      <c r="E14" s="2943"/>
      <c r="F14" s="3845">
        <f>SUMIF(83:83,E14,84:84)-SUMIF(83:83,C14,84:84)+100</f>
        <v>100</v>
      </c>
      <c r="G14" s="2949"/>
      <c r="H14" s="3845">
        <f>SUMIF(83:83,G14,84:84)-SUMIF(83:83,C14,84:84)+100</f>
        <v>100</v>
      </c>
      <c r="I14" s="2943"/>
      <c r="J14" s="3845">
        <f>SUMIF(83:83,I14,84:84)-SUMIF(83:83,C14,84:84)+100</f>
        <v>100</v>
      </c>
      <c r="K14" s="3256"/>
      <c r="L14" s="2009"/>
      <c r="M14" s="1962"/>
      <c r="N14" s="1962"/>
      <c r="O14" s="2061"/>
      <c r="P14" s="4605"/>
      <c r="Q14" s="1731" t="str">
        <f t="shared" si="6"/>
        <v>配建</v>
      </c>
      <c r="R14" s="3873" t="s">
        <v>13</v>
      </c>
      <c r="S14" s="3654">
        <f t="shared" si="0"/>
        <v>100</v>
      </c>
      <c r="T14" s="3873" t="s">
        <v>13</v>
      </c>
      <c r="U14" s="3654">
        <f t="shared" si="1"/>
        <v>100</v>
      </c>
      <c r="V14" s="3873" t="s">
        <v>13</v>
      </c>
      <c r="W14" s="3654">
        <f t="shared" si="2"/>
        <v>100</v>
      </c>
      <c r="X14" s="482"/>
      <c r="Y14" s="4569"/>
      <c r="Z14" s="28" t="str">
        <f t="shared" si="7"/>
        <v>配建</v>
      </c>
      <c r="AA14" s="28">
        <f>D14/F14</f>
        <v>1</v>
      </c>
      <c r="AB14" s="28">
        <f>D14/H14</f>
        <v>1</v>
      </c>
      <c r="AC14" s="28">
        <f>D14/J14</f>
        <v>1</v>
      </c>
    </row>
    <row r="15" spans="1:29" ht="15">
      <c r="A15" s="3199"/>
      <c r="B15" s="2870">
        <v>111</v>
      </c>
      <c r="C15" s="2894"/>
      <c r="D15" s="2967">
        <v>100</v>
      </c>
      <c r="E15" s="3221"/>
      <c r="F15" s="3845">
        <f>SUMIF(85:85,E15,86:86)-SUMIF(85:85,C15,86:86)+100</f>
        <v>100</v>
      </c>
      <c r="G15" s="3207"/>
      <c r="H15" s="3839">
        <f>SUMIF(85:85,G15,86:86)-SUMIF(85:85,C15,86:86)+100</f>
        <v>100</v>
      </c>
      <c r="I15" s="3207"/>
      <c r="J15" s="3839">
        <f>SUMIF(85:85,I15,86:86)-SUMIF(85:85,C15,86:86)+100</f>
        <v>100</v>
      </c>
      <c r="K15" s="3256"/>
      <c r="L15" s="2013"/>
      <c r="M15" s="2008"/>
      <c r="N15" s="2008"/>
      <c r="O15" s="2063"/>
      <c r="P15" s="4605"/>
      <c r="Q15" s="1731">
        <f t="shared" si="6"/>
        <v>111</v>
      </c>
      <c r="R15" s="3873" t="s">
        <v>13</v>
      </c>
      <c r="S15" s="3654">
        <f t="shared" si="0"/>
        <v>100</v>
      </c>
      <c r="T15" s="3873" t="s">
        <v>13</v>
      </c>
      <c r="U15" s="3654">
        <f t="shared" si="1"/>
        <v>100</v>
      </c>
      <c r="V15" s="3873" t="s">
        <v>13</v>
      </c>
      <c r="W15" s="3654">
        <f t="shared" si="2"/>
        <v>100</v>
      </c>
      <c r="X15" s="482"/>
      <c r="Y15" s="4569"/>
      <c r="Z15" s="28">
        <f t="shared" si="7"/>
        <v>111</v>
      </c>
      <c r="AA15" s="28">
        <f>D15/F15</f>
        <v>1</v>
      </c>
      <c r="AB15" s="28">
        <f>D15/H15</f>
        <v>1</v>
      </c>
      <c r="AC15" s="28">
        <f>D15/J15</f>
        <v>1</v>
      </c>
    </row>
    <row r="16" spans="1:29" ht="15.75" thickBot="1">
      <c r="A16" s="3201"/>
      <c r="B16" s="2871">
        <v>111</v>
      </c>
      <c r="C16" s="2895"/>
      <c r="D16" s="2968">
        <v>100</v>
      </c>
      <c r="E16" s="3221"/>
      <c r="F16" s="3841">
        <f>SUMIF(87:87,E16,88:88)-SUMIF(87:87,C16,88:88)+100</f>
        <v>100</v>
      </c>
      <c r="G16" s="3207"/>
      <c r="H16" s="3841">
        <f>SUMIF(87:87,G16,88:88)-SUMIF(87:87,C16,88:88)+100</f>
        <v>100</v>
      </c>
      <c r="I16" s="3207"/>
      <c r="J16" s="3841">
        <f>SUMIF(87:87,I16,88:88)-SUMIF(87:87,C16,88:88)+100</f>
        <v>100</v>
      </c>
      <c r="K16" s="3256"/>
      <c r="L16" s="2013"/>
      <c r="M16" s="2008"/>
      <c r="N16" s="2008"/>
      <c r="O16" s="2063"/>
      <c r="P16" s="4605"/>
      <c r="Q16" s="1731">
        <f t="shared" si="6"/>
        <v>111</v>
      </c>
      <c r="R16" s="3873" t="s">
        <v>13</v>
      </c>
      <c r="S16" s="3654">
        <f t="shared" si="0"/>
        <v>100</v>
      </c>
      <c r="T16" s="3873" t="s">
        <v>13</v>
      </c>
      <c r="U16" s="3654">
        <f t="shared" si="1"/>
        <v>100</v>
      </c>
      <c r="V16" s="3873" t="s">
        <v>13</v>
      </c>
      <c r="W16" s="3654">
        <f t="shared" si="2"/>
        <v>100</v>
      </c>
      <c r="X16" s="482"/>
      <c r="Y16" s="4569"/>
      <c r="Z16" s="28">
        <f t="shared" si="7"/>
        <v>111</v>
      </c>
      <c r="AA16" s="28">
        <f>D16/F16</f>
        <v>1</v>
      </c>
      <c r="AB16" s="28">
        <f>D16/H16</f>
        <v>1</v>
      </c>
      <c r="AC16" s="28">
        <f>D16/J16</f>
        <v>1</v>
      </c>
    </row>
    <row r="17" spans="1:29" ht="15">
      <c r="A17" s="3202" t="s">
        <v>1602</v>
      </c>
      <c r="B17" s="2872" t="s">
        <v>1237</v>
      </c>
      <c r="C17" s="2896">
        <f>估价对象房地状况!C15</f>
        <v>0</v>
      </c>
      <c r="D17" s="2969">
        <v>100</v>
      </c>
      <c r="E17" s="2921"/>
      <c r="F17" s="3835">
        <f>SUMIF(89:89,E18,90:90)-SUMIF(89:89,C18,90:90)+100</f>
        <v>100</v>
      </c>
      <c r="G17" s="2921"/>
      <c r="H17" s="3835">
        <f>SUMIF(89:89,G18,90:90)-SUMIF(89:89,C18,90:90)+100</f>
        <v>100</v>
      </c>
      <c r="I17" s="2927"/>
      <c r="J17" s="3835">
        <f>SUMIF(89:89,I18,90:90)-SUMIF(89:89,C18,90:90)+100</f>
        <v>100</v>
      </c>
      <c r="K17" s="3255"/>
      <c r="L17" s="2013"/>
      <c r="M17" s="2008"/>
      <c r="N17" s="2008"/>
      <c r="O17" s="2063"/>
      <c r="P17" s="4693" t="s">
        <v>1603</v>
      </c>
      <c r="Q17" s="1533" t="str">
        <f t="shared" si="6"/>
        <v>居住社区成熟度</v>
      </c>
      <c r="R17" s="3874" t="s">
        <v>13</v>
      </c>
      <c r="S17" s="3876">
        <f t="shared" si="0"/>
        <v>100</v>
      </c>
      <c r="T17" s="3874" t="s">
        <v>13</v>
      </c>
      <c r="U17" s="3876">
        <f t="shared" si="1"/>
        <v>100</v>
      </c>
      <c r="V17" s="3874" t="s">
        <v>13</v>
      </c>
      <c r="W17" s="3876">
        <f t="shared" si="2"/>
        <v>100</v>
      </c>
      <c r="X17" s="935"/>
      <c r="Y17" s="4598" t="s">
        <v>1603</v>
      </c>
      <c r="Z17" s="933" t="str">
        <f t="shared" si="7"/>
        <v>居住社区成熟度</v>
      </c>
      <c r="AA17" s="933">
        <f t="shared" si="3"/>
        <v>1</v>
      </c>
      <c r="AB17" s="933">
        <f t="shared" si="4"/>
        <v>1</v>
      </c>
      <c r="AC17" s="933">
        <f t="shared" si="5"/>
        <v>1</v>
      </c>
    </row>
    <row r="18" spans="1:29" ht="15">
      <c r="A18" s="3199"/>
      <c r="B18" s="2873"/>
      <c r="C18" s="2897" t="s">
        <v>3615</v>
      </c>
      <c r="D18" s="2970"/>
      <c r="E18" s="2925" t="s">
        <v>3616</v>
      </c>
      <c r="F18" s="3836"/>
      <c r="G18" s="2925" t="s">
        <v>3615</v>
      </c>
      <c r="H18" s="3837"/>
      <c r="I18" s="2931" t="s">
        <v>3615</v>
      </c>
      <c r="J18" s="3836"/>
      <c r="K18" s="3256"/>
      <c r="L18" s="2013"/>
      <c r="M18" s="2008"/>
      <c r="N18" s="2008"/>
      <c r="O18" s="2063"/>
      <c r="P18" s="4694"/>
      <c r="Q18" s="1533"/>
      <c r="R18" s="3874"/>
      <c r="S18" s="3876"/>
      <c r="T18" s="3874"/>
      <c r="U18" s="3876"/>
      <c r="V18" s="3874"/>
      <c r="W18" s="3876"/>
      <c r="X18" s="935"/>
      <c r="Y18" s="4599"/>
      <c r="Z18" s="933"/>
      <c r="AA18" s="933">
        <v>1</v>
      </c>
      <c r="AB18" s="933">
        <v>1</v>
      </c>
      <c r="AC18" s="933">
        <v>1</v>
      </c>
    </row>
    <row r="19" spans="1:29" ht="15">
      <c r="A19" s="3199"/>
      <c r="B19" s="2874" t="s">
        <v>1689</v>
      </c>
      <c r="C19" s="2912">
        <f>估价对象房地状况!C16</f>
        <v>0</v>
      </c>
      <c r="D19" s="2971">
        <v>100</v>
      </c>
      <c r="E19" s="2922"/>
      <c r="F19" s="3837">
        <f>SUMIF(91:91,E20,92:92)-SUMIF(91:91,C20,92:92)+100</f>
        <v>100</v>
      </c>
      <c r="G19" s="2922"/>
      <c r="H19" s="3838">
        <f>SUMIF(91:91,G20,92:92)-SUMIF(91:91,C20,92:92)+100</f>
        <v>100</v>
      </c>
      <c r="I19" s="2928"/>
      <c r="J19" s="3838">
        <f>SUMIF(91:91,I20,92:92)-SUMIF(91:91,C20,92:92)+100</f>
        <v>100</v>
      </c>
      <c r="K19" s="3255"/>
      <c r="L19" s="2013"/>
      <c r="M19" s="2008"/>
      <c r="N19" s="2008"/>
      <c r="O19" s="2063"/>
      <c r="P19" s="4694"/>
      <c r="Q19" s="1533" t="str">
        <f>B19</f>
        <v>商业繁华度</v>
      </c>
      <c r="R19" s="3874" t="s">
        <v>13</v>
      </c>
      <c r="S19" s="3876">
        <f>F19</f>
        <v>100</v>
      </c>
      <c r="T19" s="3874" t="s">
        <v>13</v>
      </c>
      <c r="U19" s="3876">
        <f>H19</f>
        <v>100</v>
      </c>
      <c r="V19" s="3874" t="s">
        <v>13</v>
      </c>
      <c r="W19" s="3876">
        <f>J19</f>
        <v>100</v>
      </c>
      <c r="X19" s="935"/>
      <c r="Y19" s="4599"/>
      <c r="Z19" s="933" t="str">
        <f>Q19</f>
        <v>商业繁华度</v>
      </c>
      <c r="AA19" s="933">
        <f t="shared" si="3"/>
        <v>1</v>
      </c>
      <c r="AB19" s="933">
        <f t="shared" si="4"/>
        <v>1</v>
      </c>
      <c r="AC19" s="933">
        <f t="shared" si="5"/>
        <v>1</v>
      </c>
    </row>
    <row r="20" spans="1:29" ht="15">
      <c r="A20" s="3199"/>
      <c r="B20" s="2875"/>
      <c r="C20" s="2899"/>
      <c r="D20" s="2971"/>
      <c r="E20" s="2923"/>
      <c r="F20" s="3837"/>
      <c r="G20" s="2923"/>
      <c r="H20" s="3836"/>
      <c r="I20" s="2929"/>
      <c r="J20" s="3836"/>
      <c r="K20" s="3256"/>
      <c r="L20" s="2013"/>
      <c r="M20" s="2008"/>
      <c r="N20" s="2008"/>
      <c r="O20" s="2063"/>
      <c r="P20" s="4694"/>
      <c r="Q20" s="1533"/>
      <c r="R20" s="3874"/>
      <c r="S20" s="3876"/>
      <c r="T20" s="3874"/>
      <c r="U20" s="3876"/>
      <c r="V20" s="3874"/>
      <c r="W20" s="3876"/>
      <c r="X20" s="935"/>
      <c r="Y20" s="4599"/>
      <c r="Z20" s="933"/>
      <c r="AA20" s="933">
        <v>1</v>
      </c>
      <c r="AB20" s="933">
        <v>1</v>
      </c>
      <c r="AC20" s="933">
        <v>1</v>
      </c>
    </row>
    <row r="21" spans="1:29" ht="15">
      <c r="A21" s="3199"/>
      <c r="B21" s="2874" t="s">
        <v>1723</v>
      </c>
      <c r="C21" s="2912">
        <f>估价对象房地状况!C17</f>
        <v>0</v>
      </c>
      <c r="D21" s="2972">
        <v>100</v>
      </c>
      <c r="E21" s="2924"/>
      <c r="F21" s="3838">
        <f>SUMIF(93:93,E22,94:94)-SUMIF(93:93,C22,94:94)+100</f>
        <v>100</v>
      </c>
      <c r="G21" s="2924"/>
      <c r="H21" s="3837">
        <f>SUMIF(93:93,G22,94:94)-SUMIF(93:93,C22,94:94)+100</f>
        <v>100</v>
      </c>
      <c r="I21" s="2930"/>
      <c r="J21" s="3837">
        <f>SUMIF(93:93,I22,94:94)-SUMIF(93:93,C22,94:94)+100</f>
        <v>100</v>
      </c>
      <c r="K21" s="3255"/>
      <c r="L21" s="2013"/>
      <c r="M21" s="2008"/>
      <c r="N21" s="2008"/>
      <c r="O21" s="2063"/>
      <c r="P21" s="4694"/>
      <c r="Q21" s="1533" t="str">
        <f>B21</f>
        <v>办公集聚程度</v>
      </c>
      <c r="R21" s="3874" t="s">
        <v>13</v>
      </c>
      <c r="S21" s="3876">
        <f>F21</f>
        <v>100</v>
      </c>
      <c r="T21" s="3874" t="s">
        <v>13</v>
      </c>
      <c r="U21" s="3876">
        <f>H21</f>
        <v>100</v>
      </c>
      <c r="V21" s="3874" t="s">
        <v>13</v>
      </c>
      <c r="W21" s="3876">
        <f>J21</f>
        <v>100</v>
      </c>
      <c r="X21" s="935"/>
      <c r="Y21" s="4599"/>
      <c r="Z21" s="933" t="str">
        <f>Q21</f>
        <v>办公集聚程度</v>
      </c>
      <c r="AA21" s="933">
        <f t="shared" si="3"/>
        <v>1</v>
      </c>
      <c r="AB21" s="933">
        <f t="shared" si="4"/>
        <v>1</v>
      </c>
      <c r="AC21" s="933">
        <f t="shared" si="5"/>
        <v>1</v>
      </c>
    </row>
    <row r="22" spans="1:29" ht="15">
      <c r="A22" s="3199"/>
      <c r="B22" s="2875"/>
      <c r="C22" s="2897"/>
      <c r="D22" s="2970"/>
      <c r="E22" s="2925"/>
      <c r="F22" s="3836"/>
      <c r="G22" s="2925"/>
      <c r="H22" s="3836"/>
      <c r="I22" s="2931"/>
      <c r="J22" s="3836"/>
      <c r="K22" s="3256"/>
      <c r="L22" s="2013"/>
      <c r="M22" s="2008"/>
      <c r="N22" s="2008"/>
      <c r="O22" s="2063"/>
      <c r="P22" s="4694"/>
      <c r="Q22" s="1533"/>
      <c r="R22" s="3874"/>
      <c r="S22" s="3876"/>
      <c r="T22" s="3874"/>
      <c r="U22" s="3876"/>
      <c r="V22" s="3874"/>
      <c r="W22" s="3876"/>
      <c r="X22" s="935"/>
      <c r="Y22" s="4599"/>
      <c r="Z22" s="933"/>
      <c r="AA22" s="933">
        <v>1</v>
      </c>
      <c r="AB22" s="933">
        <v>1</v>
      </c>
      <c r="AC22" s="933">
        <v>1</v>
      </c>
    </row>
    <row r="23" spans="1:29" ht="15">
      <c r="A23" s="3199"/>
      <c r="B23" s="2874" t="s">
        <v>1745</v>
      </c>
      <c r="C23" s="2898">
        <f>估价对象房地状况!C18</f>
        <v>0</v>
      </c>
      <c r="D23" s="2971">
        <v>100</v>
      </c>
      <c r="E23" s="2922"/>
      <c r="F23" s="3838">
        <f>SUMIF(95:95,E24,96:96)-SUMIF(95:95,C24,96:96)+100</f>
        <v>100</v>
      </c>
      <c r="G23" s="2922"/>
      <c r="H23" s="3837">
        <f>SUMIF(95:95,G24,96:96)-SUMIF(95:95,C24,96:96)+100</f>
        <v>100</v>
      </c>
      <c r="I23" s="2928"/>
      <c r="J23" s="3837">
        <f>SUMIF(95:95,I24,96:96)-SUMIF(95:95,C24,96:96)+100</f>
        <v>100</v>
      </c>
      <c r="K23" s="3255"/>
      <c r="L23" s="2013"/>
      <c r="M23" s="2008"/>
      <c r="N23" s="2008"/>
      <c r="O23" s="2063"/>
      <c r="P23" s="4694"/>
      <c r="Q23" s="1533" t="str">
        <f>B23</f>
        <v>交通便捷度</v>
      </c>
      <c r="R23" s="3874" t="s">
        <v>13</v>
      </c>
      <c r="S23" s="3876">
        <f>F23</f>
        <v>100</v>
      </c>
      <c r="T23" s="3874" t="s">
        <v>13</v>
      </c>
      <c r="U23" s="3876">
        <f>H23</f>
        <v>100</v>
      </c>
      <c r="V23" s="3874" t="s">
        <v>13</v>
      </c>
      <c r="W23" s="3876">
        <f>J23</f>
        <v>100</v>
      </c>
      <c r="X23" s="935"/>
      <c r="Y23" s="4599"/>
      <c r="Z23" s="933" t="str">
        <f>Q23</f>
        <v>交通便捷度</v>
      </c>
      <c r="AA23" s="933">
        <f t="shared" si="3"/>
        <v>1</v>
      </c>
      <c r="AB23" s="933">
        <f t="shared" si="4"/>
        <v>1</v>
      </c>
      <c r="AC23" s="933">
        <f t="shared" si="5"/>
        <v>1</v>
      </c>
    </row>
    <row r="24" spans="1:29" ht="15">
      <c r="A24" s="3199"/>
      <c r="B24" s="2876"/>
      <c r="C24" s="2897" t="s">
        <v>3615</v>
      </c>
      <c r="D24" s="2971"/>
      <c r="E24" s="2925" t="s">
        <v>3616</v>
      </c>
      <c r="F24" s="3836"/>
      <c r="G24" s="2925" t="s">
        <v>3615</v>
      </c>
      <c r="H24" s="3836"/>
      <c r="I24" s="2931" t="s">
        <v>3615</v>
      </c>
      <c r="J24" s="3836"/>
      <c r="K24" s="3256"/>
      <c r="L24" s="2013"/>
      <c r="M24" s="2008"/>
      <c r="N24" s="2008"/>
      <c r="O24" s="2063"/>
      <c r="P24" s="4694"/>
      <c r="Q24" s="1533"/>
      <c r="R24" s="3874"/>
      <c r="S24" s="3876"/>
      <c r="T24" s="3874"/>
      <c r="U24" s="3876"/>
      <c r="V24" s="3874"/>
      <c r="W24" s="3876"/>
      <c r="X24" s="935"/>
      <c r="Y24" s="4599"/>
      <c r="Z24" s="933"/>
      <c r="AA24" s="933">
        <v>1</v>
      </c>
      <c r="AB24" s="933">
        <v>1</v>
      </c>
      <c r="AC24" s="933">
        <v>1</v>
      </c>
    </row>
    <row r="25" spans="1:29" ht="15">
      <c r="A25" s="3203"/>
      <c r="B25" s="2874" t="s">
        <v>1783</v>
      </c>
      <c r="C25" s="3204">
        <f>估价对象房地状况!C19</f>
        <v>0</v>
      </c>
      <c r="D25" s="2972">
        <v>100</v>
      </c>
      <c r="E25" s="2922"/>
      <c r="F25" s="3838">
        <f>SUMIF(97:97,E26,98:98)-SUMIF(97:97,C26,98:98)+100</f>
        <v>100</v>
      </c>
      <c r="G25" s="2928"/>
      <c r="H25" s="3838">
        <f>SUMIF(97:97,G26,98:98)-SUMIF(97:97,C26,98:98)+100</f>
        <v>100</v>
      </c>
      <c r="I25" s="2928"/>
      <c r="J25" s="3838">
        <f>SUMIF(97:97,I26,98:98)-SUMIF(97:97,C26,98:98)+100</f>
        <v>100</v>
      </c>
      <c r="K25" s="3255"/>
      <c r="L25" s="2013"/>
      <c r="M25" s="2008"/>
      <c r="N25" s="2008"/>
      <c r="O25" s="2063"/>
      <c r="P25" s="4694"/>
      <c r="Q25" s="1533" t="str">
        <f t="shared" ref="Q25:Q39" si="8">B25</f>
        <v>区域土地利用方向</v>
      </c>
      <c r="R25" s="3874" t="s">
        <v>13</v>
      </c>
      <c r="S25" s="3876">
        <f>F25</f>
        <v>100</v>
      </c>
      <c r="T25" s="3874" t="s">
        <v>13</v>
      </c>
      <c r="U25" s="3876">
        <f>H25</f>
        <v>100</v>
      </c>
      <c r="V25" s="3874" t="s">
        <v>13</v>
      </c>
      <c r="W25" s="3876">
        <f>J25</f>
        <v>100</v>
      </c>
      <c r="X25" s="935"/>
      <c r="Y25" s="4599"/>
      <c r="Z25" s="933" t="str">
        <f>Q25</f>
        <v>区域土地利用方向</v>
      </c>
      <c r="AA25" s="933">
        <f t="shared" si="3"/>
        <v>1</v>
      </c>
      <c r="AB25" s="933">
        <f t="shared" si="4"/>
        <v>1</v>
      </c>
      <c r="AC25" s="933">
        <f t="shared" si="5"/>
        <v>1</v>
      </c>
    </row>
    <row r="26" spans="1:29" ht="15">
      <c r="A26" s="3203"/>
      <c r="B26" s="2875"/>
      <c r="C26" s="2913"/>
      <c r="D26" s="2970"/>
      <c r="E26" s="2925"/>
      <c r="F26" s="3836"/>
      <c r="G26" s="2931"/>
      <c r="H26" s="3836"/>
      <c r="I26" s="2931"/>
      <c r="J26" s="3836"/>
      <c r="K26" s="3257"/>
      <c r="L26" s="2013"/>
      <c r="M26" s="2008"/>
      <c r="N26" s="2008"/>
      <c r="O26" s="2063"/>
      <c r="P26" s="4694"/>
      <c r="Q26" s="1533"/>
      <c r="R26" s="3874"/>
      <c r="S26" s="3876"/>
      <c r="T26" s="3874"/>
      <c r="U26" s="3876"/>
      <c r="V26" s="3874"/>
      <c r="W26" s="3876"/>
      <c r="X26" s="935"/>
      <c r="Y26" s="4599"/>
      <c r="Z26" s="933"/>
      <c r="AA26" s="933"/>
      <c r="AB26" s="933"/>
      <c r="AC26" s="933"/>
    </row>
    <row r="27" spans="1:29" ht="27">
      <c r="A27" s="3203"/>
      <c r="B27" s="2876" t="s">
        <v>1784</v>
      </c>
      <c r="C27" s="2912">
        <f>估价对象房地状况!C20</f>
        <v>0</v>
      </c>
      <c r="D27" s="2971">
        <v>100</v>
      </c>
      <c r="E27" s="2922"/>
      <c r="F27" s="3837">
        <f>SUMIF(99:99,E28,100:100)-SUMIF(99:99,C28,100:100)+100</f>
        <v>100</v>
      </c>
      <c r="G27" s="2922"/>
      <c r="H27" s="3837">
        <f>SUMIF(99:99,G28,100:100)-SUMIF(99:99,C28,100:100)+100</f>
        <v>100</v>
      </c>
      <c r="I27" s="2928"/>
      <c r="J27" s="3837">
        <f>SUMIF(99:99,I28,100:100)-SUMIF(99:99,C28,100:100)+100</f>
        <v>100</v>
      </c>
      <c r="K27" s="3255"/>
      <c r="L27" s="2013"/>
      <c r="M27" s="2008"/>
      <c r="N27" s="2008"/>
      <c r="O27" s="2063"/>
      <c r="P27" s="4694"/>
      <c r="Q27" s="1533" t="str">
        <f t="shared" si="8"/>
        <v>自然及人文环境状况</v>
      </c>
      <c r="R27" s="3874" t="s">
        <v>13</v>
      </c>
      <c r="S27" s="3876">
        <f>F27</f>
        <v>100</v>
      </c>
      <c r="T27" s="3874" t="s">
        <v>13</v>
      </c>
      <c r="U27" s="3876">
        <f>H27</f>
        <v>100</v>
      </c>
      <c r="V27" s="3874" t="s">
        <v>13</v>
      </c>
      <c r="W27" s="3876">
        <f>J27</f>
        <v>100</v>
      </c>
      <c r="X27" s="935"/>
      <c r="Y27" s="4599"/>
      <c r="Z27" s="933" t="str">
        <f>Q27</f>
        <v>自然及人文环境状况</v>
      </c>
      <c r="AA27" s="933">
        <f t="shared" si="3"/>
        <v>1</v>
      </c>
      <c r="AB27" s="933">
        <f t="shared" si="4"/>
        <v>1</v>
      </c>
      <c r="AC27" s="933">
        <f t="shared" si="5"/>
        <v>1</v>
      </c>
    </row>
    <row r="28" spans="1:29" ht="15">
      <c r="A28" s="3203"/>
      <c r="B28" s="2875"/>
      <c r="C28" s="2897"/>
      <c r="D28" s="2970"/>
      <c r="E28" s="2948"/>
      <c r="F28" s="3836"/>
      <c r="G28" s="2948"/>
      <c r="H28" s="3836"/>
      <c r="I28" s="2897"/>
      <c r="J28" s="3836"/>
      <c r="K28" s="3256"/>
      <c r="L28" s="2013"/>
      <c r="M28" s="2008"/>
      <c r="N28" s="2008"/>
      <c r="O28" s="2063"/>
      <c r="P28" s="4694"/>
      <c r="Q28" s="1533"/>
      <c r="R28" s="3874"/>
      <c r="S28" s="3876"/>
      <c r="T28" s="3874"/>
      <c r="U28" s="3876"/>
      <c r="V28" s="3874"/>
      <c r="W28" s="3876"/>
      <c r="X28" s="935"/>
      <c r="Y28" s="4599"/>
      <c r="Z28" s="933"/>
      <c r="AA28" s="933">
        <v>1</v>
      </c>
      <c r="AB28" s="933">
        <v>1</v>
      </c>
      <c r="AC28" s="933">
        <v>1</v>
      </c>
    </row>
    <row r="29" spans="1:29" s="46" customFormat="1" ht="15">
      <c r="A29" s="3205"/>
      <c r="B29" s="2876" t="s">
        <v>1690</v>
      </c>
      <c r="C29" s="2898">
        <f>估价对象房地状况!C21</f>
        <v>0</v>
      </c>
      <c r="D29" s="2971">
        <v>100</v>
      </c>
      <c r="E29" s="2922"/>
      <c r="F29" s="3837">
        <f>SUMIF(101:101,E30,102:102)-SUMIF(101:101,C30,102:102)+100</f>
        <v>100</v>
      </c>
      <c r="G29" s="2922"/>
      <c r="H29" s="3837">
        <f>SUMIF(101:101,G30,102:102)-SUMIF(101:101,C30,102:102)+100</f>
        <v>100</v>
      </c>
      <c r="I29" s="2928"/>
      <c r="J29" s="3837">
        <f>SUMIF(101:101,I30,102:102)-SUMIF(101:101,C30,102:102)+100</f>
        <v>100</v>
      </c>
      <c r="K29" s="3255"/>
      <c r="L29" s="2009"/>
      <c r="M29" s="1962"/>
      <c r="N29" s="1962"/>
      <c r="O29" s="2061"/>
      <c r="P29" s="4694"/>
      <c r="Q29" s="1731" t="str">
        <f t="shared" si="8"/>
        <v>公共配套设施</v>
      </c>
      <c r="R29" s="3873" t="s">
        <v>13</v>
      </c>
      <c r="S29" s="3654">
        <f>F29</f>
        <v>100</v>
      </c>
      <c r="T29" s="3873" t="s">
        <v>13</v>
      </c>
      <c r="U29" s="3654">
        <f>H29</f>
        <v>100</v>
      </c>
      <c r="V29" s="3873" t="s">
        <v>13</v>
      </c>
      <c r="W29" s="3654">
        <f>J29</f>
        <v>100</v>
      </c>
      <c r="X29" s="482"/>
      <c r="Y29" s="4599"/>
      <c r="Z29" s="28" t="str">
        <f>Q29</f>
        <v>公共配套设施</v>
      </c>
      <c r="AA29" s="933">
        <f>D29/F29</f>
        <v>1</v>
      </c>
      <c r="AB29" s="933">
        <f>D29/H29</f>
        <v>1</v>
      </c>
      <c r="AC29" s="933">
        <f>D29/J29</f>
        <v>1</v>
      </c>
    </row>
    <row r="30" spans="1:29" s="46" customFormat="1" ht="15">
      <c r="A30" s="3205"/>
      <c r="B30" s="2875"/>
      <c r="C30" s="3206" t="s">
        <v>3615</v>
      </c>
      <c r="D30" s="2970"/>
      <c r="E30" s="2948" t="s">
        <v>3616</v>
      </c>
      <c r="F30" s="3836"/>
      <c r="G30" s="2948" t="s">
        <v>3615</v>
      </c>
      <c r="H30" s="3836"/>
      <c r="I30" s="2897" t="s">
        <v>3615</v>
      </c>
      <c r="J30" s="3836"/>
      <c r="K30" s="3256"/>
      <c r="L30" s="2009"/>
      <c r="M30" s="1962"/>
      <c r="N30" s="1962"/>
      <c r="O30" s="2061"/>
      <c r="P30" s="4694"/>
      <c r="Q30" s="1731"/>
      <c r="R30" s="3873"/>
      <c r="S30" s="3654"/>
      <c r="T30" s="3873"/>
      <c r="U30" s="3654"/>
      <c r="V30" s="3873"/>
      <c r="W30" s="3654"/>
      <c r="X30" s="482"/>
      <c r="Y30" s="4599"/>
      <c r="Z30" s="28"/>
      <c r="AA30" s="933">
        <v>1</v>
      </c>
      <c r="AB30" s="933">
        <v>1</v>
      </c>
      <c r="AC30" s="933">
        <v>1</v>
      </c>
    </row>
    <row r="31" spans="1:29" s="46" customFormat="1" ht="15">
      <c r="A31" s="3205"/>
      <c r="B31" s="2876" t="s">
        <v>1691</v>
      </c>
      <c r="C31" s="2898">
        <f>估价对象房地状况!C22</f>
        <v>0</v>
      </c>
      <c r="D31" s="2971">
        <v>100</v>
      </c>
      <c r="E31" s="2922"/>
      <c r="F31" s="3837">
        <f>SUMIF(103:103,E32,104:104)-SUMIF(103:103,C32,104:104)+100</f>
        <v>100</v>
      </c>
      <c r="G31" s="2922"/>
      <c r="H31" s="3837">
        <f>SUMIF(103:103,G32,104:104)-SUMIF(103:103,C32,104:104)+100</f>
        <v>100</v>
      </c>
      <c r="I31" s="2928"/>
      <c r="J31" s="3837">
        <f>SUMIF(103:103,I32,104:104)-SUMIF(103:103,C32,104:104)+100</f>
        <v>100</v>
      </c>
      <c r="K31" s="3255"/>
      <c r="L31" s="2009"/>
      <c r="M31" s="1962"/>
      <c r="N31" s="1962"/>
      <c r="O31" s="2061"/>
      <c r="P31" s="4694"/>
      <c r="Q31" s="1731" t="str">
        <f t="shared" ref="Q31" si="9">B31</f>
        <v>基础设施水平</v>
      </c>
      <c r="R31" s="3873" t="s">
        <v>13</v>
      </c>
      <c r="S31" s="3654">
        <f>F31</f>
        <v>100</v>
      </c>
      <c r="T31" s="3873" t="s">
        <v>13</v>
      </c>
      <c r="U31" s="3654">
        <f>H31</f>
        <v>100</v>
      </c>
      <c r="V31" s="3873" t="s">
        <v>13</v>
      </c>
      <c r="W31" s="3654">
        <f>J31</f>
        <v>100</v>
      </c>
      <c r="X31" s="482"/>
      <c r="Y31" s="4599"/>
      <c r="Z31" s="28" t="str">
        <f>Q31</f>
        <v>基础设施水平</v>
      </c>
      <c r="AA31" s="933">
        <f>D31/F31</f>
        <v>1</v>
      </c>
      <c r="AB31" s="933">
        <f>D31/H31</f>
        <v>1</v>
      </c>
      <c r="AC31" s="933">
        <f>D31/J31</f>
        <v>1</v>
      </c>
    </row>
    <row r="32" spans="1:29" s="46" customFormat="1" ht="15">
      <c r="A32" s="3205"/>
      <c r="B32" s="2875"/>
      <c r="C32" s="3206"/>
      <c r="D32" s="2970"/>
      <c r="E32" s="3222"/>
      <c r="F32" s="3836"/>
      <c r="G32" s="3222"/>
      <c r="H32" s="3836"/>
      <c r="I32" s="3222"/>
      <c r="J32" s="3836"/>
      <c r="K32" s="3256"/>
      <c r="L32" s="2009"/>
      <c r="M32" s="1962"/>
      <c r="N32" s="1962"/>
      <c r="O32" s="2061"/>
      <c r="P32" s="4694"/>
      <c r="Q32" s="1731"/>
      <c r="R32" s="3873"/>
      <c r="S32" s="3654"/>
      <c r="T32" s="3873"/>
      <c r="U32" s="3654"/>
      <c r="V32" s="3873"/>
      <c r="W32" s="3654"/>
      <c r="X32" s="482"/>
      <c r="Y32" s="4599"/>
      <c r="Z32" s="28"/>
      <c r="AA32" s="933">
        <v>1</v>
      </c>
      <c r="AB32" s="933">
        <v>1</v>
      </c>
      <c r="AC32" s="933">
        <v>1</v>
      </c>
    </row>
    <row r="33" spans="1:29" ht="15">
      <c r="A33" s="3199"/>
      <c r="B33" s="2875" t="s">
        <v>1692</v>
      </c>
      <c r="C33" s="2913"/>
      <c r="D33" s="2967">
        <v>100</v>
      </c>
      <c r="E33" s="3223"/>
      <c r="F33" s="3839">
        <f>SUMIF(105:105,E33,106:106)-SUMIF(105:105,C33,106:106)+100</f>
        <v>100</v>
      </c>
      <c r="G33" s="3223"/>
      <c r="H33" s="3839">
        <f>SUMIF(105:105,G33,106:106)-SUMIF(105:105,C33,106:106)+100</f>
        <v>100</v>
      </c>
      <c r="I33" s="3223"/>
      <c r="J33" s="3839">
        <f>SUMIF(105:105,I33,106:106)-SUMIF(105:105,C33,106:106)+100</f>
        <v>100</v>
      </c>
      <c r="K33" s="3255"/>
      <c r="L33" s="2013"/>
      <c r="M33" s="2008"/>
      <c r="N33" s="2008"/>
      <c r="O33" s="2063"/>
      <c r="P33" s="4694"/>
      <c r="Q33" s="1533" t="str">
        <f t="shared" si="8"/>
        <v>临街状况</v>
      </c>
      <c r="R33" s="3874" t="s">
        <v>13</v>
      </c>
      <c r="S33" s="3876">
        <f t="shared" ref="S33:S47" si="10">F33</f>
        <v>100</v>
      </c>
      <c r="T33" s="3874" t="s">
        <v>13</v>
      </c>
      <c r="U33" s="3876">
        <f t="shared" ref="U33:U47" si="11">H33</f>
        <v>100</v>
      </c>
      <c r="V33" s="3874" t="s">
        <v>13</v>
      </c>
      <c r="W33" s="3876">
        <f t="shared" ref="W33:W47" si="12">J33</f>
        <v>100</v>
      </c>
      <c r="X33" s="935"/>
      <c r="Y33" s="4599"/>
      <c r="Z33" s="933" t="str">
        <f t="shared" ref="Z33:Z47" si="13">Q33</f>
        <v>临街状况</v>
      </c>
      <c r="AA33" s="933">
        <f t="shared" si="3"/>
        <v>1</v>
      </c>
      <c r="AB33" s="933">
        <f t="shared" si="4"/>
        <v>1</v>
      </c>
      <c r="AC33" s="933">
        <f t="shared" si="5"/>
        <v>1</v>
      </c>
    </row>
    <row r="34" spans="1:29" ht="27">
      <c r="A34" s="3199"/>
      <c r="B34" s="2876" t="s">
        <v>1727</v>
      </c>
      <c r="C34" s="2928"/>
      <c r="D34" s="2971">
        <v>100</v>
      </c>
      <c r="E34" s="2922"/>
      <c r="F34" s="3837">
        <f>SUMIF(107:107,E35,108:108)-SUMIF(107:107,C35,108:108)+100</f>
        <v>100</v>
      </c>
      <c r="G34" s="2922"/>
      <c r="H34" s="3837">
        <f>SUMIF(107:107,G35,108:108)-SUMIF(107:107,C35,108:108)+100</f>
        <v>100</v>
      </c>
      <c r="I34" s="2928"/>
      <c r="J34" s="3837">
        <f>SUMIF(107:107,I35,108:108)-SUMIF(107:107,C35,108:108)+100</f>
        <v>100</v>
      </c>
      <c r="K34" s="3255"/>
      <c r="L34" s="2013"/>
      <c r="M34" s="2008"/>
      <c r="N34" s="2008"/>
      <c r="O34" s="2063"/>
      <c r="P34" s="4694"/>
      <c r="Q34" s="1533" t="str">
        <f t="shared" si="8"/>
        <v>毗邻道路的类型与等级</v>
      </c>
      <c r="R34" s="3874" t="s">
        <v>13</v>
      </c>
      <c r="S34" s="3876">
        <f t="shared" si="10"/>
        <v>100</v>
      </c>
      <c r="T34" s="3874" t="s">
        <v>13</v>
      </c>
      <c r="U34" s="3876">
        <f t="shared" si="11"/>
        <v>100</v>
      </c>
      <c r="V34" s="3874" t="s">
        <v>13</v>
      </c>
      <c r="W34" s="3876">
        <f t="shared" si="12"/>
        <v>100</v>
      </c>
      <c r="X34" s="935"/>
      <c r="Y34" s="4599"/>
      <c r="Z34" s="933" t="str">
        <f t="shared" si="13"/>
        <v>毗邻道路的类型与等级</v>
      </c>
      <c r="AA34" s="933">
        <f t="shared" si="3"/>
        <v>1</v>
      </c>
      <c r="AB34" s="933">
        <f t="shared" si="4"/>
        <v>1</v>
      </c>
      <c r="AC34" s="933">
        <f t="shared" si="5"/>
        <v>1</v>
      </c>
    </row>
    <row r="35" spans="1:29" ht="15">
      <c r="A35" s="3199"/>
      <c r="B35" s="2875"/>
      <c r="C35" s="2897"/>
      <c r="D35" s="2970"/>
      <c r="E35" s="2948"/>
      <c r="F35" s="3836"/>
      <c r="G35" s="2948"/>
      <c r="H35" s="3836"/>
      <c r="I35" s="2897"/>
      <c r="J35" s="3836"/>
      <c r="K35" s="2935"/>
      <c r="L35" s="2013"/>
      <c r="M35" s="2008"/>
      <c r="N35" s="2008"/>
      <c r="O35" s="2063"/>
      <c r="P35" s="4694"/>
      <c r="Q35" s="1533"/>
      <c r="R35" s="3874"/>
      <c r="S35" s="3876"/>
      <c r="T35" s="3874"/>
      <c r="U35" s="3876"/>
      <c r="V35" s="3874"/>
      <c r="W35" s="3876"/>
      <c r="X35" s="935"/>
      <c r="Y35" s="4599"/>
      <c r="Z35" s="933"/>
      <c r="AA35" s="933">
        <v>1</v>
      </c>
      <c r="AB35" s="933">
        <v>1</v>
      </c>
      <c r="AC35" s="933">
        <v>1</v>
      </c>
    </row>
    <row r="36" spans="1:29" ht="15">
      <c r="A36" s="3199"/>
      <c r="B36" s="2866" t="s">
        <v>1785</v>
      </c>
      <c r="C36" s="2913"/>
      <c r="D36" s="2967">
        <v>100</v>
      </c>
      <c r="E36" s="3223"/>
      <c r="F36" s="3839">
        <f>SUMIF(109:109,E36,110:110)-SUMIF(109:109,C36,110:110)+100</f>
        <v>100</v>
      </c>
      <c r="G36" s="3223"/>
      <c r="H36" s="3839">
        <f>SUMIF(109:109,G36,110:110)-SUMIF(109:109,C36,110:110)+100</f>
        <v>100</v>
      </c>
      <c r="I36" s="2913"/>
      <c r="J36" s="3839">
        <f>SUMIF(109:109,I36,110:110)-SUMIF(109:109,C36,110:110)+100</f>
        <v>100</v>
      </c>
      <c r="K36" s="2934"/>
      <c r="L36" s="2013"/>
      <c r="M36" s="2008"/>
      <c r="N36" s="2008"/>
      <c r="O36" s="2063"/>
      <c r="P36" s="4694"/>
      <c r="Q36" s="1533" t="str">
        <f t="shared" si="8"/>
        <v>土地级别</v>
      </c>
      <c r="R36" s="3874" t="s">
        <v>13</v>
      </c>
      <c r="S36" s="3876">
        <f t="shared" si="10"/>
        <v>100</v>
      </c>
      <c r="T36" s="3874" t="s">
        <v>13</v>
      </c>
      <c r="U36" s="3876">
        <f t="shared" si="11"/>
        <v>100</v>
      </c>
      <c r="V36" s="3874" t="s">
        <v>13</v>
      </c>
      <c r="W36" s="3876">
        <f t="shared" si="12"/>
        <v>100</v>
      </c>
      <c r="X36" s="935"/>
      <c r="Y36" s="4599"/>
      <c r="Z36" s="933" t="str">
        <f t="shared" si="13"/>
        <v>土地级别</v>
      </c>
      <c r="AA36" s="933">
        <f t="shared" si="3"/>
        <v>1</v>
      </c>
      <c r="AB36" s="933">
        <f t="shared" si="4"/>
        <v>1</v>
      </c>
      <c r="AC36" s="933">
        <f t="shared" si="5"/>
        <v>1</v>
      </c>
    </row>
    <row r="37" spans="1:29" ht="15">
      <c r="A37" s="3203"/>
      <c r="B37" s="2877">
        <v>111</v>
      </c>
      <c r="C37" s="3207"/>
      <c r="D37" s="2967">
        <v>100</v>
      </c>
      <c r="E37" s="3224"/>
      <c r="F37" s="3839">
        <f>SUMIF(111:111,E37,112:112)-SUMIF(111:111,C37,112:112)+100</f>
        <v>100</v>
      </c>
      <c r="G37" s="3224"/>
      <c r="H37" s="3839">
        <f>SUMIF(111:111,G37,112:112)-SUMIF(111:111,C37,112:112)+100</f>
        <v>100</v>
      </c>
      <c r="I37" s="3207"/>
      <c r="J37" s="3839">
        <f>SUMIF(111:111,I37,112:112)-SUMIF(111:111,C37,112:112)+100</f>
        <v>100</v>
      </c>
      <c r="K37" s="2935"/>
      <c r="L37" s="2013"/>
      <c r="M37" s="2008"/>
      <c r="N37" s="2008"/>
      <c r="O37" s="2063"/>
      <c r="P37" s="4694"/>
      <c r="Q37" s="1533">
        <f t="shared" si="8"/>
        <v>111</v>
      </c>
      <c r="R37" s="3874" t="s">
        <v>13</v>
      </c>
      <c r="S37" s="3876">
        <f t="shared" si="10"/>
        <v>100</v>
      </c>
      <c r="T37" s="3874" t="s">
        <v>13</v>
      </c>
      <c r="U37" s="3876">
        <f t="shared" si="11"/>
        <v>100</v>
      </c>
      <c r="V37" s="3874" t="s">
        <v>13</v>
      </c>
      <c r="W37" s="3876">
        <f t="shared" si="12"/>
        <v>100</v>
      </c>
      <c r="X37" s="935"/>
      <c r="Y37" s="4599"/>
      <c r="Z37" s="933">
        <f t="shared" si="13"/>
        <v>111</v>
      </c>
      <c r="AA37" s="933">
        <f t="shared" si="3"/>
        <v>1</v>
      </c>
      <c r="AB37" s="933">
        <f t="shared" si="4"/>
        <v>1</v>
      </c>
      <c r="AC37" s="933">
        <f t="shared" si="5"/>
        <v>1</v>
      </c>
    </row>
    <row r="38" spans="1:29" ht="15">
      <c r="A38" s="3208"/>
      <c r="B38" s="3209">
        <v>111</v>
      </c>
      <c r="C38" s="3207"/>
      <c r="D38" s="2967">
        <v>100</v>
      </c>
      <c r="E38" s="3224"/>
      <c r="F38" s="3839">
        <f>SUMIF(113:113,E39,114:114)-SUMIF(113:113,C39,114:114)+100</f>
        <v>100</v>
      </c>
      <c r="G38" s="3224"/>
      <c r="H38" s="3839">
        <f>SUMIF(113:113,G38,114:114)-SUMIF(113:113,C38,114:114)+100</f>
        <v>100</v>
      </c>
      <c r="I38" s="3207"/>
      <c r="J38" s="3839">
        <f>SUMIF(113:113,I38,114:114)-SUMIF(113:113,C38,114:114)+100</f>
        <v>100</v>
      </c>
      <c r="K38" s="2935"/>
      <c r="L38" s="2013"/>
      <c r="M38" s="2008"/>
      <c r="N38" s="2008"/>
      <c r="O38" s="2063"/>
      <c r="P38" s="4695" t="s">
        <v>1608</v>
      </c>
      <c r="Q38" s="1533">
        <f t="shared" si="8"/>
        <v>111</v>
      </c>
      <c r="R38" s="3874" t="s">
        <v>13</v>
      </c>
      <c r="S38" s="3876">
        <f t="shared" si="10"/>
        <v>100</v>
      </c>
      <c r="T38" s="3874" t="s">
        <v>13</v>
      </c>
      <c r="U38" s="3876">
        <f t="shared" si="11"/>
        <v>100</v>
      </c>
      <c r="V38" s="3874" t="s">
        <v>13</v>
      </c>
      <c r="W38" s="3876">
        <f t="shared" si="12"/>
        <v>100</v>
      </c>
      <c r="X38" s="935"/>
      <c r="Y38" s="4603" t="s">
        <v>1608</v>
      </c>
      <c r="Z38" s="933">
        <f t="shared" si="13"/>
        <v>111</v>
      </c>
      <c r="AA38" s="933">
        <f t="shared" si="3"/>
        <v>1</v>
      </c>
      <c r="AB38" s="933">
        <f t="shared" si="4"/>
        <v>1</v>
      </c>
      <c r="AC38" s="933">
        <f t="shared" si="5"/>
        <v>1</v>
      </c>
    </row>
    <row r="39" spans="1:29" s="279" customFormat="1" ht="15.75" thickBot="1">
      <c r="A39" s="3210"/>
      <c r="B39" s="3211">
        <v>111</v>
      </c>
      <c r="C39" s="3212"/>
      <c r="D39" s="3219">
        <v>100</v>
      </c>
      <c r="E39" s="3225"/>
      <c r="F39" s="3841">
        <f>SUMIF(115:115,E39,116:116)-SUMIF(115:115,C39,116:116)+100</f>
        <v>100</v>
      </c>
      <c r="G39" s="3225"/>
      <c r="H39" s="3841">
        <f>SUMIF(115:115,G39,116:116)-SUMIF(115:115,C39,116:116)+100</f>
        <v>100</v>
      </c>
      <c r="I39" s="3212"/>
      <c r="J39" s="3841">
        <f>SUMIF(115:115,I39,116:116)-SUMIF(115:115,C39,116:116)+100</f>
        <v>100</v>
      </c>
      <c r="K39" s="2935"/>
      <c r="L39" s="2012"/>
      <c r="M39" s="2014"/>
      <c r="N39" s="2014"/>
      <c r="O39" s="2064"/>
      <c r="P39" s="4696"/>
      <c r="Q39" s="1533">
        <f t="shared" si="8"/>
        <v>111</v>
      </c>
      <c r="R39" s="3875" t="s">
        <v>13</v>
      </c>
      <c r="S39" s="3877">
        <f t="shared" si="10"/>
        <v>100</v>
      </c>
      <c r="T39" s="3875" t="s">
        <v>13</v>
      </c>
      <c r="U39" s="3877">
        <f t="shared" si="11"/>
        <v>100</v>
      </c>
      <c r="V39" s="3875" t="s">
        <v>13</v>
      </c>
      <c r="W39" s="3877">
        <f t="shared" si="12"/>
        <v>100</v>
      </c>
      <c r="X39" s="484"/>
      <c r="Y39" s="4603"/>
      <c r="Z39" s="485">
        <f t="shared" si="13"/>
        <v>111</v>
      </c>
      <c r="AA39" s="933">
        <f t="shared" si="3"/>
        <v>1</v>
      </c>
      <c r="AB39" s="933">
        <f t="shared" si="4"/>
        <v>1</v>
      </c>
      <c r="AC39" s="933">
        <f t="shared" si="5"/>
        <v>1</v>
      </c>
    </row>
    <row r="40" spans="1:29" ht="15">
      <c r="A40" s="3213" t="s">
        <v>1606</v>
      </c>
      <c r="B40" s="2875" t="s">
        <v>1786</v>
      </c>
      <c r="C40" s="3214"/>
      <c r="D40" s="2974">
        <v>100</v>
      </c>
      <c r="E40" s="3214"/>
      <c r="F40" s="3846" t="e">
        <f>LOOKUP(E40,118:118,119:119)-LOOKUP(C40,118:118,119:119)+100</f>
        <v>#N/A</v>
      </c>
      <c r="G40" s="3214"/>
      <c r="H40" s="3846" t="e">
        <f>LOOKUP(G40,118:118,119:119)-LOOKUP(C40,118:118,119:119)+100</f>
        <v>#N/A</v>
      </c>
      <c r="I40" s="3227"/>
      <c r="J40" s="3846" t="e">
        <f>LOOKUP(I40,118:118,119:119)-LOOKUP(C40,118:118,119:119)+100</f>
        <v>#N/A</v>
      </c>
      <c r="K40" s="2935"/>
      <c r="L40" s="2013"/>
      <c r="M40" s="2008"/>
      <c r="N40" s="2008"/>
      <c r="O40" s="2063"/>
      <c r="P40" s="4696"/>
      <c r="Q40" s="1533" t="str">
        <f>B40</f>
        <v>宗地面积</v>
      </c>
      <c r="R40" s="3874" t="s">
        <v>13</v>
      </c>
      <c r="S40" s="3876" t="e">
        <f t="shared" si="10"/>
        <v>#N/A</v>
      </c>
      <c r="T40" s="3874" t="s">
        <v>13</v>
      </c>
      <c r="U40" s="3876" t="e">
        <f t="shared" si="11"/>
        <v>#N/A</v>
      </c>
      <c r="V40" s="3874" t="s">
        <v>13</v>
      </c>
      <c r="W40" s="3876" t="e">
        <f t="shared" si="12"/>
        <v>#N/A</v>
      </c>
      <c r="X40" s="935"/>
      <c r="Y40" s="4603"/>
      <c r="Z40" s="933" t="str">
        <f t="shared" si="13"/>
        <v>宗地面积</v>
      </c>
      <c r="AA40" s="933" t="e">
        <f t="shared" si="3"/>
        <v>#N/A</v>
      </c>
      <c r="AB40" s="933" t="e">
        <f t="shared" si="4"/>
        <v>#N/A</v>
      </c>
      <c r="AC40" s="933" t="e">
        <f t="shared" si="5"/>
        <v>#N/A</v>
      </c>
    </row>
    <row r="41" spans="1:29" ht="15">
      <c r="A41" s="3213"/>
      <c r="B41" s="2866" t="s">
        <v>1787</v>
      </c>
      <c r="C41" s="2903"/>
      <c r="D41" s="2967">
        <v>100</v>
      </c>
      <c r="E41" s="2903"/>
      <c r="F41" s="3839">
        <f>SUMIF(120:120,E41,121:121)-SUMIF(120:120,C41,121:121)+100</f>
        <v>100</v>
      </c>
      <c r="G41" s="2903"/>
      <c r="H41" s="3839">
        <f>SUMIF(120:120,G41,121:121)-SUMIF(120:120,C41,121:121)+100</f>
        <v>100</v>
      </c>
      <c r="I41" s="2903"/>
      <c r="J41" s="3839">
        <f>SUMIF(120:120,I41,121:121)-SUMIF(120:120,C41,121:121)+100</f>
        <v>100</v>
      </c>
      <c r="K41" s="2934"/>
      <c r="L41" s="2013"/>
      <c r="M41" s="2008"/>
      <c r="N41" s="2008"/>
      <c r="O41" s="2063"/>
      <c r="P41" s="4696"/>
      <c r="Q41" s="1533" t="str">
        <f t="shared" ref="Q41:Q47" si="14">B41</f>
        <v>宗地形状</v>
      </c>
      <c r="R41" s="3874" t="s">
        <v>13</v>
      </c>
      <c r="S41" s="3876">
        <f t="shared" si="10"/>
        <v>100</v>
      </c>
      <c r="T41" s="3874" t="s">
        <v>13</v>
      </c>
      <c r="U41" s="3876">
        <f t="shared" si="11"/>
        <v>100</v>
      </c>
      <c r="V41" s="3874" t="s">
        <v>13</v>
      </c>
      <c r="W41" s="3876">
        <f t="shared" si="12"/>
        <v>100</v>
      </c>
      <c r="X41" s="935"/>
      <c r="Y41" s="4603"/>
      <c r="Z41" s="933" t="str">
        <f t="shared" si="13"/>
        <v>宗地形状</v>
      </c>
      <c r="AA41" s="933">
        <f t="shared" si="3"/>
        <v>1</v>
      </c>
      <c r="AB41" s="933">
        <f t="shared" si="4"/>
        <v>1</v>
      </c>
      <c r="AC41" s="933">
        <f t="shared" si="5"/>
        <v>1</v>
      </c>
    </row>
    <row r="42" spans="1:29" ht="15">
      <c r="A42" s="3213"/>
      <c r="B42" s="2866" t="s">
        <v>1788</v>
      </c>
      <c r="C42" s="2903"/>
      <c r="D42" s="2967">
        <v>100</v>
      </c>
      <c r="E42" s="2903"/>
      <c r="F42" s="3839">
        <f>SUMIF(122:122,E42,123:123)-SUMIF(122:122,C42,123:123)+100</f>
        <v>100</v>
      </c>
      <c r="G42" s="2903"/>
      <c r="H42" s="3839">
        <f>SUMIF(122:122,G42,123:123)-SUMIF(122:122,C42,123:123)+100</f>
        <v>100</v>
      </c>
      <c r="I42" s="2903"/>
      <c r="J42" s="3839">
        <f>SUMIF(122:122,I42,123:123)-SUMIF(122:122,C42,123:123)+100</f>
        <v>100</v>
      </c>
      <c r="K42" s="2934"/>
      <c r="L42" s="2013"/>
      <c r="M42" s="2008"/>
      <c r="N42" s="2008"/>
      <c r="O42" s="2063"/>
      <c r="P42" s="4696"/>
      <c r="Q42" s="1533" t="str">
        <f t="shared" si="14"/>
        <v>临街宽度及深度</v>
      </c>
      <c r="R42" s="3874" t="s">
        <v>13</v>
      </c>
      <c r="S42" s="3876">
        <f t="shared" si="10"/>
        <v>100</v>
      </c>
      <c r="T42" s="3874" t="s">
        <v>13</v>
      </c>
      <c r="U42" s="3876">
        <f t="shared" si="11"/>
        <v>100</v>
      </c>
      <c r="V42" s="3874" t="s">
        <v>13</v>
      </c>
      <c r="W42" s="3876">
        <f t="shared" si="12"/>
        <v>100</v>
      </c>
      <c r="X42" s="935"/>
      <c r="Y42" s="4603"/>
      <c r="Z42" s="933" t="str">
        <f t="shared" si="13"/>
        <v>临街宽度及深度</v>
      </c>
      <c r="AA42" s="933">
        <f t="shared" si="3"/>
        <v>1</v>
      </c>
      <c r="AB42" s="933">
        <f t="shared" si="4"/>
        <v>1</v>
      </c>
      <c r="AC42" s="933">
        <f t="shared" si="5"/>
        <v>1</v>
      </c>
    </row>
    <row r="43" spans="1:29" s="46" customFormat="1" ht="15">
      <c r="A43" s="3215"/>
      <c r="B43" s="2866" t="s">
        <v>1789</v>
      </c>
      <c r="C43" s="3216"/>
      <c r="D43" s="2965">
        <v>100</v>
      </c>
      <c r="E43" s="3216"/>
      <c r="F43" s="3839">
        <f>SUMIF(124:124,E43,125:125)-SUMIF(124:124,C43,125:125)+100</f>
        <v>100</v>
      </c>
      <c r="G43" s="3216"/>
      <c r="H43" s="3839">
        <f>SUMIF(124:124,G43,125:125)-SUMIF(124:124,C43,125:125)+100</f>
        <v>100</v>
      </c>
      <c r="I43" s="3216"/>
      <c r="J43" s="3839">
        <f>SUMIF(124:124,I43,125:125)-SUMIF(124:124,C43,125:125)+100</f>
        <v>100</v>
      </c>
      <c r="K43" s="2934"/>
      <c r="L43" s="2009"/>
      <c r="M43" s="1962"/>
      <c r="N43" s="1962"/>
      <c r="O43" s="2061"/>
      <c r="P43" s="4696"/>
      <c r="Q43" s="1533" t="str">
        <f t="shared" si="14"/>
        <v>宗地开发程度</v>
      </c>
      <c r="R43" s="3873" t="s">
        <v>13</v>
      </c>
      <c r="S43" s="3654">
        <f t="shared" si="10"/>
        <v>100</v>
      </c>
      <c r="T43" s="3873" t="s">
        <v>13</v>
      </c>
      <c r="U43" s="3654">
        <f t="shared" si="11"/>
        <v>100</v>
      </c>
      <c r="V43" s="3873" t="s">
        <v>13</v>
      </c>
      <c r="W43" s="3654">
        <f t="shared" si="12"/>
        <v>100</v>
      </c>
      <c r="X43" s="482"/>
      <c r="Y43" s="4603"/>
      <c r="Z43" s="28" t="str">
        <f t="shared" si="13"/>
        <v>宗地开发程度</v>
      </c>
      <c r="AA43" s="28">
        <f t="shared" si="3"/>
        <v>1</v>
      </c>
      <c r="AB43" s="28">
        <f t="shared" si="4"/>
        <v>1</v>
      </c>
      <c r="AC43" s="28">
        <f t="shared" si="5"/>
        <v>1</v>
      </c>
    </row>
    <row r="44" spans="1:29" ht="15">
      <c r="A44" s="3213"/>
      <c r="B44" s="2866" t="s">
        <v>1790</v>
      </c>
      <c r="C44" s="2903"/>
      <c r="D44" s="2967">
        <v>100</v>
      </c>
      <c r="E44" s="2903"/>
      <c r="F44" s="3839">
        <f>SUMIF(126:126,E44,127:127)-SUMIF(126:126,C44,127:127)+100</f>
        <v>100</v>
      </c>
      <c r="G44" s="2903"/>
      <c r="H44" s="3839">
        <f>SUMIF(126:126,G44,127:127)-SUMIF(126:126,C44,127:127)+100</f>
        <v>100</v>
      </c>
      <c r="I44" s="2903"/>
      <c r="J44" s="3839">
        <f>SUMIF(126:126,I44,127:127)-SUMIF(126:126,C44,127:127)+100</f>
        <v>100</v>
      </c>
      <c r="K44" s="2934"/>
      <c r="L44" s="2013"/>
      <c r="M44" s="2008"/>
      <c r="N44" s="2008"/>
      <c r="O44" s="2063"/>
      <c r="P44" s="4696" t="s">
        <v>1608</v>
      </c>
      <c r="Q44" s="1533" t="str">
        <f t="shared" si="14"/>
        <v>工程地质条件</v>
      </c>
      <c r="R44" s="3874" t="s">
        <v>13</v>
      </c>
      <c r="S44" s="3876">
        <f t="shared" si="10"/>
        <v>100</v>
      </c>
      <c r="T44" s="3874" t="s">
        <v>13</v>
      </c>
      <c r="U44" s="3876">
        <f t="shared" si="11"/>
        <v>100</v>
      </c>
      <c r="V44" s="3874" t="s">
        <v>13</v>
      </c>
      <c r="W44" s="3876">
        <f t="shared" si="12"/>
        <v>100</v>
      </c>
      <c r="X44" s="935"/>
      <c r="Y44" s="4603" t="s">
        <v>1608</v>
      </c>
      <c r="Z44" s="933" t="str">
        <f t="shared" si="13"/>
        <v>工程地质条件</v>
      </c>
      <c r="AA44" s="933">
        <f t="shared" si="3"/>
        <v>1</v>
      </c>
      <c r="AB44" s="933">
        <f t="shared" si="4"/>
        <v>1</v>
      </c>
      <c r="AC44" s="933">
        <f t="shared" si="5"/>
        <v>1</v>
      </c>
    </row>
    <row r="45" spans="1:29" ht="15">
      <c r="A45" s="3213"/>
      <c r="B45" s="3209">
        <v>111</v>
      </c>
      <c r="C45" s="3207"/>
      <c r="D45" s="2967">
        <v>100</v>
      </c>
      <c r="E45" s="3207"/>
      <c r="F45" s="3839">
        <f>SUMIF(128:128,E45,129:129)-SUMIF(128:128,C45,129:129)+100</f>
        <v>100</v>
      </c>
      <c r="G45" s="3207"/>
      <c r="H45" s="3839">
        <f>SUMIF(128:128,G45,129:129)-SUMIF(128:128,C45,129:129)+100</f>
        <v>100</v>
      </c>
      <c r="I45" s="3221"/>
      <c r="J45" s="3839">
        <f>SUMIF(128:128,I45,129:129)-SUMIF(128:128,C45,129:129)+100</f>
        <v>100</v>
      </c>
      <c r="K45" s="2935"/>
      <c r="L45" s="2013"/>
      <c r="M45" s="2008"/>
      <c r="N45" s="2008"/>
      <c r="O45" s="2063"/>
      <c r="P45" s="4696"/>
      <c r="Q45" s="1533">
        <f t="shared" si="14"/>
        <v>111</v>
      </c>
      <c r="R45" s="3874" t="s">
        <v>13</v>
      </c>
      <c r="S45" s="3876">
        <f t="shared" si="10"/>
        <v>100</v>
      </c>
      <c r="T45" s="3874" t="s">
        <v>13</v>
      </c>
      <c r="U45" s="3876">
        <f t="shared" si="11"/>
        <v>100</v>
      </c>
      <c r="V45" s="3874" t="s">
        <v>13</v>
      </c>
      <c r="W45" s="3876">
        <f t="shared" si="12"/>
        <v>100</v>
      </c>
      <c r="X45" s="935"/>
      <c r="Y45" s="4603"/>
      <c r="Z45" s="933">
        <f t="shared" si="13"/>
        <v>111</v>
      </c>
      <c r="AA45" s="933">
        <f t="shared" si="3"/>
        <v>1</v>
      </c>
      <c r="AB45" s="933">
        <f t="shared" si="4"/>
        <v>1</v>
      </c>
      <c r="AC45" s="933">
        <f t="shared" si="5"/>
        <v>1</v>
      </c>
    </row>
    <row r="46" spans="1:29" ht="15">
      <c r="A46" s="3213"/>
      <c r="B46" s="3209">
        <v>111</v>
      </c>
      <c r="C46" s="3207"/>
      <c r="D46" s="2967">
        <v>100</v>
      </c>
      <c r="E46" s="3207"/>
      <c r="F46" s="3839">
        <f>SUMIF(130:130,E46,131:131)-SUMIF(130:130,C46,131:131)+100</f>
        <v>100</v>
      </c>
      <c r="G46" s="3207"/>
      <c r="H46" s="3839">
        <f>SUMIF(130:130,G46,131:131)-SUMIF(130:130,C46,131:131)+100</f>
        <v>100</v>
      </c>
      <c r="I46" s="3221"/>
      <c r="J46" s="3839">
        <f>SUMIF(130:130,I46,131:131)-SUMIF(130:130,C46,131:131)+100</f>
        <v>100</v>
      </c>
      <c r="K46" s="2935"/>
      <c r="L46" s="2013"/>
      <c r="M46" s="2008"/>
      <c r="N46" s="2008"/>
      <c r="O46" s="2063"/>
      <c r="P46" s="4696"/>
      <c r="Q46" s="1533">
        <f t="shared" si="14"/>
        <v>111</v>
      </c>
      <c r="R46" s="3874" t="s">
        <v>13</v>
      </c>
      <c r="S46" s="3876">
        <f t="shared" si="10"/>
        <v>100</v>
      </c>
      <c r="T46" s="3874" t="s">
        <v>13</v>
      </c>
      <c r="U46" s="3876">
        <f t="shared" si="11"/>
        <v>100</v>
      </c>
      <c r="V46" s="3874" t="s">
        <v>13</v>
      </c>
      <c r="W46" s="3876">
        <f t="shared" si="12"/>
        <v>100</v>
      </c>
      <c r="X46" s="935"/>
      <c r="Y46" s="4603"/>
      <c r="Z46" s="933">
        <f t="shared" si="13"/>
        <v>111</v>
      </c>
      <c r="AA46" s="933">
        <f t="shared" si="3"/>
        <v>1</v>
      </c>
      <c r="AB46" s="933">
        <f t="shared" si="4"/>
        <v>1</v>
      </c>
      <c r="AC46" s="933">
        <f t="shared" si="5"/>
        <v>1</v>
      </c>
    </row>
    <row r="47" spans="1:29" s="279" customFormat="1" ht="15.75" thickBot="1">
      <c r="A47" s="3217"/>
      <c r="B47" s="3209">
        <v>111</v>
      </c>
      <c r="C47" s="3218"/>
      <c r="D47" s="3220">
        <v>100</v>
      </c>
      <c r="E47" s="3207"/>
      <c r="F47" s="3841">
        <f>SUMIF(132:132,E47,133:133)-SUMIF(132:132,C47,133:133)+100</f>
        <v>100</v>
      </c>
      <c r="G47" s="3207"/>
      <c r="H47" s="3841">
        <f>SUMIF(132:132,G47,133:133)-SUMIF(132:132,C47,133:133)+100</f>
        <v>100</v>
      </c>
      <c r="I47" s="3207"/>
      <c r="J47" s="3841">
        <f>SUMIF(132:132,I47,133:133)-SUMIF(132:132,C47,133:133)+100</f>
        <v>100</v>
      </c>
      <c r="K47" s="3258"/>
      <c r="L47" s="2012"/>
      <c r="M47" s="2014"/>
      <c r="N47" s="2014"/>
      <c r="O47" s="2064"/>
      <c r="P47" s="4696"/>
      <c r="Q47" s="1533">
        <f t="shared" si="14"/>
        <v>111</v>
      </c>
      <c r="R47" s="3875" t="s">
        <v>13</v>
      </c>
      <c r="S47" s="3877">
        <f t="shared" si="10"/>
        <v>100</v>
      </c>
      <c r="T47" s="3875" t="s">
        <v>13</v>
      </c>
      <c r="U47" s="3877">
        <f t="shared" si="11"/>
        <v>100</v>
      </c>
      <c r="V47" s="3875" t="s">
        <v>13</v>
      </c>
      <c r="W47" s="3877">
        <f t="shared" si="12"/>
        <v>100</v>
      </c>
      <c r="X47" s="484"/>
      <c r="Y47" s="4603"/>
      <c r="Z47" s="485">
        <f t="shared" si="13"/>
        <v>111</v>
      </c>
      <c r="AA47" s="933">
        <f t="shared" si="3"/>
        <v>1</v>
      </c>
      <c r="AB47" s="933">
        <f t="shared" si="4"/>
        <v>1</v>
      </c>
      <c r="AC47" s="933">
        <f t="shared" si="5"/>
        <v>1</v>
      </c>
    </row>
    <row r="48" spans="1:29" ht="15">
      <c r="A48" s="286" t="s">
        <v>1756</v>
      </c>
      <c r="B48" s="1456" t="s">
        <v>1791</v>
      </c>
      <c r="C48" s="439" t="s">
        <v>0</v>
      </c>
      <c r="D48" s="288"/>
      <c r="E48" s="3311"/>
      <c r="F48" s="3259"/>
      <c r="G48" s="3312"/>
      <c r="H48" s="3260"/>
      <c r="I48" s="3311"/>
      <c r="J48" s="3260"/>
      <c r="K48" s="2939"/>
      <c r="L48" s="2015"/>
      <c r="M48" s="2008"/>
      <c r="N48" s="2008"/>
      <c r="O48" s="2008"/>
      <c r="P48" s="4605" t="str">
        <f>A48</f>
        <v>成交单价</v>
      </c>
      <c r="Q48" s="4605"/>
      <c r="R48" s="4606">
        <f>E48</f>
        <v>0</v>
      </c>
      <c r="S48" s="4606"/>
      <c r="T48" s="4606">
        <f>G48</f>
        <v>0</v>
      </c>
      <c r="U48" s="4606"/>
      <c r="V48" s="4606">
        <f>I48</f>
        <v>0</v>
      </c>
      <c r="W48" s="4606"/>
      <c r="X48" s="265"/>
      <c r="Y48" s="486"/>
      <c r="Z48" s="265"/>
      <c r="AA48" s="265"/>
      <c r="AB48" s="265"/>
      <c r="AC48" s="265"/>
    </row>
    <row r="49" spans="1:29" ht="15.75" thickBot="1">
      <c r="A49" s="289" t="s">
        <v>1705</v>
      </c>
      <c r="B49" s="440"/>
      <c r="C49" s="3858" t="e">
        <f>R50</f>
        <v>#DIV/0!</v>
      </c>
      <c r="D49" s="3960" t="s">
        <v>2047</v>
      </c>
      <c r="E49" s="3858" t="e">
        <f>R49</f>
        <v>#DIV/0!</v>
      </c>
      <c r="F49" s="2878"/>
      <c r="G49" s="3847" t="e">
        <f>T49</f>
        <v>#DIV/0!</v>
      </c>
      <c r="H49" s="2878"/>
      <c r="I49" s="3858" t="e">
        <f>V49</f>
        <v>#DIV/0!</v>
      </c>
      <c r="J49" s="2878"/>
      <c r="K49" s="2932">
        <f>F49+H49+J49</f>
        <v>0</v>
      </c>
      <c r="L49" s="2015"/>
      <c r="M49" s="2008"/>
      <c r="N49" s="2008"/>
      <c r="O49" s="2008"/>
      <c r="P49" s="4605" t="str">
        <f>A49</f>
        <v>比较价值（元/平方米）</v>
      </c>
      <c r="Q49" s="4605"/>
      <c r="R49" s="4606" t="e">
        <f>ROUND(PRODUCT(R48,AA9:AA47),0)</f>
        <v>#DIV/0!</v>
      </c>
      <c r="S49" s="4606"/>
      <c r="T49" s="4606" t="e">
        <f>ROUND(PRODUCT(T48,AB9:AB47),0)</f>
        <v>#DIV/0!</v>
      </c>
      <c r="U49" s="4606"/>
      <c r="V49" s="4606" t="e">
        <f>ROUND(PRODUCT(V48,AC9:AC47),0)</f>
        <v>#DIV/0!</v>
      </c>
      <c r="W49" s="4606"/>
      <c r="X49" s="265"/>
      <c r="Y49" s="265"/>
      <c r="Z49" s="265"/>
      <c r="AA49" s="265"/>
      <c r="AB49" s="265"/>
      <c r="AC49" s="265"/>
    </row>
    <row r="50" spans="1:29" ht="15.75" thickBot="1">
      <c r="A50" s="291" t="s">
        <v>1792</v>
      </c>
      <c r="B50" s="292"/>
      <c r="C50" s="3859" t="e">
        <f>R50</f>
        <v>#DIV/0!</v>
      </c>
      <c r="D50" s="293"/>
      <c r="E50" s="293"/>
      <c r="F50" s="293"/>
      <c r="G50" s="293"/>
      <c r="H50" s="293"/>
      <c r="I50" s="293"/>
      <c r="J50" s="293"/>
      <c r="K50" s="3232"/>
      <c r="L50" s="2015"/>
      <c r="M50" s="2008"/>
      <c r="N50" s="2008"/>
      <c r="O50" s="2008"/>
      <c r="P50" s="4688" t="str">
        <f>A50</f>
        <v>估价对象XX用房的比较价值（楼面单价，元/平方米）</v>
      </c>
      <c r="Q50" s="4689"/>
      <c r="R50" s="4690" t="e">
        <f>ROUND(IF(D49="简单平均",AVERAGE(R49:W49),R49*F49+T49*H49+V49*J49),0)</f>
        <v>#DIV/0!</v>
      </c>
      <c r="S50" s="4690"/>
      <c r="T50" s="4690"/>
      <c r="U50" s="4690"/>
      <c r="V50" s="4690"/>
      <c r="W50" s="4690"/>
      <c r="X50" s="265"/>
      <c r="Y50" s="265"/>
      <c r="Z50" s="265"/>
      <c r="AA50" s="265"/>
      <c r="AB50" s="265"/>
      <c r="AC50" s="265"/>
    </row>
    <row r="51" spans="1:29">
      <c r="A51" s="2008"/>
      <c r="B51" s="2008"/>
      <c r="C51" s="2008"/>
      <c r="D51" s="2008"/>
      <c r="E51" s="2008"/>
      <c r="F51" s="2008"/>
      <c r="G51" s="2019"/>
      <c r="H51" s="2008"/>
      <c r="I51" s="2008"/>
      <c r="J51" s="2008"/>
      <c r="K51" s="3233"/>
      <c r="L51" s="2016"/>
      <c r="M51" s="2008"/>
      <c r="N51" s="2008"/>
      <c r="O51" s="2008"/>
      <c r="P51" s="2008"/>
      <c r="Q51" s="2008"/>
      <c r="R51" s="2008"/>
      <c r="S51" s="2008"/>
      <c r="T51" s="2008"/>
      <c r="U51" s="2008"/>
      <c r="V51" s="2008"/>
      <c r="W51" s="2008"/>
      <c r="X51" s="2008"/>
      <c r="Y51" s="2008"/>
      <c r="Z51" s="2008"/>
      <c r="AA51" s="2008"/>
      <c r="AB51" s="2008"/>
      <c r="AC51" s="2008"/>
    </row>
    <row r="52" spans="1:29">
      <c r="A52" s="2008"/>
      <c r="B52" s="2008"/>
      <c r="C52" s="2008"/>
      <c r="D52" s="2008"/>
      <c r="E52" s="2008"/>
      <c r="F52" s="2008"/>
      <c r="G52" s="2008"/>
      <c r="H52" s="2008"/>
      <c r="I52" s="2008"/>
      <c r="J52" s="2008"/>
      <c r="K52" s="3233"/>
      <c r="L52" s="2016"/>
      <c r="M52" s="2008"/>
      <c r="N52" s="2008"/>
      <c r="O52" s="2008"/>
      <c r="P52" s="2008"/>
      <c r="Q52" s="2008"/>
      <c r="R52" s="2008"/>
      <c r="S52" s="2008"/>
      <c r="T52" s="2008"/>
      <c r="U52" s="2008"/>
      <c r="V52" s="2008"/>
      <c r="W52" s="2008"/>
      <c r="X52" s="2008"/>
      <c r="Y52" s="2008"/>
      <c r="Z52" s="2008"/>
      <c r="AA52" s="2008"/>
      <c r="AB52" s="2008"/>
      <c r="AC52" s="2008"/>
    </row>
    <row r="53" spans="1:29" ht="13.5" customHeight="1">
      <c r="A53" s="2008"/>
      <c r="B53" s="2008"/>
      <c r="C53" s="296" t="s">
        <v>1707</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233"/>
      <c r="L53" s="2016"/>
      <c r="M53" s="2008"/>
      <c r="N53" s="2008"/>
      <c r="O53" s="2008"/>
      <c r="P53" s="2008"/>
      <c r="Q53" s="2008"/>
      <c r="R53" s="2008"/>
      <c r="S53" s="2008"/>
      <c r="T53" s="2008"/>
      <c r="U53" s="2008"/>
      <c r="V53" s="2008"/>
      <c r="W53" s="2008"/>
      <c r="X53" s="2008"/>
      <c r="Y53" s="2008"/>
      <c r="Z53" s="2008"/>
      <c r="AA53" s="2008"/>
      <c r="AB53" s="2008"/>
      <c r="AC53" s="2008"/>
    </row>
    <row r="54" spans="1:29" ht="13.5" customHeight="1">
      <c r="A54" s="2008"/>
      <c r="B54" s="2008"/>
      <c r="C54" s="296" t="s">
        <v>1708</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233"/>
      <c r="L54" s="2016"/>
      <c r="M54" s="2008"/>
      <c r="N54" s="2008"/>
      <c r="O54" s="2008"/>
      <c r="P54" s="2008"/>
      <c r="Q54" s="2008"/>
      <c r="R54" s="2008"/>
      <c r="S54" s="2008"/>
      <c r="T54" s="2008"/>
      <c r="U54" s="2008"/>
      <c r="V54" s="2008"/>
      <c r="W54" s="2008"/>
      <c r="X54" s="2008"/>
      <c r="Y54" s="2008"/>
      <c r="Z54" s="2008"/>
      <c r="AA54" s="2008"/>
      <c r="AB54" s="2008"/>
      <c r="AC54" s="2008"/>
    </row>
    <row r="55" spans="1:29" s="301" customFormat="1" ht="13.5" customHeight="1">
      <c r="A55" s="2018"/>
      <c r="B55" s="2018"/>
      <c r="C55" s="296" t="s">
        <v>1709</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234"/>
      <c r="L55" s="2017"/>
      <c r="M55" s="2018"/>
      <c r="N55" s="2018"/>
      <c r="O55" s="2018"/>
      <c r="P55" s="2018"/>
      <c r="Q55" s="2018"/>
      <c r="R55" s="2018"/>
      <c r="S55" s="2018"/>
      <c r="T55" s="2018"/>
      <c r="U55" s="2018"/>
      <c r="V55" s="2018"/>
      <c r="W55" s="2018"/>
      <c r="X55" s="2018"/>
      <c r="Y55" s="2018"/>
      <c r="Z55" s="2018"/>
      <c r="AA55" s="2018"/>
      <c r="AB55" s="2018"/>
      <c r="AC55" s="2018"/>
    </row>
    <row r="56" spans="1:29" s="301" customFormat="1" ht="15" thickBot="1">
      <c r="A56" s="2018"/>
      <c r="B56" s="2021"/>
      <c r="C56" s="475"/>
      <c r="D56" s="473"/>
      <c r="E56" s="473"/>
      <c r="F56" s="473"/>
      <c r="G56" s="473"/>
      <c r="H56" s="473"/>
      <c r="I56" s="473"/>
      <c r="J56" s="473"/>
      <c r="K56" s="3234"/>
      <c r="L56" s="2017"/>
      <c r="M56" s="2018"/>
      <c r="N56" s="2018"/>
      <c r="O56" s="2018"/>
      <c r="P56" s="2018"/>
      <c r="Q56" s="2018"/>
      <c r="R56" s="2018"/>
      <c r="S56" s="2018"/>
      <c r="T56" s="2018"/>
      <c r="U56" s="2018"/>
      <c r="V56" s="2018"/>
      <c r="W56" s="2018"/>
      <c r="X56" s="2018"/>
      <c r="Y56" s="2018"/>
      <c r="Z56" s="2018"/>
      <c r="AA56" s="2018"/>
      <c r="AB56" s="2018"/>
      <c r="AC56" s="2018"/>
    </row>
    <row r="57" spans="1:29" ht="27" customHeight="1">
      <c r="A57" s="441" t="s">
        <v>1793</v>
      </c>
      <c r="B57" s="442" t="s">
        <v>1794</v>
      </c>
      <c r="C57" s="1457" t="s">
        <v>1795</v>
      </c>
      <c r="D57" s="1458" t="s">
        <v>1796</v>
      </c>
      <c r="E57" s="443" t="s">
        <v>1797</v>
      </c>
      <c r="F57" s="595" t="s">
        <v>1798</v>
      </c>
      <c r="G57" s="4573" t="s">
        <v>1799</v>
      </c>
      <c r="H57" s="4710"/>
      <c r="I57" s="50" t="s">
        <v>1800</v>
      </c>
      <c r="J57" s="1459">
        <f>项目基本情况!F35</f>
        <v>0</v>
      </c>
      <c r="K57" s="1460" t="s">
        <v>1801</v>
      </c>
      <c r="L57" s="2016"/>
      <c r="M57" s="2008"/>
      <c r="N57" s="2008"/>
      <c r="O57" s="2008"/>
      <c r="P57" s="2008"/>
      <c r="Q57" s="2008"/>
      <c r="R57" s="2008"/>
      <c r="S57" s="2008"/>
      <c r="T57" s="2008"/>
      <c r="U57" s="2008"/>
      <c r="V57" s="2008"/>
      <c r="W57" s="2008"/>
      <c r="X57" s="2008"/>
      <c r="Y57" s="2008"/>
      <c r="Z57" s="2008"/>
      <c r="AA57" s="2008"/>
      <c r="AB57" s="2008"/>
      <c r="AC57" s="2008"/>
    </row>
    <row r="58" spans="1:29" s="446" customFormat="1">
      <c r="A58" s="445" t="s">
        <v>1802</v>
      </c>
      <c r="B58" s="3887" t="e">
        <f>C50</f>
        <v>#DIV/0!</v>
      </c>
      <c r="C58" s="2908">
        <v>1</v>
      </c>
      <c r="D58" s="3171">
        <v>1</v>
      </c>
      <c r="E58" s="3170">
        <f>'数据-汇总表'!E8+'数据-汇总表'!E9</f>
        <v>50813.86</v>
      </c>
      <c r="F58" s="3192" t="e">
        <f t="shared" ref="F58:F66" si="15">ROUND(B58*E58/10000,0)</f>
        <v>#DIV/0!</v>
      </c>
      <c r="G58" s="4711"/>
      <c r="H58" s="4698"/>
      <c r="I58" s="3187">
        <v>1</v>
      </c>
      <c r="J58" s="3188">
        <v>1</v>
      </c>
      <c r="K58" s="3235"/>
      <c r="L58" s="2067"/>
      <c r="M58" s="2067"/>
      <c r="N58" s="2067"/>
      <c r="O58" s="2067"/>
      <c r="P58" s="2067"/>
      <c r="Q58" s="2067"/>
      <c r="R58" s="2067"/>
      <c r="S58" s="2067"/>
      <c r="T58" s="2067"/>
      <c r="U58" s="2067"/>
      <c r="V58" s="2067"/>
      <c r="W58" s="2067"/>
      <c r="X58" s="2067"/>
      <c r="Y58" s="2067"/>
      <c r="Z58" s="2067"/>
      <c r="AA58" s="2067"/>
      <c r="AB58" s="2067"/>
      <c r="AC58" s="2067"/>
    </row>
    <row r="59" spans="1:29" s="446" customFormat="1">
      <c r="A59" s="447" t="s">
        <v>1803</v>
      </c>
      <c r="B59" s="3887" t="e">
        <f>ROUND($C$50*C59*D59,0)</f>
        <v>#DIV/0!</v>
      </c>
      <c r="C59" s="3169">
        <f t="shared" ref="C59:C66" si="16">IF($C$57="北京市系数",I59,J59)</f>
        <v>0</v>
      </c>
      <c r="D59" s="3172">
        <v>0.25</v>
      </c>
      <c r="E59" s="3174"/>
      <c r="F59" s="3192" t="e">
        <f t="shared" si="15"/>
        <v>#DIV/0!</v>
      </c>
      <c r="G59" s="2215" t="s">
        <v>1804</v>
      </c>
      <c r="H59" s="592">
        <f>项目基本情况!B37</f>
        <v>0</v>
      </c>
      <c r="I59" s="3187">
        <f>SUMIF(修正!A59:A70,H59,修正!B59:B70)</f>
        <v>0</v>
      </c>
      <c r="J59" s="3189"/>
      <c r="K59" s="3236"/>
      <c r="L59" s="2067"/>
      <c r="M59" s="2067"/>
      <c r="N59" s="2067"/>
      <c r="O59" s="2067"/>
      <c r="P59" s="2067"/>
      <c r="Q59" s="2067"/>
      <c r="R59" s="2067"/>
      <c r="S59" s="2067"/>
      <c r="T59" s="2067"/>
      <c r="U59" s="2067"/>
      <c r="V59" s="2067"/>
      <c r="W59" s="2067"/>
      <c r="X59" s="2067"/>
      <c r="Y59" s="2067"/>
      <c r="Z59" s="2067"/>
      <c r="AA59" s="2067"/>
      <c r="AB59" s="2067"/>
      <c r="AC59" s="2067"/>
    </row>
    <row r="60" spans="1:29" s="446" customFormat="1">
      <c r="A60" s="447" t="s">
        <v>1805</v>
      </c>
      <c r="B60" s="3887" t="e">
        <f t="shared" ref="B60:B66" si="17">ROUND($C$50*C60*D60,0)</f>
        <v>#DIV/0!</v>
      </c>
      <c r="C60" s="3169">
        <f t="shared" si="16"/>
        <v>0</v>
      </c>
      <c r="D60" s="3172">
        <v>0.25</v>
      </c>
      <c r="E60" s="3174"/>
      <c r="F60" s="3192" t="e">
        <f t="shared" si="15"/>
        <v>#DIV/0!</v>
      </c>
      <c r="G60" s="2216"/>
      <c r="H60" s="592">
        <f>项目基本情况!B37</f>
        <v>0</v>
      </c>
      <c r="I60" s="3187">
        <f>SUMIF(修正!A59:A70,H60,修正!C59:C70)</f>
        <v>0</v>
      </c>
      <c r="J60" s="3189"/>
      <c r="K60" s="3235"/>
      <c r="L60" s="2067"/>
      <c r="M60" s="2067"/>
      <c r="N60" s="2067"/>
      <c r="O60" s="2067"/>
      <c r="P60" s="2067"/>
      <c r="Q60" s="2067"/>
      <c r="R60" s="2067"/>
      <c r="S60" s="2067"/>
      <c r="T60" s="2067"/>
      <c r="U60" s="2067"/>
      <c r="V60" s="2067"/>
      <c r="W60" s="2067"/>
      <c r="X60" s="2067"/>
      <c r="Y60" s="2067"/>
      <c r="Z60" s="2067"/>
      <c r="AA60" s="2067"/>
      <c r="AB60" s="2067"/>
      <c r="AC60" s="2067"/>
    </row>
    <row r="61" spans="1:29" s="446" customFormat="1">
      <c r="A61" s="447" t="s">
        <v>1806</v>
      </c>
      <c r="B61" s="3887" t="e">
        <f t="shared" si="17"/>
        <v>#DIV/0!</v>
      </c>
      <c r="C61" s="3169">
        <f t="shared" si="16"/>
        <v>0</v>
      </c>
      <c r="D61" s="3172">
        <v>0.25</v>
      </c>
      <c r="E61" s="3174"/>
      <c r="F61" s="3192" t="e">
        <f t="shared" si="15"/>
        <v>#DIV/0!</v>
      </c>
      <c r="G61" s="2216"/>
      <c r="H61" s="592">
        <f>项目基本情况!B37</f>
        <v>0</v>
      </c>
      <c r="I61" s="3187">
        <f>SUMIF(修正!A59:A70,H61,修正!D59:D70)</f>
        <v>0</v>
      </c>
      <c r="J61" s="3189"/>
      <c r="K61" s="3236"/>
      <c r="L61" s="2067"/>
      <c r="M61" s="2067"/>
      <c r="N61" s="2067"/>
      <c r="O61" s="2067"/>
      <c r="P61" s="2067"/>
      <c r="Q61" s="2067"/>
      <c r="R61" s="2067"/>
      <c r="S61" s="2067"/>
      <c r="T61" s="2067"/>
      <c r="U61" s="2067"/>
      <c r="V61" s="2067"/>
      <c r="W61" s="2067"/>
      <c r="X61" s="2067"/>
      <c r="Y61" s="2067"/>
      <c r="Z61" s="2067"/>
      <c r="AA61" s="2067"/>
      <c r="AB61" s="2067"/>
      <c r="AC61" s="2067"/>
    </row>
    <row r="62" spans="1:29" s="446" customFormat="1">
      <c r="A62" s="447" t="s">
        <v>1807</v>
      </c>
      <c r="B62" s="3887" t="e">
        <f t="shared" si="17"/>
        <v>#DIV/0!</v>
      </c>
      <c r="C62" s="3169">
        <f t="shared" si="16"/>
        <v>0</v>
      </c>
      <c r="D62" s="3172">
        <v>0.25</v>
      </c>
      <c r="E62" s="3175">
        <f>'数据-汇总表'!E11</f>
        <v>0</v>
      </c>
      <c r="F62" s="3192" t="e">
        <f t="shared" si="15"/>
        <v>#DIV/0!</v>
      </c>
      <c r="G62" s="3184" t="s">
        <v>1808</v>
      </c>
      <c r="H62" s="592">
        <f>项目基本情况!C37</f>
        <v>0</v>
      </c>
      <c r="I62" s="3187">
        <f>SUMIF(修正!A59:A70,H62,修正!E59:E70)</f>
        <v>0</v>
      </c>
      <c r="J62" s="3189"/>
      <c r="K62" s="3236"/>
      <c r="L62" s="2067"/>
      <c r="M62" s="2067"/>
      <c r="N62" s="2067"/>
      <c r="O62" s="2067"/>
      <c r="P62" s="2067"/>
      <c r="Q62" s="2067"/>
      <c r="R62" s="2067"/>
      <c r="S62" s="2067"/>
      <c r="T62" s="2067"/>
      <c r="U62" s="2067"/>
      <c r="V62" s="2067"/>
      <c r="W62" s="2067"/>
      <c r="X62" s="2067"/>
      <c r="Y62" s="2067"/>
      <c r="Z62" s="2067"/>
      <c r="AA62" s="2067"/>
      <c r="AB62" s="2067"/>
      <c r="AC62" s="2067"/>
    </row>
    <row r="63" spans="1:29" s="446" customFormat="1">
      <c r="A63" s="447" t="s">
        <v>1809</v>
      </c>
      <c r="B63" s="3887" t="e">
        <f t="shared" si="17"/>
        <v>#DIV/0!</v>
      </c>
      <c r="C63" s="3169">
        <f t="shared" si="16"/>
        <v>0</v>
      </c>
      <c r="D63" s="3172">
        <v>0.25</v>
      </c>
      <c r="E63" s="3175">
        <f>'数据-汇总表'!E12</f>
        <v>195.18</v>
      </c>
      <c r="F63" s="3192" t="e">
        <f t="shared" si="15"/>
        <v>#DIV/0!</v>
      </c>
      <c r="G63" s="3185" t="s">
        <v>1810</v>
      </c>
      <c r="H63" s="592">
        <f>IF(G63="商业",项目基本情况!B37,IF(G63="办公",项目基本情况!C37,IF(G63="住宅",项目基本情况!D37,项目基本情况!E37)))</f>
        <v>0</v>
      </c>
      <c r="I63" s="3187">
        <f>SUMIF(修正!A59:A70,H63,修正!F59:F70)</f>
        <v>0</v>
      </c>
      <c r="J63" s="3189"/>
      <c r="K63" s="3235"/>
      <c r="L63" s="2067"/>
      <c r="M63" s="2067"/>
      <c r="N63" s="2067"/>
      <c r="O63" s="2067"/>
      <c r="P63" s="2067"/>
      <c r="Q63" s="2067"/>
      <c r="R63" s="2067"/>
      <c r="S63" s="2067"/>
      <c r="T63" s="2067"/>
      <c r="U63" s="2067"/>
      <c r="V63" s="2067"/>
      <c r="W63" s="2067"/>
      <c r="X63" s="2067"/>
      <c r="Y63" s="2067"/>
      <c r="Z63" s="2067"/>
      <c r="AA63" s="2067"/>
      <c r="AB63" s="2067"/>
      <c r="AC63" s="2067"/>
    </row>
    <row r="64" spans="1:29" s="446" customFormat="1">
      <c r="A64" s="447" t="s">
        <v>1811</v>
      </c>
      <c r="B64" s="3887" t="e">
        <f t="shared" si="17"/>
        <v>#DIV/0!</v>
      </c>
      <c r="C64" s="3169">
        <f t="shared" si="16"/>
        <v>0</v>
      </c>
      <c r="D64" s="3172">
        <v>0.25</v>
      </c>
      <c r="E64" s="3175">
        <f>'数据-汇总表'!E13</f>
        <v>0</v>
      </c>
      <c r="F64" s="3192" t="e">
        <f t="shared" si="15"/>
        <v>#DIV/0!</v>
      </c>
      <c r="G64" s="3185" t="s">
        <v>1812</v>
      </c>
      <c r="H64" s="592">
        <f>IF(G64="商业",项目基本情况!B37,IF(G64="办公",项目基本情况!C37,IF(G64="住宅",项目基本情况!D37,项目基本情况!E37)))</f>
        <v>0</v>
      </c>
      <c r="I64" s="3187">
        <f>SUMIF(修正!A59:A70,H64,修正!G59:G70)</f>
        <v>0</v>
      </c>
      <c r="J64" s="3189"/>
      <c r="K64" s="3236"/>
      <c r="L64" s="2067"/>
      <c r="M64" s="2067"/>
      <c r="N64" s="2067"/>
      <c r="O64" s="2067"/>
      <c r="P64" s="2067"/>
      <c r="Q64" s="2067"/>
      <c r="R64" s="2067"/>
      <c r="S64" s="2067"/>
      <c r="T64" s="2067"/>
      <c r="U64" s="2067"/>
      <c r="V64" s="2067"/>
      <c r="W64" s="2067"/>
      <c r="X64" s="2067"/>
      <c r="Y64" s="2067"/>
      <c r="Z64" s="2067"/>
      <c r="AA64" s="2067"/>
      <c r="AB64" s="2067"/>
      <c r="AC64" s="2067"/>
    </row>
    <row r="65" spans="1:29" s="446" customFormat="1">
      <c r="A65" s="447" t="s">
        <v>1813</v>
      </c>
      <c r="B65" s="3887" t="e">
        <f t="shared" si="17"/>
        <v>#DIV/0!</v>
      </c>
      <c r="C65" s="3169">
        <f t="shared" si="16"/>
        <v>0</v>
      </c>
      <c r="D65" s="3172">
        <v>0.25</v>
      </c>
      <c r="E65" s="3175">
        <f>'数据-汇总表'!E14</f>
        <v>0</v>
      </c>
      <c r="F65" s="3192" t="e">
        <f t="shared" si="15"/>
        <v>#DIV/0!</v>
      </c>
      <c r="G65" s="3184" t="s">
        <v>1804</v>
      </c>
      <c r="H65" s="592">
        <f>项目基本情况!B37</f>
        <v>0</v>
      </c>
      <c r="I65" s="3187">
        <f>SUMIF(修正!A59:A70,H65,修正!G59:G70)</f>
        <v>0</v>
      </c>
      <c r="J65" s="3189"/>
      <c r="K65" s="3235"/>
      <c r="L65" s="2067"/>
      <c r="M65" s="2067"/>
      <c r="N65" s="2067"/>
      <c r="O65" s="2067"/>
      <c r="P65" s="2067"/>
      <c r="Q65" s="2067"/>
      <c r="R65" s="2067"/>
      <c r="S65" s="2067"/>
      <c r="T65" s="2067"/>
      <c r="U65" s="2067"/>
      <c r="V65" s="2067"/>
      <c r="W65" s="2067"/>
      <c r="X65" s="2067"/>
      <c r="Y65" s="2067"/>
      <c r="Z65" s="2067"/>
      <c r="AA65" s="2067"/>
      <c r="AB65" s="2067"/>
      <c r="AC65" s="2067"/>
    </row>
    <row r="66" spans="1:29" s="446" customFormat="1" ht="15" thickBot="1">
      <c r="A66" s="447" t="s">
        <v>1814</v>
      </c>
      <c r="B66" s="3887" t="e">
        <f t="shared" si="17"/>
        <v>#DIV/0!</v>
      </c>
      <c r="C66" s="3169">
        <f t="shared" si="16"/>
        <v>0</v>
      </c>
      <c r="D66" s="3172">
        <v>0.25</v>
      </c>
      <c r="E66" s="3175">
        <f>'数据-汇总表'!E15</f>
        <v>4784.37</v>
      </c>
      <c r="F66" s="3192" t="e">
        <f t="shared" si="15"/>
        <v>#DIV/0!</v>
      </c>
      <c r="G66" s="3186" t="s">
        <v>1808</v>
      </c>
      <c r="H66" s="596">
        <f>项目基本情况!C37</f>
        <v>0</v>
      </c>
      <c r="I66" s="3190">
        <f>SUMIF(修正!A59:A70,H66,修正!G59:G70)</f>
        <v>0</v>
      </c>
      <c r="J66" s="3191"/>
      <c r="K66" s="3236"/>
      <c r="L66" s="2067"/>
      <c r="M66" s="2067"/>
      <c r="N66" s="2067"/>
      <c r="O66" s="2067"/>
      <c r="P66" s="2067"/>
      <c r="Q66" s="2067"/>
      <c r="R66" s="2067"/>
      <c r="S66" s="2067"/>
      <c r="T66" s="2067"/>
      <c r="U66" s="2067"/>
      <c r="V66" s="2067"/>
      <c r="W66" s="2067"/>
      <c r="X66" s="2067"/>
      <c r="Y66" s="2067"/>
      <c r="Z66" s="2067"/>
      <c r="AA66" s="2067"/>
      <c r="AB66" s="2067"/>
      <c r="AC66" s="2067"/>
    </row>
    <row r="67" spans="1:29" s="446" customFormat="1" ht="13.5" thickBot="1">
      <c r="A67" s="448" t="s">
        <v>1815</v>
      </c>
      <c r="B67" s="449" t="s">
        <v>20</v>
      </c>
      <c r="C67" s="449" t="s">
        <v>21</v>
      </c>
      <c r="D67" s="3193" t="s">
        <v>386</v>
      </c>
      <c r="E67" s="3176">
        <f>IF(B48="楼面地价",SUM(E58:E66),'数据-汇总表'!D3)</f>
        <v>55793.41</v>
      </c>
      <c r="F67" s="3177" t="e">
        <f>IF(B48="楼面地价",SUM(F58:F66),ROUND(C50*E67/10000,0))</f>
        <v>#DIV/0!</v>
      </c>
      <c r="G67" s="489"/>
      <c r="H67" s="489"/>
      <c r="I67" s="489"/>
      <c r="J67" s="489"/>
      <c r="K67" s="3237"/>
      <c r="L67" s="2067"/>
      <c r="M67" s="2067"/>
      <c r="N67" s="2067"/>
      <c r="O67" s="2067"/>
      <c r="P67" s="2067"/>
      <c r="Q67" s="2067"/>
      <c r="R67" s="2067"/>
      <c r="S67" s="2067"/>
      <c r="T67" s="2067"/>
      <c r="U67" s="2067"/>
      <c r="V67" s="2067"/>
      <c r="W67" s="2067"/>
      <c r="X67" s="2067"/>
      <c r="Y67" s="2067"/>
      <c r="Z67" s="2067"/>
      <c r="AA67" s="2067"/>
      <c r="AB67" s="2067"/>
      <c r="AC67" s="2067"/>
    </row>
    <row r="68" spans="1:29">
      <c r="A68" s="265"/>
      <c r="B68" s="474"/>
      <c r="C68" s="475"/>
      <c r="D68" s="265"/>
      <c r="E68" s="265"/>
      <c r="F68" s="265"/>
      <c r="G68" s="265"/>
      <c r="H68" s="265"/>
      <c r="I68" s="265"/>
      <c r="J68" s="611"/>
      <c r="K68" s="3238"/>
      <c r="L68" s="594"/>
      <c r="M68" s="611"/>
      <c r="N68" s="611"/>
      <c r="O68" s="611"/>
      <c r="P68" s="2008"/>
      <c r="Q68" s="2008"/>
      <c r="R68" s="2008"/>
      <c r="S68" s="2008"/>
      <c r="T68" s="2008"/>
      <c r="U68" s="2008"/>
      <c r="V68" s="2008"/>
      <c r="W68" s="2008"/>
      <c r="X68" s="2008"/>
      <c r="Y68" s="2008"/>
      <c r="Z68" s="2008"/>
      <c r="AA68" s="2008"/>
      <c r="AB68" s="2008"/>
      <c r="AC68" s="2008"/>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239">
        <f t="shared" si="18"/>
        <v>45292</v>
      </c>
      <c r="L69" s="474">
        <f t="shared" si="18"/>
        <v>45200</v>
      </c>
      <c r="M69" s="474">
        <f t="shared" si="18"/>
        <v>45108</v>
      </c>
      <c r="N69" s="474">
        <f t="shared" si="18"/>
        <v>45017</v>
      </c>
      <c r="O69" s="474">
        <f t="shared" si="18"/>
        <v>44927</v>
      </c>
      <c r="P69" s="2008"/>
      <c r="Q69" s="2008"/>
      <c r="R69" s="2008"/>
      <c r="S69" s="2008"/>
      <c r="T69" s="2008"/>
      <c r="U69" s="2008"/>
      <c r="V69" s="2008"/>
      <c r="W69" s="2008"/>
      <c r="X69" s="2008"/>
      <c r="Y69" s="2008"/>
      <c r="Z69" s="2008"/>
      <c r="AA69" s="2008"/>
      <c r="AB69" s="2008"/>
      <c r="AC69" s="2008"/>
    </row>
    <row r="70" spans="1:29" ht="21.75" thickBot="1">
      <c r="A70" s="476" t="s">
        <v>1710</v>
      </c>
      <c r="B70" s="265"/>
      <c r="C70" s="477"/>
      <c r="D70" s="477"/>
      <c r="E70" s="477"/>
      <c r="F70" s="478"/>
      <c r="G70" s="478"/>
      <c r="H70" s="477"/>
      <c r="I70" s="477"/>
      <c r="J70" s="636"/>
      <c r="K70" s="3240"/>
      <c r="L70" s="638"/>
      <c r="M70" s="636"/>
      <c r="N70" s="2058"/>
      <c r="O70" s="2058"/>
      <c r="P70" s="2058"/>
      <c r="Q70" s="2029"/>
      <c r="R70" s="2008"/>
      <c r="S70" s="2008"/>
      <c r="T70" s="2008"/>
      <c r="U70" s="2008"/>
      <c r="V70" s="2008"/>
      <c r="W70" s="2008"/>
      <c r="X70" s="2008"/>
      <c r="Y70" s="2008"/>
      <c r="Z70" s="2008"/>
      <c r="AA70" s="2008"/>
      <c r="AB70" s="2008"/>
      <c r="AC70" s="2008"/>
    </row>
    <row r="71" spans="1:29" s="305" customFormat="1" ht="15">
      <c r="A71" s="1286" t="s">
        <v>1816</v>
      </c>
      <c r="B71" s="765"/>
      <c r="C71" s="801" t="str">
        <f>YEAR(C69)&amp;"-"&amp;ROUNDUP(MONTH(C69)/3,0)</f>
        <v>2026-1</v>
      </c>
      <c r="D71" s="801" t="str">
        <f>YEAR(D69)&amp;"-"&amp;ROUNDUP(MONTH(D69)/3,0)</f>
        <v>2025-4</v>
      </c>
      <c r="E71" s="801" t="str">
        <f t="shared" ref="E71:O71" si="19">YEAR(E69)&amp;"-"&amp;ROUNDUP(MONTH(E69)/3,0)</f>
        <v>2025-3</v>
      </c>
      <c r="F71" s="801" t="str">
        <f t="shared" si="19"/>
        <v>2025-2</v>
      </c>
      <c r="G71" s="801" t="str">
        <f t="shared" si="19"/>
        <v>2025-1</v>
      </c>
      <c r="H71" s="801" t="str">
        <f t="shared" si="19"/>
        <v>2024-4</v>
      </c>
      <c r="I71" s="801" t="str">
        <f t="shared" si="19"/>
        <v>2024-3</v>
      </c>
      <c r="J71" s="801" t="str">
        <f t="shared" si="19"/>
        <v>2024-2</v>
      </c>
      <c r="K71" s="3241" t="str">
        <f t="shared" si="19"/>
        <v>2024-1</v>
      </c>
      <c r="L71" s="801" t="str">
        <f t="shared" si="19"/>
        <v>2023-4</v>
      </c>
      <c r="M71" s="801" t="str">
        <f t="shared" si="19"/>
        <v>2023-3</v>
      </c>
      <c r="N71" s="801" t="str">
        <f t="shared" si="19"/>
        <v>2023-2</v>
      </c>
      <c r="O71" s="801" t="str">
        <f t="shared" si="19"/>
        <v>2023-1</v>
      </c>
      <c r="P71" s="2031"/>
      <c r="Q71" s="2031"/>
      <c r="R71" s="2031"/>
      <c r="S71" s="2031"/>
      <c r="T71" s="2031"/>
      <c r="U71" s="2031"/>
      <c r="V71" s="2031"/>
      <c r="W71" s="2031"/>
      <c r="X71" s="2031"/>
      <c r="Y71" s="2031"/>
      <c r="Z71" s="2031"/>
      <c r="AA71" s="2031"/>
      <c r="AB71" s="2031"/>
      <c r="AC71" s="2031"/>
    </row>
    <row r="72" spans="1:29" s="46" customFormat="1" ht="30" customHeight="1">
      <c r="A72" s="1461" t="s">
        <v>1817</v>
      </c>
      <c r="B72" s="175" t="str">
        <f>"北京市平均增长率"&amp;TEXT(SUMIF(基准地价修正!N25:N29,A72,基准地价修正!P25:P29),"0.00%")</f>
        <v>北京市平均增长率0.00%</v>
      </c>
      <c r="C72" s="389">
        <v>100</v>
      </c>
      <c r="D72" s="5"/>
      <c r="E72" s="5"/>
      <c r="F72" s="5"/>
      <c r="G72" s="5"/>
      <c r="H72" s="5"/>
      <c r="I72" s="5"/>
      <c r="J72" s="5"/>
      <c r="K72" s="3888"/>
      <c r="L72" s="5"/>
      <c r="M72" s="783"/>
      <c r="N72" s="5"/>
      <c r="O72" s="3889"/>
      <c r="P72" s="2029"/>
      <c r="Q72" s="1962"/>
      <c r="R72" s="1962"/>
      <c r="S72" s="1962"/>
      <c r="T72" s="1962"/>
      <c r="U72" s="1962"/>
      <c r="V72" s="1962"/>
      <c r="W72" s="1962"/>
      <c r="X72" s="1962"/>
      <c r="Y72" s="1962"/>
      <c r="Z72" s="1962"/>
      <c r="AA72" s="1962"/>
      <c r="AB72" s="1962"/>
      <c r="AC72" s="1962"/>
    </row>
    <row r="73" spans="1:29" s="46" customFormat="1" ht="15.75" thickBot="1">
      <c r="A73" s="312" t="s">
        <v>1628</v>
      </c>
      <c r="B73" s="313"/>
      <c r="C73" s="314"/>
      <c r="D73" s="315"/>
      <c r="E73" s="315"/>
      <c r="F73" s="315"/>
      <c r="G73" s="315"/>
      <c r="H73" s="315"/>
      <c r="I73" s="315"/>
      <c r="J73" s="315"/>
      <c r="K73" s="3242"/>
      <c r="L73" s="315"/>
      <c r="M73" s="316"/>
      <c r="N73" s="315"/>
      <c r="O73" s="639"/>
      <c r="P73" s="2029"/>
      <c r="Q73" s="2029"/>
      <c r="R73" s="1962"/>
      <c r="S73" s="1962"/>
      <c r="T73" s="1962"/>
      <c r="U73" s="1962"/>
      <c r="V73" s="1962"/>
      <c r="W73" s="1962"/>
      <c r="X73" s="1962"/>
      <c r="Y73" s="1962"/>
      <c r="Z73" s="1962"/>
      <c r="AA73" s="1962"/>
      <c r="AB73" s="1962"/>
      <c r="AC73" s="1962"/>
    </row>
    <row r="74" spans="1:29" s="46" customFormat="1" ht="15">
      <c r="A74" s="318" t="s">
        <v>1593</v>
      </c>
      <c r="B74" s="307"/>
      <c r="C74" s="319" t="s">
        <v>1688</v>
      </c>
      <c r="D74" s="20"/>
      <c r="E74" s="20"/>
      <c r="F74" s="20"/>
      <c r="G74" s="20"/>
      <c r="H74" s="20"/>
      <c r="I74" s="20"/>
      <c r="J74" s="20"/>
      <c r="K74" s="320"/>
      <c r="L74" s="320"/>
      <c r="M74" s="321"/>
      <c r="N74" s="2041"/>
      <c r="O74" s="2041"/>
      <c r="P74" s="2065"/>
      <c r="Q74" s="2029"/>
      <c r="R74" s="1962"/>
      <c r="S74" s="1962"/>
      <c r="T74" s="1962"/>
      <c r="U74" s="1962"/>
      <c r="V74" s="1962"/>
      <c r="W74" s="1962"/>
      <c r="X74" s="1962"/>
      <c r="Y74" s="1962"/>
      <c r="Z74" s="1962"/>
      <c r="AA74" s="1962"/>
      <c r="AB74" s="1962"/>
      <c r="AC74" s="1962"/>
    </row>
    <row r="75" spans="1:29" s="46" customFormat="1" ht="15.75" thickBot="1">
      <c r="A75" s="318"/>
      <c r="B75" s="307"/>
      <c r="C75" s="411">
        <v>100</v>
      </c>
      <c r="D75" s="309"/>
      <c r="E75" s="309"/>
      <c r="F75" s="309"/>
      <c r="G75" s="309"/>
      <c r="H75" s="309"/>
      <c r="I75" s="309"/>
      <c r="J75" s="309"/>
      <c r="K75" s="3243"/>
      <c r="L75" s="309"/>
      <c r="M75" s="311"/>
      <c r="N75" s="2041"/>
      <c r="O75" s="2041"/>
      <c r="P75" s="2029"/>
      <c r="Q75" s="2029"/>
      <c r="R75" s="1962"/>
      <c r="S75" s="1962"/>
      <c r="T75" s="1962"/>
      <c r="U75" s="1962"/>
      <c r="V75" s="1962"/>
      <c r="W75" s="1962"/>
      <c r="X75" s="1962"/>
      <c r="Y75" s="1962"/>
      <c r="Z75" s="1962"/>
      <c r="AA75" s="1962"/>
      <c r="AB75" s="1962"/>
      <c r="AC75" s="1962"/>
    </row>
    <row r="76" spans="1:29">
      <c r="A76" s="262" t="s">
        <v>1631</v>
      </c>
      <c r="B76" s="322" t="s">
        <v>1597</v>
      </c>
      <c r="C76" s="324"/>
      <c r="D76" s="324"/>
      <c r="E76" s="324"/>
      <c r="F76" s="324"/>
      <c r="G76" s="324"/>
      <c r="H76" s="324"/>
      <c r="I76" s="324"/>
      <c r="J76" s="324"/>
      <c r="K76" s="326"/>
      <c r="L76" s="326"/>
      <c r="M76" s="327"/>
      <c r="N76" s="2042"/>
      <c r="O76" s="2042"/>
      <c r="P76" s="2041"/>
      <c r="Q76" s="2029"/>
      <c r="R76" s="2008"/>
      <c r="S76" s="2008"/>
      <c r="T76" s="2008"/>
      <c r="U76" s="2008"/>
      <c r="V76" s="2008"/>
      <c r="W76" s="2008"/>
      <c r="X76" s="2008"/>
      <c r="Y76" s="2008"/>
      <c r="Z76" s="2008"/>
      <c r="AA76" s="2008"/>
      <c r="AB76" s="2008"/>
      <c r="AC76" s="2008"/>
    </row>
    <row r="77" spans="1:29" ht="15.75" thickBot="1">
      <c r="A77" s="254"/>
      <c r="B77" s="328"/>
      <c r="C77" s="329"/>
      <c r="D77" s="329"/>
      <c r="E77" s="329"/>
      <c r="F77" s="329"/>
      <c r="G77" s="329"/>
      <c r="H77" s="329"/>
      <c r="I77" s="329"/>
      <c r="J77" s="329"/>
      <c r="K77" s="3244"/>
      <c r="L77" s="329"/>
      <c r="M77" s="330"/>
      <c r="N77" s="2043"/>
      <c r="O77" s="2043"/>
      <c r="P77" s="2041"/>
      <c r="Q77" s="2029"/>
      <c r="R77" s="2008"/>
      <c r="S77" s="2008"/>
      <c r="T77" s="2008"/>
      <c r="U77" s="2008"/>
      <c r="V77" s="2008"/>
      <c r="W77" s="2008"/>
      <c r="X77" s="2008"/>
      <c r="Y77" s="2008"/>
      <c r="Z77" s="2008"/>
      <c r="AA77" s="2008"/>
      <c r="AB77" s="2008"/>
      <c r="AC77" s="2008"/>
    </row>
    <row r="78" spans="1:29" ht="27.75" thickTop="1">
      <c r="A78" s="254"/>
      <c r="B78" s="331" t="s">
        <v>1600</v>
      </c>
      <c r="C78" s="332"/>
      <c r="D78" s="332"/>
      <c r="E78" s="332"/>
      <c r="F78" s="332"/>
      <c r="G78" s="332"/>
      <c r="H78" s="332"/>
      <c r="I78" s="332"/>
      <c r="J78" s="332"/>
      <c r="K78" s="334"/>
      <c r="L78" s="334"/>
      <c r="M78" s="335"/>
      <c r="N78" s="2042"/>
      <c r="O78" s="2042"/>
      <c r="P78" s="2041"/>
      <c r="Q78" s="2029"/>
      <c r="R78" s="2008"/>
      <c r="S78" s="2008"/>
      <c r="T78" s="2008"/>
      <c r="U78" s="2008"/>
      <c r="V78" s="2008"/>
      <c r="W78" s="2008"/>
      <c r="X78" s="2008"/>
      <c r="Y78" s="2008"/>
      <c r="Z78" s="2008"/>
      <c r="AA78" s="2008"/>
      <c r="AB78" s="2008"/>
      <c r="AC78" s="2008"/>
    </row>
    <row r="79" spans="1:29" ht="15.75" thickBot="1">
      <c r="A79" s="254"/>
      <c r="B79" s="336"/>
      <c r="C79" s="337"/>
      <c r="D79" s="337"/>
      <c r="E79" s="337"/>
      <c r="F79" s="337"/>
      <c r="G79" s="337"/>
      <c r="H79" s="337"/>
      <c r="I79" s="337"/>
      <c r="J79" s="337"/>
      <c r="K79" s="3245"/>
      <c r="L79" s="337"/>
      <c r="M79" s="338"/>
      <c r="N79" s="2043"/>
      <c r="O79" s="2043"/>
      <c r="P79" s="2041"/>
      <c r="Q79" s="2029"/>
      <c r="R79" s="2008"/>
      <c r="S79" s="2008"/>
      <c r="T79" s="2008"/>
      <c r="U79" s="2008"/>
      <c r="V79" s="2008"/>
      <c r="W79" s="2008"/>
      <c r="X79" s="2008"/>
      <c r="Y79" s="2008"/>
      <c r="Z79" s="2008"/>
      <c r="AA79" s="2008"/>
      <c r="AB79" s="2008"/>
      <c r="AC79" s="2008"/>
    </row>
    <row r="80" spans="1:29" ht="15.75" thickTop="1">
      <c r="A80" s="254"/>
      <c r="B80" s="339" t="s">
        <v>1601</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246" t="str">
        <f t="shared" si="20"/>
        <v>（含）-</v>
      </c>
      <c r="L80" s="340" t="str">
        <f t="shared" si="20"/>
        <v>（含）-</v>
      </c>
      <c r="M80" s="267" t="str">
        <f>M81&amp;"（含）"&amp;"-"&amp;P81</f>
        <v>（含）-</v>
      </c>
      <c r="N80" s="2043"/>
      <c r="O80" s="2043"/>
      <c r="P80" s="2041"/>
      <c r="Q80" s="2029"/>
      <c r="R80" s="2008"/>
      <c r="S80" s="2008"/>
      <c r="T80" s="2008"/>
      <c r="U80" s="2008"/>
      <c r="V80" s="2008"/>
      <c r="W80" s="2008"/>
      <c r="X80" s="2008"/>
      <c r="Y80" s="2008"/>
      <c r="Z80" s="2008"/>
      <c r="AA80" s="2008"/>
      <c r="AB80" s="2008"/>
      <c r="AC80" s="2008"/>
    </row>
    <row r="81" spans="1:29" ht="15">
      <c r="A81" s="254"/>
      <c r="B81" s="341"/>
      <c r="C81" s="342">
        <v>0</v>
      </c>
      <c r="D81" s="342">
        <v>0.5</v>
      </c>
      <c r="E81" s="342">
        <v>1</v>
      </c>
      <c r="F81" s="342">
        <v>1.5</v>
      </c>
      <c r="G81" s="342">
        <v>2</v>
      </c>
      <c r="H81" s="342"/>
      <c r="I81" s="342"/>
      <c r="J81" s="342"/>
      <c r="K81" s="344"/>
      <c r="L81" s="344"/>
      <c r="M81" s="345"/>
      <c r="N81" s="2042"/>
      <c r="O81" s="2042"/>
      <c r="P81" s="2041"/>
      <c r="Q81" s="2029"/>
      <c r="R81" s="2008"/>
      <c r="S81" s="2008"/>
      <c r="T81" s="2008"/>
      <c r="U81" s="2008"/>
      <c r="V81" s="2008"/>
      <c r="W81" s="2008"/>
      <c r="X81" s="2008"/>
      <c r="Y81" s="2008"/>
      <c r="Z81" s="2008"/>
      <c r="AA81" s="2008"/>
      <c r="AB81" s="2008"/>
      <c r="AC81" s="2008"/>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245">
        <f t="shared" si="21"/>
        <v>100</v>
      </c>
      <c r="L82" s="337">
        <f t="shared" si="21"/>
        <v>100</v>
      </c>
      <c r="M82" s="337">
        <f t="shared" si="21"/>
        <v>100</v>
      </c>
      <c r="N82" s="2043"/>
      <c r="O82" s="2043"/>
      <c r="P82" s="2041"/>
      <c r="Q82" s="2029"/>
      <c r="R82" s="2008"/>
      <c r="S82" s="2008"/>
      <c r="T82" s="2008"/>
      <c r="U82" s="2008"/>
      <c r="V82" s="2008"/>
      <c r="W82" s="2008"/>
      <c r="X82" s="2008"/>
      <c r="Y82" s="2008"/>
      <c r="Z82" s="2008"/>
      <c r="AA82" s="2008"/>
      <c r="AB82" s="2008"/>
      <c r="AC82" s="2008"/>
    </row>
    <row r="83" spans="1:29" s="279" customFormat="1" ht="15.75" thickTop="1">
      <c r="A83" s="346"/>
      <c r="B83" s="331" t="str">
        <f>B14</f>
        <v>配建</v>
      </c>
      <c r="C83" s="347"/>
      <c r="D83" s="347"/>
      <c r="E83" s="347"/>
      <c r="F83" s="347"/>
      <c r="G83" s="347"/>
      <c r="H83" s="348"/>
      <c r="I83" s="348"/>
      <c r="J83" s="348"/>
      <c r="K83" s="349"/>
      <c r="L83" s="349"/>
      <c r="M83" s="350"/>
      <c r="N83" s="2044"/>
      <c r="O83" s="2044"/>
      <c r="P83" s="2044"/>
      <c r="Q83" s="2036"/>
      <c r="R83" s="2014"/>
      <c r="S83" s="2014"/>
      <c r="T83" s="2014"/>
      <c r="U83" s="2014"/>
      <c r="V83" s="2014"/>
      <c r="W83" s="2014"/>
      <c r="X83" s="2014"/>
      <c r="Y83" s="2014"/>
      <c r="Z83" s="2014"/>
      <c r="AA83" s="2014"/>
      <c r="AB83" s="2014"/>
      <c r="AC83" s="2014"/>
    </row>
    <row r="84" spans="1:29" s="279" customFormat="1" ht="15.75" thickBot="1">
      <c r="A84" s="346"/>
      <c r="B84" s="336"/>
      <c r="C84" s="352"/>
      <c r="D84" s="329"/>
      <c r="E84" s="329"/>
      <c r="F84" s="329"/>
      <c r="G84" s="329"/>
      <c r="H84" s="329"/>
      <c r="I84" s="329"/>
      <c r="J84" s="329"/>
      <c r="K84" s="3244"/>
      <c r="L84" s="329"/>
      <c r="M84" s="330"/>
      <c r="N84" s="2043"/>
      <c r="O84" s="2043"/>
      <c r="P84" s="2044"/>
      <c r="Q84" s="2036"/>
      <c r="R84" s="2014"/>
      <c r="S84" s="2014"/>
      <c r="T84" s="2014"/>
      <c r="U84" s="2014"/>
      <c r="V84" s="2014"/>
      <c r="W84" s="2014"/>
      <c r="X84" s="2014"/>
      <c r="Y84" s="2014"/>
      <c r="Z84" s="2014"/>
      <c r="AA84" s="2014"/>
      <c r="AB84" s="2014"/>
      <c r="AC84" s="2014"/>
    </row>
    <row r="85" spans="1:29" s="279" customFormat="1" ht="15.75" thickTop="1">
      <c r="A85" s="346"/>
      <c r="B85" s="331">
        <f>B15</f>
        <v>111</v>
      </c>
      <c r="C85" s="347"/>
      <c r="D85" s="347"/>
      <c r="E85" s="347"/>
      <c r="F85" s="347"/>
      <c r="G85" s="347"/>
      <c r="H85" s="348"/>
      <c r="I85" s="348"/>
      <c r="J85" s="348"/>
      <c r="K85" s="349"/>
      <c r="L85" s="349"/>
      <c r="M85" s="350"/>
      <c r="N85" s="2044"/>
      <c r="O85" s="2044"/>
      <c r="P85" s="2014"/>
      <c r="Q85" s="2038"/>
      <c r="R85" s="2014"/>
      <c r="S85" s="2014"/>
      <c r="T85" s="2014"/>
      <c r="U85" s="2014"/>
      <c r="V85" s="2014"/>
      <c r="W85" s="2014"/>
      <c r="X85" s="2014"/>
      <c r="Y85" s="2014"/>
      <c r="Z85" s="2014"/>
      <c r="AA85" s="2014"/>
      <c r="AB85" s="2014"/>
      <c r="AC85" s="2014"/>
    </row>
    <row r="86" spans="1:29" s="279" customFormat="1" ht="15.75" thickBot="1">
      <c r="A86" s="346"/>
      <c r="B86" s="336"/>
      <c r="C86" s="352"/>
      <c r="D86" s="352"/>
      <c r="E86" s="352"/>
      <c r="F86" s="352"/>
      <c r="G86" s="352"/>
      <c r="H86" s="354"/>
      <c r="I86" s="354"/>
      <c r="J86" s="354"/>
      <c r="K86" s="3247"/>
      <c r="L86" s="354"/>
      <c r="M86" s="355"/>
      <c r="N86" s="2044"/>
      <c r="O86" s="2044"/>
      <c r="P86" s="2044"/>
      <c r="Q86" s="2036"/>
      <c r="R86" s="2014"/>
      <c r="S86" s="2014"/>
      <c r="T86" s="2014"/>
      <c r="U86" s="2014"/>
      <c r="V86" s="2014"/>
      <c r="W86" s="2014"/>
      <c r="X86" s="2014"/>
      <c r="Y86" s="2014"/>
      <c r="Z86" s="2014"/>
      <c r="AA86" s="2014"/>
      <c r="AB86" s="2014"/>
      <c r="AC86" s="2014"/>
    </row>
    <row r="87" spans="1:29" s="279" customFormat="1" ht="15.75" thickTop="1">
      <c r="A87" s="346"/>
      <c r="B87" s="339">
        <f>B16</f>
        <v>111</v>
      </c>
      <c r="C87" s="20"/>
      <c r="D87" s="20"/>
      <c r="E87" s="20"/>
      <c r="F87" s="20"/>
      <c r="G87" s="20"/>
      <c r="H87" s="356"/>
      <c r="I87" s="356"/>
      <c r="J87" s="356"/>
      <c r="K87" s="357"/>
      <c r="L87" s="357"/>
      <c r="M87" s="358"/>
      <c r="N87" s="2044"/>
      <c r="O87" s="2044"/>
      <c r="P87" s="2068"/>
      <c r="Q87" s="2036"/>
      <c r="R87" s="2014"/>
      <c r="S87" s="2014"/>
      <c r="T87" s="2014"/>
      <c r="U87" s="2014"/>
      <c r="V87" s="2014"/>
      <c r="W87" s="2014"/>
      <c r="X87" s="2014"/>
      <c r="Y87" s="2014"/>
      <c r="Z87" s="2014"/>
      <c r="AA87" s="2014"/>
      <c r="AB87" s="2014"/>
      <c r="AC87" s="2014"/>
    </row>
    <row r="88" spans="1:29" s="279" customFormat="1" ht="15.75" thickBot="1">
      <c r="A88" s="359"/>
      <c r="B88" s="360"/>
      <c r="C88" s="361"/>
      <c r="D88" s="361"/>
      <c r="E88" s="361"/>
      <c r="F88" s="361"/>
      <c r="G88" s="361"/>
      <c r="H88" s="362"/>
      <c r="I88" s="362"/>
      <c r="J88" s="362"/>
      <c r="K88" s="3248"/>
      <c r="L88" s="362"/>
      <c r="M88" s="363"/>
      <c r="N88" s="2044"/>
      <c r="O88" s="2044"/>
      <c r="P88" s="2044"/>
      <c r="Q88" s="2036"/>
      <c r="R88" s="2014"/>
      <c r="S88" s="2014"/>
      <c r="T88" s="2014"/>
      <c r="U88" s="2014"/>
      <c r="V88" s="2014"/>
      <c r="W88" s="2014"/>
      <c r="X88" s="2014"/>
      <c r="Y88" s="2014"/>
      <c r="Z88" s="2014"/>
      <c r="AA88" s="2014"/>
      <c r="AB88" s="2014"/>
      <c r="AC88" s="2014"/>
    </row>
    <row r="89" spans="1:29">
      <c r="A89" s="262" t="s">
        <v>1602</v>
      </c>
      <c r="B89" s="322" t="s">
        <v>1632</v>
      </c>
      <c r="C89" s="364" t="s">
        <v>1633</v>
      </c>
      <c r="D89" s="364" t="s">
        <v>1634</v>
      </c>
      <c r="E89" s="364" t="s">
        <v>1635</v>
      </c>
      <c r="F89" s="364" t="s">
        <v>1636</v>
      </c>
      <c r="G89" s="364" t="s">
        <v>1637</v>
      </c>
      <c r="H89" s="323"/>
      <c r="I89" s="323"/>
      <c r="J89" s="323"/>
      <c r="K89" s="366"/>
      <c r="L89" s="366"/>
      <c r="M89" s="367"/>
      <c r="N89" s="2042"/>
      <c r="O89" s="2042"/>
      <c r="P89" s="2066"/>
      <c r="Q89" s="2029"/>
      <c r="R89" s="2008"/>
      <c r="S89" s="2008"/>
      <c r="T89" s="2008"/>
      <c r="U89" s="2008"/>
      <c r="V89" s="2008"/>
      <c r="W89" s="2008"/>
      <c r="X89" s="2008"/>
      <c r="Y89" s="2008"/>
      <c r="Z89" s="2008"/>
      <c r="AA89" s="2008"/>
      <c r="AB89" s="2008"/>
      <c r="AC89" s="2008"/>
    </row>
    <row r="90" spans="1:29" ht="15.75" thickBot="1">
      <c r="A90" s="254"/>
      <c r="B90" s="336"/>
      <c r="C90" s="337">
        <v>100</v>
      </c>
      <c r="D90" s="337">
        <f>C90-$K17</f>
        <v>100</v>
      </c>
      <c r="E90" s="337">
        <f>D90-$K17</f>
        <v>100</v>
      </c>
      <c r="F90" s="337">
        <f>E90-$K17</f>
        <v>100</v>
      </c>
      <c r="G90" s="337">
        <f>F90-$K17</f>
        <v>100</v>
      </c>
      <c r="H90" s="337"/>
      <c r="I90" s="337"/>
      <c r="J90" s="337"/>
      <c r="K90" s="3245"/>
      <c r="L90" s="337"/>
      <c r="M90" s="338"/>
      <c r="N90" s="2043"/>
      <c r="O90" s="2043"/>
      <c r="P90" s="2041"/>
      <c r="Q90" s="2029"/>
      <c r="R90" s="2008"/>
      <c r="S90" s="2008"/>
      <c r="T90" s="2008"/>
      <c r="U90" s="2008"/>
      <c r="V90" s="2008"/>
      <c r="W90" s="2008"/>
      <c r="X90" s="2008"/>
      <c r="Y90" s="2008"/>
      <c r="Z90" s="2008"/>
      <c r="AA90" s="2008"/>
      <c r="AB90" s="2008"/>
      <c r="AC90" s="2008"/>
    </row>
    <row r="91" spans="1:29" ht="15.75" thickTop="1">
      <c r="A91" s="254"/>
      <c r="B91" s="331" t="s">
        <v>1818</v>
      </c>
      <c r="C91" s="368" t="s">
        <v>1633</v>
      </c>
      <c r="D91" s="368" t="s">
        <v>1634</v>
      </c>
      <c r="E91" s="368" t="s">
        <v>1635</v>
      </c>
      <c r="F91" s="368" t="s">
        <v>1636</v>
      </c>
      <c r="G91" s="368" t="s">
        <v>1637</v>
      </c>
      <c r="H91" s="332"/>
      <c r="I91" s="332"/>
      <c r="J91" s="332"/>
      <c r="K91" s="334"/>
      <c r="L91" s="334"/>
      <c r="M91" s="335"/>
      <c r="N91" s="2042"/>
      <c r="O91" s="2042"/>
      <c r="P91" s="2041"/>
      <c r="Q91" s="2029"/>
      <c r="R91" s="2008"/>
      <c r="S91" s="2008"/>
      <c r="T91" s="2008"/>
      <c r="U91" s="2008"/>
      <c r="V91" s="2008"/>
      <c r="W91" s="2008"/>
      <c r="X91" s="2008"/>
      <c r="Y91" s="2008"/>
      <c r="Z91" s="2008"/>
      <c r="AA91" s="2008"/>
      <c r="AB91" s="2008"/>
      <c r="AC91" s="2008"/>
    </row>
    <row r="92" spans="1:29" ht="15.75" thickBot="1">
      <c r="A92" s="254"/>
      <c r="B92" s="336"/>
      <c r="C92" s="337">
        <v>100</v>
      </c>
      <c r="D92" s="337">
        <f>C92-$K19</f>
        <v>100</v>
      </c>
      <c r="E92" s="337">
        <f>D92-$K19</f>
        <v>100</v>
      </c>
      <c r="F92" s="337">
        <f>E92-$K19</f>
        <v>100</v>
      </c>
      <c r="G92" s="337">
        <f>F92-$K19</f>
        <v>100</v>
      </c>
      <c r="H92" s="337"/>
      <c r="I92" s="337"/>
      <c r="J92" s="337"/>
      <c r="K92" s="3245"/>
      <c r="L92" s="337"/>
      <c r="M92" s="338"/>
      <c r="N92" s="2043"/>
      <c r="O92" s="2043"/>
      <c r="P92" s="2041"/>
      <c r="Q92" s="2029"/>
      <c r="R92" s="2008"/>
      <c r="S92" s="2008"/>
      <c r="T92" s="2008"/>
      <c r="U92" s="2008"/>
      <c r="V92" s="2008"/>
      <c r="W92" s="2008"/>
      <c r="X92" s="2008"/>
      <c r="Y92" s="2008"/>
      <c r="Z92" s="2008"/>
      <c r="AA92" s="2008"/>
      <c r="AB92" s="2008"/>
      <c r="AC92" s="2008"/>
    </row>
    <row r="93" spans="1:29" ht="15.75" thickTop="1">
      <c r="A93" s="254"/>
      <c r="B93" s="331" t="s">
        <v>1733</v>
      </c>
      <c r="C93" s="368" t="s">
        <v>1633</v>
      </c>
      <c r="D93" s="368" t="s">
        <v>1634</v>
      </c>
      <c r="E93" s="368" t="s">
        <v>1635</v>
      </c>
      <c r="F93" s="368" t="s">
        <v>1636</v>
      </c>
      <c r="G93" s="368" t="s">
        <v>1637</v>
      </c>
      <c r="H93" s="332"/>
      <c r="I93" s="332"/>
      <c r="J93" s="332"/>
      <c r="K93" s="334"/>
      <c r="L93" s="334"/>
      <c r="M93" s="335"/>
      <c r="N93" s="2042"/>
      <c r="O93" s="2042"/>
      <c r="P93" s="2041"/>
      <c r="Q93" s="2029"/>
      <c r="R93" s="2008"/>
      <c r="S93" s="2008"/>
      <c r="T93" s="2008"/>
      <c r="U93" s="2008"/>
      <c r="V93" s="2008"/>
      <c r="W93" s="2008"/>
      <c r="X93" s="2008"/>
      <c r="Y93" s="2008"/>
      <c r="Z93" s="2008"/>
      <c r="AA93" s="2008"/>
      <c r="AB93" s="2008"/>
      <c r="AC93" s="2008"/>
    </row>
    <row r="94" spans="1:29" ht="15.75" thickBot="1">
      <c r="A94" s="254"/>
      <c r="B94" s="336"/>
      <c r="C94" s="337">
        <v>100</v>
      </c>
      <c r="D94" s="337">
        <f>C94-$K21</f>
        <v>100</v>
      </c>
      <c r="E94" s="337">
        <f>D94-$K21</f>
        <v>100</v>
      </c>
      <c r="F94" s="337">
        <f>E94-$K21</f>
        <v>100</v>
      </c>
      <c r="G94" s="337">
        <f>F94-$K21</f>
        <v>100</v>
      </c>
      <c r="H94" s="337"/>
      <c r="I94" s="337"/>
      <c r="J94" s="337"/>
      <c r="K94" s="3245"/>
      <c r="L94" s="337"/>
      <c r="M94" s="338"/>
      <c r="N94" s="2043"/>
      <c r="O94" s="2043"/>
      <c r="P94" s="2041"/>
      <c r="Q94" s="2029"/>
      <c r="R94" s="2008"/>
      <c r="S94" s="2008"/>
      <c r="T94" s="2008"/>
      <c r="U94" s="2008"/>
      <c r="V94" s="2008"/>
      <c r="W94" s="2008"/>
      <c r="X94" s="2008"/>
      <c r="Y94" s="2008"/>
      <c r="Z94" s="2008"/>
      <c r="AA94" s="2008"/>
      <c r="AB94" s="2008"/>
      <c r="AC94" s="2008"/>
    </row>
    <row r="95" spans="1:29" ht="15.75" thickTop="1">
      <c r="A95" s="254"/>
      <c r="B95" s="331" t="s">
        <v>1638</v>
      </c>
      <c r="C95" s="368" t="s">
        <v>1633</v>
      </c>
      <c r="D95" s="368" t="s">
        <v>1634</v>
      </c>
      <c r="E95" s="368" t="s">
        <v>1635</v>
      </c>
      <c r="F95" s="368" t="s">
        <v>1636</v>
      </c>
      <c r="G95" s="368" t="s">
        <v>1637</v>
      </c>
      <c r="H95" s="332"/>
      <c r="I95" s="332"/>
      <c r="J95" s="332"/>
      <c r="K95" s="334"/>
      <c r="L95" s="334"/>
      <c r="M95" s="335"/>
      <c r="N95" s="2042"/>
      <c r="O95" s="2042"/>
      <c r="P95" s="2041"/>
      <c r="Q95" s="2029"/>
      <c r="R95" s="2008"/>
      <c r="S95" s="2008"/>
      <c r="T95" s="2008"/>
      <c r="U95" s="2008"/>
      <c r="V95" s="2008"/>
      <c r="W95" s="2008"/>
      <c r="X95" s="2008"/>
      <c r="Y95" s="2008"/>
      <c r="Z95" s="2008"/>
      <c r="AA95" s="2008"/>
      <c r="AB95" s="2008"/>
      <c r="AC95" s="2008"/>
    </row>
    <row r="96" spans="1:29" ht="15.75" thickBot="1">
      <c r="A96" s="254"/>
      <c r="B96" s="336"/>
      <c r="C96" s="337">
        <v>100</v>
      </c>
      <c r="D96" s="337">
        <f>C96-$K23</f>
        <v>100</v>
      </c>
      <c r="E96" s="337">
        <f>D96-$K23</f>
        <v>100</v>
      </c>
      <c r="F96" s="337">
        <f>E96-$K23</f>
        <v>100</v>
      </c>
      <c r="G96" s="337">
        <f>F96-$K23</f>
        <v>100</v>
      </c>
      <c r="H96" s="337"/>
      <c r="I96" s="337"/>
      <c r="J96" s="337"/>
      <c r="K96" s="3245"/>
      <c r="L96" s="337"/>
      <c r="M96" s="338"/>
      <c r="N96" s="2043"/>
      <c r="O96" s="2043"/>
      <c r="P96" s="2041"/>
      <c r="Q96" s="2029"/>
      <c r="R96" s="2008"/>
      <c r="S96" s="2008"/>
      <c r="T96" s="2008"/>
      <c r="U96" s="2008"/>
      <c r="V96" s="2008"/>
      <c r="W96" s="2008"/>
      <c r="X96" s="2008"/>
      <c r="Y96" s="2008"/>
      <c r="Z96" s="2008"/>
      <c r="AA96" s="2008"/>
      <c r="AB96" s="2008"/>
      <c r="AC96" s="2008"/>
    </row>
    <row r="97" spans="1:29" s="46" customFormat="1" ht="15.75" thickTop="1">
      <c r="A97" s="257"/>
      <c r="B97" s="331" t="s">
        <v>1819</v>
      </c>
      <c r="C97" s="368" t="s">
        <v>1633</v>
      </c>
      <c r="D97" s="368" t="s">
        <v>1634</v>
      </c>
      <c r="E97" s="368" t="s">
        <v>1635</v>
      </c>
      <c r="F97" s="368" t="s">
        <v>1636</v>
      </c>
      <c r="G97" s="368" t="s">
        <v>1637</v>
      </c>
      <c r="H97" s="368"/>
      <c r="I97" s="368"/>
      <c r="J97" s="368"/>
      <c r="K97" s="450"/>
      <c r="L97" s="450"/>
      <c r="M97" s="400"/>
      <c r="N97" s="2041"/>
      <c r="O97" s="2041"/>
      <c r="P97" s="2041"/>
      <c r="Q97" s="2029"/>
      <c r="R97" s="1962"/>
      <c r="S97" s="1962"/>
      <c r="T97" s="1962"/>
      <c r="U97" s="1962"/>
      <c r="V97" s="1962"/>
      <c r="W97" s="1962"/>
      <c r="X97" s="1962"/>
      <c r="Y97" s="1962"/>
      <c r="Z97" s="1962"/>
      <c r="AA97" s="1962"/>
      <c r="AB97" s="1962"/>
      <c r="AC97" s="1962"/>
    </row>
    <row r="98" spans="1:29" s="46" customFormat="1" ht="15.75" thickBot="1">
      <c r="A98" s="257"/>
      <c r="B98" s="336"/>
      <c r="C98" s="371">
        <v>100</v>
      </c>
      <c r="D98" s="337">
        <f>C98-$K25</f>
        <v>100</v>
      </c>
      <c r="E98" s="337">
        <f>D98-$K25</f>
        <v>100</v>
      </c>
      <c r="F98" s="337">
        <f>E98-$K25</f>
        <v>100</v>
      </c>
      <c r="G98" s="337">
        <f>F98-$K25</f>
        <v>100</v>
      </c>
      <c r="H98" s="337"/>
      <c r="I98" s="337"/>
      <c r="J98" s="337"/>
      <c r="K98" s="3245"/>
      <c r="L98" s="337"/>
      <c r="M98" s="338"/>
      <c r="N98" s="2043"/>
      <c r="O98" s="2043"/>
      <c r="P98" s="2041"/>
      <c r="Q98" s="2029"/>
      <c r="R98" s="1962"/>
      <c r="S98" s="1962"/>
      <c r="T98" s="1962"/>
      <c r="U98" s="1962"/>
      <c r="V98" s="1962"/>
      <c r="W98" s="1962"/>
      <c r="X98" s="1962"/>
      <c r="Y98" s="1962"/>
      <c r="Z98" s="1962"/>
      <c r="AA98" s="1962"/>
      <c r="AB98" s="1962"/>
      <c r="AC98" s="1962"/>
    </row>
    <row r="99" spans="1:29" s="46" customFormat="1" ht="27.75" thickTop="1">
      <c r="A99" s="257"/>
      <c r="B99" s="331" t="s">
        <v>1820</v>
      </c>
      <c r="C99" s="364" t="s">
        <v>1633</v>
      </c>
      <c r="D99" s="364" t="s">
        <v>1634</v>
      </c>
      <c r="E99" s="364" t="s">
        <v>1635</v>
      </c>
      <c r="F99" s="364" t="s">
        <v>1636</v>
      </c>
      <c r="G99" s="364" t="s">
        <v>1637</v>
      </c>
      <c r="H99" s="368"/>
      <c r="I99" s="368"/>
      <c r="J99" s="368"/>
      <c r="K99" s="450"/>
      <c r="L99" s="368"/>
      <c r="M99" s="400"/>
      <c r="N99" s="2041"/>
      <c r="O99" s="2041"/>
      <c r="P99" s="2041"/>
      <c r="Q99" s="2029"/>
      <c r="R99" s="1962"/>
      <c r="S99" s="1962"/>
      <c r="T99" s="1962"/>
      <c r="U99" s="1962"/>
      <c r="V99" s="1962"/>
      <c r="W99" s="1962"/>
      <c r="X99" s="1962"/>
      <c r="Y99" s="1962"/>
      <c r="Z99" s="1962"/>
      <c r="AA99" s="1962"/>
      <c r="AB99" s="1962"/>
      <c r="AC99" s="1962"/>
    </row>
    <row r="100" spans="1:29" s="46" customFormat="1" ht="15.75" thickBot="1">
      <c r="A100" s="257"/>
      <c r="B100" s="336"/>
      <c r="C100" s="337">
        <v>100</v>
      </c>
      <c r="D100" s="337">
        <f>C100-$K27</f>
        <v>100</v>
      </c>
      <c r="E100" s="337">
        <f>D100-$K27</f>
        <v>100</v>
      </c>
      <c r="F100" s="337">
        <f>E100-$K27</f>
        <v>100</v>
      </c>
      <c r="G100" s="337">
        <f>F100-$K27</f>
        <v>100</v>
      </c>
      <c r="H100" s="337"/>
      <c r="I100" s="337"/>
      <c r="J100" s="337"/>
      <c r="K100" s="3245"/>
      <c r="L100" s="337"/>
      <c r="M100" s="338"/>
      <c r="N100" s="2043"/>
      <c r="O100" s="2043"/>
      <c r="P100" s="2041"/>
      <c r="Q100" s="2029"/>
      <c r="R100" s="1962"/>
      <c r="S100" s="1962"/>
      <c r="T100" s="1962"/>
      <c r="U100" s="1962"/>
      <c r="V100" s="1962"/>
      <c r="W100" s="1962"/>
      <c r="X100" s="1962"/>
      <c r="Y100" s="1962"/>
      <c r="Z100" s="1962"/>
      <c r="AA100" s="1962"/>
      <c r="AB100" s="1962"/>
      <c r="AC100" s="1962"/>
    </row>
    <row r="101" spans="1:29" s="279" customFormat="1" ht="15.75" thickTop="1">
      <c r="A101" s="346"/>
      <c r="B101" s="331" t="s">
        <v>1690</v>
      </c>
      <c r="C101" s="364" t="s">
        <v>1633</v>
      </c>
      <c r="D101" s="364" t="s">
        <v>1634</v>
      </c>
      <c r="E101" s="364" t="s">
        <v>1635</v>
      </c>
      <c r="F101" s="364" t="s">
        <v>1636</v>
      </c>
      <c r="G101" s="364" t="s">
        <v>1637</v>
      </c>
      <c r="H101" s="386"/>
      <c r="I101" s="386"/>
      <c r="J101" s="386"/>
      <c r="K101" s="387"/>
      <c r="L101" s="387"/>
      <c r="M101" s="388"/>
      <c r="N101" s="2044"/>
      <c r="O101" s="2044"/>
      <c r="P101" s="2044"/>
      <c r="Q101" s="2036"/>
      <c r="R101" s="2014"/>
      <c r="S101" s="2014"/>
      <c r="T101" s="2014"/>
      <c r="U101" s="2014"/>
      <c r="V101" s="2014"/>
      <c r="W101" s="2014"/>
      <c r="X101" s="2014"/>
      <c r="Y101" s="2014"/>
      <c r="Z101" s="2014"/>
      <c r="AA101" s="2014"/>
      <c r="AB101" s="2014"/>
      <c r="AC101" s="2014"/>
    </row>
    <row r="102" spans="1:29" s="279" customFormat="1" ht="15.75" thickBot="1">
      <c r="A102" s="346"/>
      <c r="B102" s="336"/>
      <c r="C102" s="337">
        <v>100</v>
      </c>
      <c r="D102" s="337">
        <f>C102-$K29</f>
        <v>100</v>
      </c>
      <c r="E102" s="337">
        <f>D102-$K29</f>
        <v>100</v>
      </c>
      <c r="F102" s="337">
        <f>E102-$K29</f>
        <v>100</v>
      </c>
      <c r="G102" s="337">
        <f>F102-$K29</f>
        <v>100</v>
      </c>
      <c r="H102" s="390"/>
      <c r="I102" s="390"/>
      <c r="J102" s="390"/>
      <c r="K102" s="3249"/>
      <c r="L102" s="390"/>
      <c r="M102" s="391"/>
      <c r="N102" s="2044"/>
      <c r="O102" s="2044"/>
      <c r="P102" s="2044"/>
      <c r="Q102" s="2036"/>
      <c r="R102" s="2014"/>
      <c r="S102" s="2014"/>
      <c r="T102" s="2014"/>
      <c r="U102" s="2014"/>
      <c r="V102" s="2014"/>
      <c r="W102" s="2014"/>
      <c r="X102" s="2014"/>
      <c r="Y102" s="2014"/>
      <c r="Z102" s="2014"/>
      <c r="AA102" s="2014"/>
      <c r="AB102" s="2014"/>
      <c r="AC102" s="2014"/>
    </row>
    <row r="103" spans="1:29" s="279" customFormat="1" ht="15.75" thickTop="1">
      <c r="A103" s="346"/>
      <c r="B103" s="339" t="s">
        <v>1691</v>
      </c>
      <c r="C103" s="428" t="s">
        <v>1711</v>
      </c>
      <c r="D103" s="428" t="s">
        <v>1712</v>
      </c>
      <c r="E103" s="428" t="s">
        <v>1713</v>
      </c>
      <c r="F103" s="428" t="s">
        <v>1714</v>
      </c>
      <c r="G103" s="428" t="s">
        <v>1715</v>
      </c>
      <c r="H103" s="386"/>
      <c r="I103" s="386"/>
      <c r="J103" s="386"/>
      <c r="K103" s="387"/>
      <c r="L103" s="386"/>
      <c r="M103" s="782"/>
      <c r="N103" s="2044"/>
      <c r="O103" s="2044"/>
      <c r="P103" s="2044"/>
      <c r="Q103" s="2036"/>
      <c r="R103" s="2014"/>
      <c r="S103" s="2014"/>
      <c r="T103" s="2014"/>
      <c r="U103" s="2014"/>
      <c r="V103" s="2014"/>
      <c r="W103" s="2014"/>
      <c r="X103" s="2014"/>
      <c r="Y103" s="2014"/>
      <c r="Z103" s="2014"/>
      <c r="AA103" s="2014"/>
      <c r="AB103" s="2014"/>
      <c r="AC103" s="2014"/>
    </row>
    <row r="104" spans="1:29" s="279" customFormat="1" ht="15.75" thickBot="1">
      <c r="A104" s="346"/>
      <c r="B104" s="339"/>
      <c r="C104" s="337">
        <v>100</v>
      </c>
      <c r="D104" s="337">
        <f>C104-$K31</f>
        <v>100</v>
      </c>
      <c r="E104" s="337">
        <f>D104-$K31</f>
        <v>100</v>
      </c>
      <c r="F104" s="337">
        <f>E104-$K31</f>
        <v>100</v>
      </c>
      <c r="G104" s="337">
        <f>F104-$K31</f>
        <v>100</v>
      </c>
      <c r="H104" s="341"/>
      <c r="I104" s="341"/>
      <c r="J104" s="341"/>
      <c r="K104" s="3250"/>
      <c r="L104" s="341"/>
      <c r="M104" s="782"/>
      <c r="N104" s="2044"/>
      <c r="O104" s="2044"/>
      <c r="P104" s="2044"/>
      <c r="Q104" s="2036"/>
      <c r="R104" s="2014"/>
      <c r="S104" s="2014"/>
      <c r="T104" s="2014"/>
      <c r="U104" s="2014"/>
      <c r="V104" s="2014"/>
      <c r="W104" s="2014"/>
      <c r="X104" s="2014"/>
      <c r="Y104" s="2014"/>
      <c r="Z104" s="2014"/>
      <c r="AA104" s="2014"/>
      <c r="AB104" s="2014"/>
      <c r="AC104" s="2014"/>
    </row>
    <row r="105" spans="1:29" ht="15.75" thickTop="1">
      <c r="A105" s="254"/>
      <c r="B105" s="331" t="str">
        <f>B33</f>
        <v>临街状况</v>
      </c>
      <c r="C105" s="332" t="s">
        <v>1821</v>
      </c>
      <c r="D105" s="332" t="s">
        <v>1822</v>
      </c>
      <c r="E105" s="332" t="s">
        <v>1823</v>
      </c>
      <c r="F105" s="332" t="s">
        <v>1824</v>
      </c>
      <c r="G105" s="332"/>
      <c r="H105" s="332"/>
      <c r="I105" s="332"/>
      <c r="J105" s="332"/>
      <c r="K105" s="334"/>
      <c r="L105" s="334"/>
      <c r="M105" s="335"/>
      <c r="N105" s="2042"/>
      <c r="O105" s="2042"/>
      <c r="P105" s="2041"/>
      <c r="Q105" s="2029"/>
      <c r="R105" s="2008"/>
      <c r="S105" s="2008"/>
      <c r="T105" s="2008"/>
      <c r="U105" s="2008"/>
      <c r="V105" s="2008"/>
      <c r="W105" s="2008"/>
      <c r="X105" s="2008"/>
      <c r="Y105" s="2008"/>
      <c r="Z105" s="2008"/>
      <c r="AA105" s="2008"/>
      <c r="AB105" s="2008"/>
      <c r="AC105" s="2008"/>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245">
        <f t="shared" si="22"/>
        <v>100</v>
      </c>
      <c r="L106" s="337">
        <f t="shared" si="22"/>
        <v>100</v>
      </c>
      <c r="M106" s="337">
        <f t="shared" si="22"/>
        <v>100</v>
      </c>
      <c r="N106" s="2043"/>
      <c r="O106" s="2043"/>
      <c r="P106" s="2041"/>
      <c r="Q106" s="2029"/>
      <c r="R106" s="2008"/>
      <c r="S106" s="2008"/>
      <c r="T106" s="2008"/>
      <c r="U106" s="2008"/>
      <c r="V106" s="2008"/>
      <c r="W106" s="2008"/>
      <c r="X106" s="2008"/>
      <c r="Y106" s="2008"/>
      <c r="Z106" s="2008"/>
      <c r="AA106" s="2008"/>
      <c r="AB106" s="2008"/>
      <c r="AC106" s="2008"/>
    </row>
    <row r="107" spans="1:29" ht="27.75" thickTop="1">
      <c r="A107" s="254"/>
      <c r="B107" s="331" t="s">
        <v>1727</v>
      </c>
      <c r="C107" s="347"/>
      <c r="D107" s="347"/>
      <c r="E107" s="347"/>
      <c r="F107" s="347"/>
      <c r="G107" s="347"/>
      <c r="H107" s="372"/>
      <c r="I107" s="372"/>
      <c r="J107" s="372"/>
      <c r="K107" s="374"/>
      <c r="L107" s="374"/>
      <c r="M107" s="375"/>
      <c r="N107" s="2042"/>
      <c r="O107" s="2042"/>
      <c r="P107" s="2041"/>
      <c r="Q107" s="2029"/>
      <c r="R107" s="2008"/>
      <c r="S107" s="2008"/>
      <c r="T107" s="2008"/>
      <c r="U107" s="2008"/>
      <c r="V107" s="2008"/>
      <c r="W107" s="2008"/>
      <c r="X107" s="2008"/>
      <c r="Y107" s="2008"/>
      <c r="Z107" s="2008"/>
      <c r="AA107" s="2008"/>
      <c r="AB107" s="2008"/>
      <c r="AC107" s="2008"/>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245">
        <f t="shared" si="23"/>
        <v>100</v>
      </c>
      <c r="L108" s="337">
        <f t="shared" si="23"/>
        <v>100</v>
      </c>
      <c r="M108" s="337">
        <f t="shared" si="23"/>
        <v>100</v>
      </c>
      <c r="N108" s="2043"/>
      <c r="O108" s="2043"/>
      <c r="P108" s="2041"/>
      <c r="Q108" s="2029"/>
      <c r="R108" s="2008"/>
      <c r="S108" s="2008"/>
      <c r="T108" s="2008"/>
      <c r="U108" s="2008"/>
      <c r="V108" s="2008"/>
      <c r="W108" s="2008"/>
      <c r="X108" s="2008"/>
      <c r="Y108" s="2008"/>
      <c r="Z108" s="2008"/>
      <c r="AA108" s="2008"/>
      <c r="AB108" s="2008"/>
      <c r="AC108" s="2008"/>
    </row>
    <row r="109" spans="1:29" ht="15.75" thickTop="1">
      <c r="A109" s="254"/>
      <c r="B109" s="331" t="s">
        <v>1785</v>
      </c>
      <c r="C109" s="372"/>
      <c r="D109" s="372"/>
      <c r="E109" s="372"/>
      <c r="F109" s="372"/>
      <c r="G109" s="372"/>
      <c r="H109" s="372"/>
      <c r="I109" s="372"/>
      <c r="J109" s="372"/>
      <c r="K109" s="374"/>
      <c r="L109" s="374"/>
      <c r="M109" s="375"/>
      <c r="N109" s="2042"/>
      <c r="O109" s="2042"/>
      <c r="P109" s="2041"/>
      <c r="Q109" s="2029"/>
      <c r="R109" s="2008"/>
      <c r="S109" s="2008"/>
      <c r="T109" s="2008"/>
      <c r="U109" s="2008"/>
      <c r="V109" s="2008"/>
      <c r="W109" s="2008"/>
      <c r="X109" s="2008"/>
      <c r="Y109" s="2008"/>
      <c r="Z109" s="2008"/>
      <c r="AA109" s="2008"/>
      <c r="AB109" s="2008"/>
      <c r="AC109" s="2008"/>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245">
        <f t="shared" si="24"/>
        <v>100</v>
      </c>
      <c r="L110" s="337">
        <f t="shared" si="24"/>
        <v>100</v>
      </c>
      <c r="M110" s="337">
        <f t="shared" si="24"/>
        <v>100</v>
      </c>
      <c r="N110" s="2043"/>
      <c r="O110" s="2043"/>
      <c r="P110" s="2041"/>
      <c r="Q110" s="2029"/>
      <c r="R110" s="2008"/>
      <c r="S110" s="2008"/>
      <c r="T110" s="2008"/>
      <c r="U110" s="2008"/>
      <c r="V110" s="2008"/>
      <c r="W110" s="2008"/>
      <c r="X110" s="2008"/>
      <c r="Y110" s="2008"/>
      <c r="Z110" s="2008"/>
      <c r="AA110" s="2008"/>
      <c r="AB110" s="2008"/>
      <c r="AC110" s="2008"/>
    </row>
    <row r="111" spans="1:29" ht="15.75" thickTop="1">
      <c r="A111" s="254"/>
      <c r="B111" s="339">
        <f>B37</f>
        <v>111</v>
      </c>
      <c r="C111" s="347"/>
      <c r="D111" s="347"/>
      <c r="E111" s="347"/>
      <c r="F111" s="347"/>
      <c r="G111" s="376"/>
      <c r="H111" s="376"/>
      <c r="I111" s="376"/>
      <c r="J111" s="376"/>
      <c r="K111" s="378"/>
      <c r="L111" s="378"/>
      <c r="M111" s="379"/>
      <c r="N111" s="2042"/>
      <c r="O111" s="2042"/>
      <c r="P111" s="2041"/>
      <c r="Q111" s="2029"/>
      <c r="R111" s="2008"/>
      <c r="S111" s="2008"/>
      <c r="T111" s="2008"/>
      <c r="U111" s="2008"/>
      <c r="V111" s="2008"/>
      <c r="W111" s="2008"/>
      <c r="X111" s="2008"/>
      <c r="Y111" s="2008"/>
      <c r="Z111" s="2008"/>
      <c r="AA111" s="2008"/>
      <c r="AB111" s="2008"/>
      <c r="AC111" s="2008"/>
    </row>
    <row r="112" spans="1:29" ht="15.75" thickBot="1">
      <c r="A112" s="254"/>
      <c r="B112" s="360"/>
      <c r="C112" s="352"/>
      <c r="D112" s="352"/>
      <c r="E112" s="352"/>
      <c r="F112" s="352"/>
      <c r="G112" s="380"/>
      <c r="H112" s="380"/>
      <c r="I112" s="380"/>
      <c r="J112" s="380"/>
      <c r="K112" s="3251"/>
      <c r="L112" s="380"/>
      <c r="M112" s="381"/>
      <c r="N112" s="2043"/>
      <c r="O112" s="2043"/>
      <c r="P112" s="2041"/>
      <c r="Q112" s="2029"/>
      <c r="R112" s="2008"/>
      <c r="S112" s="2008"/>
      <c r="T112" s="2008"/>
      <c r="U112" s="2008"/>
      <c r="V112" s="2008"/>
      <c r="W112" s="2008"/>
      <c r="X112" s="2008"/>
      <c r="Y112" s="2008"/>
      <c r="Z112" s="2008"/>
      <c r="AA112" s="2008"/>
      <c r="AB112" s="2008"/>
      <c r="AC112" s="2008"/>
    </row>
    <row r="113" spans="1:29" ht="15" thickTop="1">
      <c r="A113" s="436"/>
      <c r="B113" s="331">
        <f>B38</f>
        <v>111</v>
      </c>
      <c r="C113" s="20"/>
      <c r="D113" s="20"/>
      <c r="E113" s="20"/>
      <c r="F113" s="20"/>
      <c r="G113" s="372"/>
      <c r="H113" s="372"/>
      <c r="I113" s="372"/>
      <c r="J113" s="372"/>
      <c r="K113" s="374"/>
      <c r="L113" s="374"/>
      <c r="M113" s="375"/>
      <c r="N113" s="2042"/>
      <c r="O113" s="2042"/>
      <c r="P113" s="2041"/>
      <c r="Q113" s="2029"/>
      <c r="R113" s="2008"/>
      <c r="S113" s="2008"/>
      <c r="T113" s="2008"/>
      <c r="U113" s="2008"/>
      <c r="V113" s="2008"/>
      <c r="W113" s="2008"/>
      <c r="X113" s="2008"/>
      <c r="Y113" s="2008"/>
      <c r="Z113" s="2008"/>
      <c r="AA113" s="2008"/>
      <c r="AB113" s="2008"/>
      <c r="AC113" s="2008"/>
    </row>
    <row r="114" spans="1:29" ht="15.75" thickBot="1">
      <c r="A114" s="254"/>
      <c r="B114" s="336"/>
      <c r="C114" s="361"/>
      <c r="D114" s="361"/>
      <c r="E114" s="361"/>
      <c r="F114" s="361"/>
      <c r="G114" s="329"/>
      <c r="H114" s="329"/>
      <c r="I114" s="329"/>
      <c r="J114" s="329"/>
      <c r="K114" s="3244"/>
      <c r="L114" s="329"/>
      <c r="M114" s="330"/>
      <c r="N114" s="2043"/>
      <c r="O114" s="2043"/>
      <c r="P114" s="2041"/>
      <c r="Q114" s="2029"/>
      <c r="R114" s="2008"/>
      <c r="S114" s="2008"/>
      <c r="T114" s="2008"/>
      <c r="U114" s="2008"/>
      <c r="V114" s="2008"/>
      <c r="W114" s="2008"/>
      <c r="X114" s="2008"/>
      <c r="Y114" s="2008"/>
      <c r="Z114" s="2008"/>
      <c r="AA114" s="2008"/>
      <c r="AB114" s="2008"/>
      <c r="AC114" s="2008"/>
    </row>
    <row r="115" spans="1:29" s="279" customFormat="1" ht="15" thickTop="1">
      <c r="A115" s="277"/>
      <c r="B115" s="382">
        <f>B39</f>
        <v>111</v>
      </c>
      <c r="C115" s="5"/>
      <c r="D115" s="5"/>
      <c r="E115" s="5"/>
      <c r="F115" s="5"/>
      <c r="G115" s="5"/>
      <c r="H115" s="5"/>
      <c r="I115" s="5"/>
      <c r="J115" s="383"/>
      <c r="K115" s="384"/>
      <c r="L115" s="384"/>
      <c r="M115" s="385"/>
      <c r="N115" s="2044"/>
      <c r="O115" s="2044"/>
      <c r="P115" s="2044"/>
      <c r="Q115" s="2036"/>
      <c r="R115" s="2014"/>
      <c r="S115" s="2014"/>
      <c r="T115" s="2014"/>
      <c r="U115" s="2014"/>
      <c r="V115" s="2014"/>
      <c r="W115" s="2014"/>
      <c r="X115" s="2014"/>
      <c r="Y115" s="2014"/>
      <c r="Z115" s="2014"/>
      <c r="AA115" s="2014"/>
      <c r="AB115" s="2014"/>
      <c r="AC115" s="2014"/>
    </row>
    <row r="116" spans="1:29" s="279" customFormat="1" ht="15.75" thickBot="1">
      <c r="A116" s="346"/>
      <c r="B116" s="339"/>
      <c r="C116" s="309"/>
      <c r="D116" s="437"/>
      <c r="E116" s="437"/>
      <c r="F116" s="437"/>
      <c r="G116" s="437"/>
      <c r="H116" s="437"/>
      <c r="I116" s="437"/>
      <c r="J116" s="437"/>
      <c r="K116" s="3252"/>
      <c r="L116" s="437"/>
      <c r="M116" s="451"/>
      <c r="N116" s="2043"/>
      <c r="O116" s="2043"/>
      <c r="P116" s="2044"/>
      <c r="Q116" s="2036"/>
      <c r="R116" s="2014"/>
      <c r="S116" s="2014"/>
      <c r="T116" s="2014"/>
      <c r="U116" s="2014"/>
      <c r="V116" s="2014"/>
      <c r="W116" s="2014"/>
      <c r="X116" s="2014"/>
      <c r="Y116" s="2014"/>
      <c r="Z116" s="2014"/>
      <c r="AA116" s="2014"/>
      <c r="AB116" s="2014"/>
      <c r="AC116" s="2014"/>
    </row>
    <row r="117" spans="1:29">
      <c r="A117" s="262" t="s">
        <v>1606</v>
      </c>
      <c r="B117" s="322" t="s">
        <v>1825</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253" t="str">
        <f t="shared" si="25"/>
        <v>(含)-</v>
      </c>
      <c r="L117" s="323" t="str">
        <f t="shared" si="25"/>
        <v>(含)-</v>
      </c>
      <c r="M117" s="323" t="str">
        <f t="shared" si="25"/>
        <v>(含)-</v>
      </c>
      <c r="N117" s="2042"/>
      <c r="O117" s="2042"/>
      <c r="P117" s="2041"/>
      <c r="Q117" s="2029"/>
      <c r="R117" s="2008"/>
      <c r="S117" s="2008"/>
      <c r="T117" s="2008"/>
      <c r="U117" s="2008"/>
      <c r="V117" s="2008"/>
      <c r="W117" s="2008"/>
      <c r="X117" s="2008"/>
      <c r="Y117" s="2008"/>
      <c r="Z117" s="2008"/>
      <c r="AA117" s="2008"/>
      <c r="AB117" s="2008"/>
      <c r="AC117" s="2008"/>
    </row>
    <row r="118" spans="1:29" ht="15">
      <c r="A118" s="254"/>
      <c r="B118" s="339"/>
      <c r="C118" s="5"/>
      <c r="D118" s="5"/>
      <c r="E118" s="5"/>
      <c r="F118" s="5"/>
      <c r="G118" s="5"/>
      <c r="H118" s="5"/>
      <c r="I118" s="5"/>
      <c r="J118" s="383"/>
      <c r="K118" s="384"/>
      <c r="L118" s="384"/>
      <c r="M118" s="385"/>
      <c r="N118" s="2042"/>
      <c r="O118" s="2042"/>
      <c r="P118" s="2041"/>
      <c r="Q118" s="2029"/>
      <c r="R118" s="2008"/>
      <c r="S118" s="2008"/>
      <c r="T118" s="2008"/>
      <c r="U118" s="2008"/>
      <c r="V118" s="2008"/>
      <c r="W118" s="2008"/>
      <c r="X118" s="2008"/>
      <c r="Y118" s="2008"/>
      <c r="Z118" s="2008"/>
      <c r="AA118" s="2008"/>
      <c r="AB118" s="2008"/>
      <c r="AC118" s="2008"/>
    </row>
    <row r="119" spans="1:29" ht="15.75" thickBot="1">
      <c r="A119" s="254"/>
      <c r="B119" s="336"/>
      <c r="C119" s="361"/>
      <c r="D119" s="380"/>
      <c r="E119" s="380"/>
      <c r="F119" s="380"/>
      <c r="G119" s="380"/>
      <c r="H119" s="380"/>
      <c r="I119" s="380"/>
      <c r="J119" s="380"/>
      <c r="K119" s="3251"/>
      <c r="L119" s="380"/>
      <c r="M119" s="381"/>
      <c r="N119" s="2043"/>
      <c r="O119" s="2043"/>
      <c r="P119" s="2041"/>
      <c r="Q119" s="2029"/>
      <c r="R119" s="2008"/>
      <c r="S119" s="2008"/>
      <c r="T119" s="2008"/>
      <c r="U119" s="2008"/>
      <c r="V119" s="2008"/>
      <c r="W119" s="2008"/>
      <c r="X119" s="2008"/>
      <c r="Y119" s="2008"/>
      <c r="Z119" s="2008"/>
      <c r="AA119" s="2008"/>
      <c r="AB119" s="2008"/>
      <c r="AC119" s="2008"/>
    </row>
    <row r="120" spans="1:29" ht="15" thickTop="1">
      <c r="A120" s="280"/>
      <c r="B120" s="331" t="s">
        <v>1826</v>
      </c>
      <c r="C120" s="372" t="s">
        <v>3622</v>
      </c>
      <c r="D120" s="372" t="s">
        <v>3623</v>
      </c>
      <c r="E120" s="372" t="s">
        <v>3624</v>
      </c>
      <c r="F120" s="372" t="s">
        <v>3625</v>
      </c>
      <c r="G120" s="372"/>
      <c r="H120" s="372"/>
      <c r="I120" s="372"/>
      <c r="J120" s="372"/>
      <c r="K120" s="374"/>
      <c r="L120" s="374"/>
      <c r="M120" s="375"/>
      <c r="N120" s="2042"/>
      <c r="O120" s="2042"/>
      <c r="P120" s="2041"/>
      <c r="Q120" s="2029"/>
      <c r="R120" s="2008"/>
      <c r="S120" s="2008"/>
      <c r="T120" s="2008"/>
      <c r="U120" s="2008"/>
      <c r="V120" s="2008"/>
      <c r="W120" s="2008"/>
      <c r="X120" s="2008"/>
      <c r="Y120" s="2008"/>
      <c r="Z120" s="2008"/>
      <c r="AA120" s="2008"/>
      <c r="AB120" s="2008"/>
      <c r="AC120" s="2008"/>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245">
        <f t="shared" si="26"/>
        <v>100</v>
      </c>
      <c r="L121" s="337">
        <f t="shared" si="26"/>
        <v>100</v>
      </c>
      <c r="M121" s="338">
        <f t="shared" si="26"/>
        <v>100</v>
      </c>
      <c r="N121" s="2043"/>
      <c r="O121" s="2043"/>
      <c r="P121" s="2041"/>
      <c r="Q121" s="2029"/>
      <c r="R121" s="2008"/>
      <c r="S121" s="2008"/>
      <c r="T121" s="2008"/>
      <c r="U121" s="2008"/>
      <c r="V121" s="2008"/>
      <c r="W121" s="2008"/>
      <c r="X121" s="2008"/>
      <c r="Y121" s="2008"/>
      <c r="Z121" s="2008"/>
      <c r="AA121" s="2008"/>
      <c r="AB121" s="2008"/>
      <c r="AC121" s="2008"/>
    </row>
    <row r="122" spans="1:29" ht="15" thickTop="1">
      <c r="A122" s="280"/>
      <c r="B122" s="331" t="s">
        <v>1827</v>
      </c>
      <c r="C122" s="347"/>
      <c r="D122" s="347"/>
      <c r="E122" s="347"/>
      <c r="F122" s="372"/>
      <c r="G122" s="372"/>
      <c r="H122" s="372"/>
      <c r="I122" s="372"/>
      <c r="J122" s="372"/>
      <c r="K122" s="374"/>
      <c r="L122" s="374"/>
      <c r="M122" s="375"/>
      <c r="N122" s="2042"/>
      <c r="O122" s="2042"/>
      <c r="P122" s="2041"/>
      <c r="Q122" s="2029"/>
      <c r="R122" s="2008"/>
      <c r="S122" s="2008"/>
      <c r="T122" s="2008"/>
      <c r="U122" s="2008"/>
      <c r="V122" s="2008"/>
      <c r="W122" s="2008"/>
      <c r="X122" s="2008"/>
      <c r="Y122" s="2008"/>
      <c r="Z122" s="2008"/>
      <c r="AA122" s="2008"/>
      <c r="AB122" s="2008"/>
      <c r="AC122" s="2008"/>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245">
        <f t="shared" si="27"/>
        <v>100</v>
      </c>
      <c r="L123" s="337">
        <f t="shared" si="27"/>
        <v>100</v>
      </c>
      <c r="M123" s="338">
        <f t="shared" si="27"/>
        <v>100</v>
      </c>
      <c r="N123" s="2043"/>
      <c r="O123" s="2043"/>
      <c r="P123" s="2041"/>
      <c r="Q123" s="2029"/>
      <c r="R123" s="2008"/>
      <c r="S123" s="2008"/>
      <c r="T123" s="2008"/>
      <c r="U123" s="2008"/>
      <c r="V123" s="2008"/>
      <c r="W123" s="2008"/>
      <c r="X123" s="2008"/>
      <c r="Y123" s="2008"/>
      <c r="Z123" s="2008"/>
      <c r="AA123" s="2008"/>
      <c r="AB123" s="2008"/>
      <c r="AC123" s="2008"/>
    </row>
    <row r="124" spans="1:29" s="279" customFormat="1" ht="15" thickTop="1">
      <c r="A124" s="277"/>
      <c r="B124" s="331" t="s">
        <v>1828</v>
      </c>
      <c r="C124" s="347" t="s">
        <v>3617</v>
      </c>
      <c r="D124" s="347" t="s">
        <v>3618</v>
      </c>
      <c r="E124" s="347" t="s">
        <v>3619</v>
      </c>
      <c r="F124" s="347" t="s">
        <v>3620</v>
      </c>
      <c r="G124" s="347" t="s">
        <v>3621</v>
      </c>
      <c r="H124" s="372"/>
      <c r="I124" s="372"/>
      <c r="J124" s="372"/>
      <c r="K124" s="374"/>
      <c r="L124" s="374"/>
      <c r="M124" s="375"/>
      <c r="N124" s="2044"/>
      <c r="O124" s="2044"/>
      <c r="P124" s="2044"/>
      <c r="Q124" s="2036"/>
      <c r="R124" s="2014"/>
      <c r="S124" s="2014"/>
      <c r="T124" s="2014"/>
      <c r="U124" s="2014"/>
      <c r="V124" s="2014"/>
      <c r="W124" s="2014"/>
      <c r="X124" s="2014"/>
      <c r="Y124" s="2014"/>
      <c r="Z124" s="2014"/>
      <c r="AA124" s="2014"/>
      <c r="AB124" s="2014"/>
      <c r="AC124" s="2014"/>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245">
        <f t="shared" si="28"/>
        <v>100</v>
      </c>
      <c r="L125" s="337">
        <f t="shared" si="28"/>
        <v>100</v>
      </c>
      <c r="M125" s="338">
        <f t="shared" si="28"/>
        <v>100</v>
      </c>
      <c r="N125" s="2044"/>
      <c r="O125" s="2044"/>
      <c r="P125" s="2044"/>
      <c r="Q125" s="2036"/>
      <c r="R125" s="2014"/>
      <c r="S125" s="2014"/>
      <c r="T125" s="2014"/>
      <c r="U125" s="2014"/>
      <c r="V125" s="2014"/>
      <c r="W125" s="2014"/>
      <c r="X125" s="2014"/>
      <c r="Y125" s="2014"/>
      <c r="Z125" s="2014"/>
      <c r="AA125" s="2014"/>
      <c r="AB125" s="2014"/>
      <c r="AC125" s="2014"/>
    </row>
    <row r="126" spans="1:29" ht="15" thickTop="1">
      <c r="A126" s="280"/>
      <c r="B126" s="331" t="s">
        <v>1829</v>
      </c>
      <c r="C126" s="347"/>
      <c r="D126" s="347"/>
      <c r="E126" s="372"/>
      <c r="F126" s="372"/>
      <c r="G126" s="372"/>
      <c r="H126" s="372"/>
      <c r="I126" s="372"/>
      <c r="J126" s="372"/>
      <c r="K126" s="374"/>
      <c r="L126" s="374"/>
      <c r="M126" s="375"/>
      <c r="N126" s="2042"/>
      <c r="O126" s="2042"/>
      <c r="P126" s="2041"/>
      <c r="Q126" s="2029"/>
      <c r="R126" s="2008"/>
      <c r="S126" s="2008"/>
      <c r="T126" s="2008"/>
      <c r="U126" s="2008"/>
      <c r="V126" s="2008"/>
      <c r="W126" s="2008"/>
      <c r="X126" s="2008"/>
      <c r="Y126" s="2008"/>
      <c r="Z126" s="2008"/>
      <c r="AA126" s="2008"/>
      <c r="AB126" s="2008"/>
      <c r="AC126" s="2008"/>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245">
        <f t="shared" si="29"/>
        <v>100</v>
      </c>
      <c r="L127" s="337">
        <f t="shared" si="29"/>
        <v>100</v>
      </c>
      <c r="M127" s="338">
        <f t="shared" si="29"/>
        <v>100</v>
      </c>
      <c r="N127" s="2043"/>
      <c r="O127" s="2043"/>
      <c r="P127" s="2041"/>
      <c r="Q127" s="2029"/>
      <c r="R127" s="2008"/>
      <c r="S127" s="2008"/>
      <c r="T127" s="2008"/>
      <c r="U127" s="2008"/>
      <c r="V127" s="2008"/>
      <c r="W127" s="2008"/>
      <c r="X127" s="2008"/>
      <c r="Y127" s="2008"/>
      <c r="Z127" s="2008"/>
      <c r="AA127" s="2008"/>
      <c r="AB127" s="2008"/>
      <c r="AC127" s="2008"/>
    </row>
    <row r="128" spans="1:29" ht="15" thickTop="1">
      <c r="A128" s="280"/>
      <c r="B128" s="331">
        <f>B45</f>
        <v>111</v>
      </c>
      <c r="C128" s="347"/>
      <c r="D128" s="347"/>
      <c r="E128" s="347"/>
      <c r="F128" s="347"/>
      <c r="G128" s="347"/>
      <c r="H128" s="372"/>
      <c r="I128" s="372"/>
      <c r="J128" s="372"/>
      <c r="K128" s="374"/>
      <c r="L128" s="374"/>
      <c r="M128" s="375"/>
      <c r="N128" s="2042"/>
      <c r="O128" s="2042"/>
      <c r="P128" s="2041"/>
      <c r="Q128" s="2029"/>
      <c r="R128" s="2008"/>
      <c r="S128" s="2008"/>
      <c r="T128" s="2008"/>
      <c r="U128" s="2008"/>
      <c r="V128" s="2008"/>
      <c r="W128" s="2008"/>
      <c r="X128" s="2008"/>
      <c r="Y128" s="2008"/>
      <c r="Z128" s="2008"/>
      <c r="AA128" s="2008"/>
      <c r="AB128" s="2008"/>
      <c r="AC128" s="2008"/>
    </row>
    <row r="129" spans="1:29" ht="15.75" thickBot="1">
      <c r="A129" s="254"/>
      <c r="B129" s="336"/>
      <c r="C129" s="352"/>
      <c r="D129" s="352"/>
      <c r="E129" s="352"/>
      <c r="F129" s="352"/>
      <c r="G129" s="329"/>
      <c r="H129" s="329"/>
      <c r="I129" s="329"/>
      <c r="J129" s="329"/>
      <c r="K129" s="3244"/>
      <c r="L129" s="329"/>
      <c r="M129" s="330"/>
      <c r="N129" s="2043"/>
      <c r="O129" s="2043"/>
      <c r="P129" s="2041"/>
      <c r="Q129" s="2029"/>
      <c r="R129" s="2008"/>
      <c r="S129" s="2008"/>
      <c r="T129" s="2008"/>
      <c r="U129" s="2008"/>
      <c r="V129" s="2008"/>
      <c r="W129" s="2008"/>
      <c r="X129" s="2008"/>
      <c r="Y129" s="2008"/>
      <c r="Z129" s="2008"/>
      <c r="AA129" s="2008"/>
      <c r="AB129" s="2008"/>
      <c r="AC129" s="2008"/>
    </row>
    <row r="130" spans="1:29" ht="15" thickTop="1">
      <c r="A130" s="280"/>
      <c r="B130" s="331">
        <f>B46</f>
        <v>111</v>
      </c>
      <c r="C130" s="20"/>
      <c r="D130" s="20"/>
      <c r="E130" s="20"/>
      <c r="F130" s="20"/>
      <c r="G130" s="372"/>
      <c r="H130" s="372"/>
      <c r="I130" s="372"/>
      <c r="J130" s="372"/>
      <c r="K130" s="374"/>
      <c r="L130" s="374"/>
      <c r="M130" s="375"/>
      <c r="N130" s="2042"/>
      <c r="O130" s="2042"/>
      <c r="P130" s="2041"/>
      <c r="Q130" s="2029"/>
      <c r="R130" s="2008"/>
      <c r="S130" s="2008"/>
      <c r="T130" s="2008"/>
      <c r="U130" s="2008"/>
      <c r="V130" s="2008"/>
      <c r="W130" s="2008"/>
      <c r="X130" s="2008"/>
      <c r="Y130" s="2008"/>
      <c r="Z130" s="2008"/>
      <c r="AA130" s="2008"/>
      <c r="AB130" s="2008"/>
      <c r="AC130" s="2008"/>
    </row>
    <row r="131" spans="1:29" ht="15.75" thickBot="1">
      <c r="A131" s="254"/>
      <c r="B131" s="336"/>
      <c r="C131" s="361"/>
      <c r="D131" s="361"/>
      <c r="E131" s="361"/>
      <c r="F131" s="361"/>
      <c r="G131" s="329"/>
      <c r="H131" s="329"/>
      <c r="I131" s="329"/>
      <c r="J131" s="329"/>
      <c r="K131" s="3244"/>
      <c r="L131" s="329"/>
      <c r="M131" s="330"/>
      <c r="N131" s="2043"/>
      <c r="O131" s="2043"/>
      <c r="P131" s="2041"/>
      <c r="Q131" s="2029"/>
      <c r="R131" s="2008"/>
      <c r="S131" s="2008"/>
      <c r="T131" s="2008"/>
      <c r="U131" s="2008"/>
      <c r="V131" s="2008"/>
      <c r="W131" s="2008"/>
      <c r="X131" s="2008"/>
      <c r="Y131" s="2008"/>
      <c r="Z131" s="2008"/>
      <c r="AA131" s="2008"/>
      <c r="AB131" s="2008"/>
      <c r="AC131" s="2008"/>
    </row>
    <row r="132" spans="1:29" s="279" customFormat="1" ht="15" thickTop="1">
      <c r="A132" s="277"/>
      <c r="B132" s="331">
        <f>B47</f>
        <v>111</v>
      </c>
      <c r="C132" s="20"/>
      <c r="D132" s="20"/>
      <c r="E132" s="20"/>
      <c r="F132" s="20"/>
      <c r="G132" s="348"/>
      <c r="H132" s="348"/>
      <c r="I132" s="348"/>
      <c r="J132" s="348"/>
      <c r="K132" s="349"/>
      <c r="L132" s="349"/>
      <c r="M132" s="350"/>
      <c r="N132" s="2044"/>
      <c r="O132" s="2044"/>
      <c r="P132" s="2044"/>
      <c r="Q132" s="2036"/>
      <c r="R132" s="2014"/>
      <c r="S132" s="2014"/>
      <c r="T132" s="2014"/>
      <c r="U132" s="2014"/>
      <c r="V132" s="2014"/>
      <c r="W132" s="2014"/>
      <c r="X132" s="2014"/>
      <c r="Y132" s="2014"/>
      <c r="Z132" s="2014"/>
      <c r="AA132" s="2014"/>
      <c r="AB132" s="2014"/>
      <c r="AC132" s="2014"/>
    </row>
    <row r="133" spans="1:29" s="279" customFormat="1" ht="15.75" thickBot="1">
      <c r="A133" s="359"/>
      <c r="B133" s="452"/>
      <c r="C133" s="361"/>
      <c r="D133" s="361"/>
      <c r="E133" s="361"/>
      <c r="F133" s="361"/>
      <c r="G133" s="380"/>
      <c r="H133" s="380"/>
      <c r="I133" s="380"/>
      <c r="J133" s="380"/>
      <c r="K133" s="3251"/>
      <c r="L133" s="380"/>
      <c r="M133" s="381"/>
      <c r="N133" s="2044"/>
      <c r="O133" s="2044"/>
      <c r="P133" s="2044"/>
      <c r="Q133" s="2036"/>
      <c r="R133" s="2014"/>
      <c r="S133" s="2014"/>
      <c r="T133" s="2014"/>
      <c r="U133" s="2014"/>
      <c r="V133" s="2014"/>
      <c r="W133" s="2014"/>
      <c r="X133" s="2014"/>
      <c r="Y133" s="2014"/>
      <c r="Z133" s="2014"/>
      <c r="AA133" s="2014"/>
      <c r="AB133" s="2014"/>
      <c r="AC133" s="2014"/>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B7" sqref="B7"/>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1779</v>
      </c>
      <c r="B1" s="231"/>
      <c r="C1" s="232" t="s">
        <v>1830</v>
      </c>
      <c r="D1" s="469"/>
      <c r="E1" s="469"/>
      <c r="F1" s="468" t="s">
        <v>1679</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1433</v>
      </c>
      <c r="B2" s="433" t="e">
        <f>F63</f>
        <v>#DIV/0!</v>
      </c>
      <c r="C2" s="605"/>
      <c r="D2" s="605"/>
      <c r="E2" s="605"/>
      <c r="F2" s="606"/>
      <c r="G2" s="605"/>
      <c r="H2" s="605"/>
      <c r="I2" s="605"/>
      <c r="J2" s="605"/>
      <c r="K2" s="607"/>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392" t="e">
        <f>ROUND(IF(D3="",B2*10000/'数据-汇总表'!E3,B2*10000/D3),0)</f>
        <v>#DIV/0!</v>
      </c>
      <c r="C3" s="98" t="s">
        <v>1781</v>
      </c>
      <c r="D3" s="3265"/>
      <c r="E3" s="605"/>
      <c r="F3" s="606"/>
      <c r="G3" s="605"/>
      <c r="H3" s="605"/>
      <c r="I3" s="605"/>
      <c r="J3" s="605"/>
      <c r="K3" s="607"/>
      <c r="L3" s="2024"/>
      <c r="M3" s="2025"/>
      <c r="N3" s="2025"/>
      <c r="O3" s="2025"/>
      <c r="P3" s="232"/>
      <c r="Q3" s="232"/>
      <c r="R3" s="232"/>
      <c r="S3" s="232"/>
      <c r="T3" s="232"/>
      <c r="U3" s="232"/>
      <c r="V3" s="232"/>
      <c r="W3" s="232"/>
      <c r="X3" s="232"/>
      <c r="Y3" s="232"/>
      <c r="Z3" s="232"/>
      <c r="AA3" s="232"/>
      <c r="AB3" s="488"/>
      <c r="AC3" s="481"/>
    </row>
    <row r="4" spans="1:29" s="233" customFormat="1" ht="28.5" customHeight="1">
      <c r="A4" s="3492" t="s">
        <v>3634</v>
      </c>
      <c r="B4" s="3494" t="e">
        <f>IF(B43="单位面积地价",C45,ROUND(B2*10000/'数据-汇总表'!D3,0))</f>
        <v>#DIV/0!</v>
      </c>
      <c r="C4" s="1362" t="s">
        <v>3636</v>
      </c>
      <c r="D4" s="605"/>
      <c r="E4" s="605"/>
      <c r="F4" s="606"/>
      <c r="G4" s="605"/>
      <c r="H4" s="605"/>
      <c r="I4" s="605"/>
      <c r="J4" s="605"/>
      <c r="K4" s="607"/>
      <c r="L4" s="2024"/>
      <c r="M4" s="2025"/>
      <c r="N4" s="2025"/>
      <c r="O4" s="2025"/>
      <c r="P4" s="232"/>
      <c r="Q4" s="232"/>
      <c r="R4" s="232"/>
      <c r="S4" s="232"/>
      <c r="T4" s="232"/>
      <c r="U4" s="232"/>
      <c r="V4" s="232"/>
      <c r="W4" s="232"/>
      <c r="X4" s="232"/>
      <c r="Y4" s="232"/>
      <c r="Z4" s="232"/>
      <c r="AA4" s="232"/>
      <c r="AB4" s="232"/>
      <c r="AC4" s="481"/>
    </row>
    <row r="5" spans="1:29" s="233" customFormat="1" ht="28.5" customHeight="1" thickBot="1">
      <c r="A5" s="94"/>
      <c r="B5" s="3493" t="e">
        <f>ROUND(B2/('数据-汇总表'!D3/666.67),0)</f>
        <v>#DIV/0!</v>
      </c>
      <c r="C5" s="3495" t="s">
        <v>3635</v>
      </c>
      <c r="D5" s="605"/>
      <c r="E5" s="605"/>
      <c r="F5" s="606"/>
      <c r="G5" s="605"/>
      <c r="H5" s="605"/>
      <c r="I5" s="605"/>
      <c r="J5" s="605"/>
      <c r="K5" s="607"/>
      <c r="L5" s="2024"/>
      <c r="M5" s="2025"/>
      <c r="N5" s="2025"/>
      <c r="O5" s="2025"/>
      <c r="P5" s="232"/>
      <c r="Q5" s="232"/>
      <c r="R5" s="232"/>
      <c r="S5" s="232"/>
      <c r="T5" s="232"/>
      <c r="U5" s="232"/>
      <c r="V5" s="232"/>
      <c r="W5" s="232"/>
      <c r="X5" s="232"/>
      <c r="Y5" s="232"/>
      <c r="Z5" s="232"/>
      <c r="AA5" s="232"/>
      <c r="AB5" s="232"/>
      <c r="AC5" s="481"/>
    </row>
    <row r="6" spans="1:29" ht="15">
      <c r="A6" s="3266" t="s">
        <v>1681</v>
      </c>
      <c r="B6" s="3267"/>
      <c r="C6" s="4677" t="s">
        <v>1682</v>
      </c>
      <c r="D6" s="4678"/>
      <c r="E6" s="4679" t="s">
        <v>1683</v>
      </c>
      <c r="F6" s="4680"/>
      <c r="G6" s="4677" t="s">
        <v>1684</v>
      </c>
      <c r="H6" s="4678"/>
      <c r="I6" s="4677" t="s">
        <v>1685</v>
      </c>
      <c r="J6" s="4678"/>
      <c r="K6" s="393" t="s">
        <v>1686</v>
      </c>
      <c r="L6" s="2007"/>
      <c r="M6" s="2008"/>
      <c r="N6" s="2008"/>
      <c r="O6" s="2008"/>
      <c r="P6" s="4681" t="s">
        <v>1687</v>
      </c>
      <c r="Q6" s="4682"/>
      <c r="R6" s="4667" t="s">
        <v>1683</v>
      </c>
      <c r="S6" s="4668"/>
      <c r="T6" s="4667" t="s">
        <v>1684</v>
      </c>
      <c r="U6" s="4668"/>
      <c r="V6" s="4586" t="s">
        <v>1685</v>
      </c>
      <c r="W6" s="4586"/>
      <c r="X6" s="935"/>
      <c r="Y6" s="4686" t="s">
        <v>1687</v>
      </c>
      <c r="Z6" s="4687"/>
      <c r="AA6" s="4666" t="s">
        <v>1683</v>
      </c>
      <c r="AB6" s="4551" t="s">
        <v>1684</v>
      </c>
      <c r="AC6" s="4666" t="s">
        <v>1685</v>
      </c>
    </row>
    <row r="7" spans="1:29" ht="15">
      <c r="A7" s="3203"/>
      <c r="B7" s="3268"/>
      <c r="C7" s="4671" t="s">
        <v>1585</v>
      </c>
      <c r="D7" s="4672"/>
      <c r="E7" s="4669" t="s">
        <v>1586</v>
      </c>
      <c r="F7" s="4670"/>
      <c r="G7" s="4671" t="s">
        <v>1587</v>
      </c>
      <c r="H7" s="4672"/>
      <c r="I7" s="4671" t="s">
        <v>1588</v>
      </c>
      <c r="J7" s="4672"/>
      <c r="K7" s="393"/>
      <c r="L7" s="2007"/>
      <c r="M7" s="2008"/>
      <c r="N7" s="2008"/>
      <c r="O7" s="2008"/>
      <c r="P7" s="4683"/>
      <c r="Q7" s="4580"/>
      <c r="R7" s="4557"/>
      <c r="S7" s="4558"/>
      <c r="T7" s="4557"/>
      <c r="U7" s="4558"/>
      <c r="V7" s="4586"/>
      <c r="W7" s="4586"/>
      <c r="X7" s="935"/>
      <c r="Y7" s="4591"/>
      <c r="Z7" s="4592"/>
      <c r="AA7" s="4551"/>
      <c r="AB7" s="4551"/>
      <c r="AC7" s="4551"/>
    </row>
    <row r="8" spans="1:29" ht="15.75" thickBot="1">
      <c r="A8" s="3269"/>
      <c r="B8" s="3270"/>
      <c r="C8" s="4712" t="s">
        <v>1831</v>
      </c>
      <c r="D8" s="4713"/>
      <c r="E8" s="4714" t="s">
        <v>1831</v>
      </c>
      <c r="F8" s="4715"/>
      <c r="G8" s="4712" t="s">
        <v>1831</v>
      </c>
      <c r="H8" s="4713"/>
      <c r="I8" s="4712" t="s">
        <v>1831</v>
      </c>
      <c r="J8" s="4713"/>
      <c r="K8" s="393" t="s">
        <v>1590</v>
      </c>
      <c r="L8" s="2007"/>
      <c r="M8" s="2008"/>
      <c r="N8" s="2008"/>
      <c r="O8" s="2008"/>
      <c r="P8" s="4684"/>
      <c r="Q8" s="4582"/>
      <c r="R8" s="4557"/>
      <c r="S8" s="4558"/>
      <c r="T8" s="4583"/>
      <c r="U8" s="4584"/>
      <c r="V8" s="4586"/>
      <c r="W8" s="4586"/>
      <c r="X8" s="935"/>
      <c r="Y8" s="4593"/>
      <c r="Z8" s="4594"/>
      <c r="AA8" s="4552"/>
      <c r="AB8" s="4552"/>
      <c r="AC8" s="4552"/>
    </row>
    <row r="9" spans="1:29" s="46" customFormat="1" ht="15.75" thickBot="1">
      <c r="A9" s="3195" t="s">
        <v>1591</v>
      </c>
      <c r="B9" s="3196"/>
      <c r="C9" s="2888">
        <f>'数据-取费表'!B2</f>
        <v>46049</v>
      </c>
      <c r="D9" s="2963">
        <v>100</v>
      </c>
      <c r="E9" s="2917"/>
      <c r="F9" s="3831">
        <f>SUMIF(67:67,YEAR(E9)&amp;"-"&amp;INT((MONTH(E9)+2)/3),68:68)</f>
        <v>0</v>
      </c>
      <c r="G9" s="3226"/>
      <c r="H9" s="3843">
        <f>SUMIF(67:67,YEAR(G9)&amp;"-"&amp;INT((MONTH(G9)+2)/3),68:68)</f>
        <v>0</v>
      </c>
      <c r="I9" s="3226"/>
      <c r="J9" s="3843">
        <f>SUMIF(67:67,YEAR(I9)&amp;"-"&amp;INT((MONTH(I9)+2)/3),68:68)</f>
        <v>0</v>
      </c>
      <c r="K9" s="22"/>
      <c r="L9" s="2009"/>
      <c r="M9" s="1962"/>
      <c r="N9" s="1962"/>
      <c r="O9" s="1962"/>
      <c r="P9" s="4685" t="s">
        <v>1592</v>
      </c>
      <c r="Q9" s="4595"/>
      <c r="R9" s="3873" t="s">
        <v>13</v>
      </c>
      <c r="S9" s="3654">
        <f t="shared" ref="S9:S17" si="0">F9</f>
        <v>0</v>
      </c>
      <c r="T9" s="3873" t="s">
        <v>13</v>
      </c>
      <c r="U9" s="3654">
        <f t="shared" ref="U9:U17" si="1">H9</f>
        <v>0</v>
      </c>
      <c r="V9" s="3873" t="s">
        <v>13</v>
      </c>
      <c r="W9" s="3654">
        <f t="shared" ref="W9:W17" si="2">J9</f>
        <v>0</v>
      </c>
      <c r="X9" s="482"/>
      <c r="Y9" s="4553" t="s">
        <v>1592</v>
      </c>
      <c r="Z9" s="4554"/>
      <c r="AA9" s="28" t="e">
        <f>D9/F9</f>
        <v>#DIV/0!</v>
      </c>
      <c r="AB9" s="28" t="e">
        <f>D9/H9</f>
        <v>#DIV/0!</v>
      </c>
      <c r="AC9" s="28" t="e">
        <f>D9/J9</f>
        <v>#DIV/0!</v>
      </c>
    </row>
    <row r="10" spans="1:29" s="46" customFormat="1" ht="15.75" thickBot="1">
      <c r="A10" s="3195" t="s">
        <v>1593</v>
      </c>
      <c r="B10" s="3196"/>
      <c r="C10" s="2889" t="s">
        <v>1594</v>
      </c>
      <c r="D10" s="2963">
        <v>100</v>
      </c>
      <c r="E10" s="2889"/>
      <c r="F10" s="3831">
        <f>SUMIF(70:70,E10,71:71)-SUMIF(70:70,C10,71:71)+100</f>
        <v>0</v>
      </c>
      <c r="G10" s="2889"/>
      <c r="H10" s="3843">
        <f>SUMIF(70:70,G10,71:71)-SUMIF(70:70,C10,71:71)+100</f>
        <v>0</v>
      </c>
      <c r="I10" s="2889"/>
      <c r="J10" s="3843">
        <f>SUMIF(70:70,I10,71:71)-SUMIF(70:70,C10,71:71)+100</f>
        <v>0</v>
      </c>
      <c r="K10" s="22"/>
      <c r="L10" s="2009"/>
      <c r="M10" s="1962"/>
      <c r="N10" s="1962"/>
      <c r="O10" s="1962"/>
      <c r="P10" s="4685" t="s">
        <v>1595</v>
      </c>
      <c r="Q10" s="4588"/>
      <c r="R10" s="3873" t="s">
        <v>13</v>
      </c>
      <c r="S10" s="3654">
        <f t="shared" si="0"/>
        <v>0</v>
      </c>
      <c r="T10" s="3873" t="s">
        <v>13</v>
      </c>
      <c r="U10" s="3654">
        <f t="shared" si="1"/>
        <v>0</v>
      </c>
      <c r="V10" s="3873" t="s">
        <v>13</v>
      </c>
      <c r="W10" s="3654">
        <f t="shared" si="2"/>
        <v>0</v>
      </c>
      <c r="X10" s="482"/>
      <c r="Y10" s="4553" t="s">
        <v>1595</v>
      </c>
      <c r="Z10" s="4554"/>
      <c r="AA10" s="28" t="e">
        <f t="shared" ref="AA10:AA42" si="3">D10/F10</f>
        <v>#DIV/0!</v>
      </c>
      <c r="AB10" s="28" t="e">
        <f t="shared" ref="AB10:AB42" si="4">D10/H10</f>
        <v>#DIV/0!</v>
      </c>
      <c r="AC10" s="28" t="e">
        <f t="shared" ref="AC10:AC42" si="5">D10/J10</f>
        <v>#DIV/0!</v>
      </c>
    </row>
    <row r="11" spans="1:29" s="46" customFormat="1">
      <c r="A11" s="3134" t="s">
        <v>1596</v>
      </c>
      <c r="B11" s="2869" t="s">
        <v>1597</v>
      </c>
      <c r="C11" s="3197"/>
      <c r="D11" s="2964">
        <v>100</v>
      </c>
      <c r="E11" s="3197"/>
      <c r="F11" s="3844">
        <f>SUMIF(72:72,E11,73:73)-SUMIF(72:72,C11,73:73)+100</f>
        <v>100</v>
      </c>
      <c r="G11" s="3197"/>
      <c r="H11" s="3844">
        <f>SUMIF(72:72,G11,73:73)-SUMIF(72:72,C11,73:73)+100</f>
        <v>100</v>
      </c>
      <c r="I11" s="3197"/>
      <c r="J11" s="3844">
        <f>SUMIF(72:72,I11,73:73)-SUMIF(72:72,C11,73:73)+100</f>
        <v>100</v>
      </c>
      <c r="K11" s="22"/>
      <c r="L11" s="2009"/>
      <c r="M11" s="1962"/>
      <c r="N11" s="1962"/>
      <c r="O11" s="2061"/>
      <c r="P11" s="4605" t="s">
        <v>1598</v>
      </c>
      <c r="Q11" s="1731" t="str">
        <f t="shared" ref="Q11:Q17" si="6">B11</f>
        <v>用途</v>
      </c>
      <c r="R11" s="3873" t="s">
        <v>13</v>
      </c>
      <c r="S11" s="3654">
        <f t="shared" si="0"/>
        <v>100</v>
      </c>
      <c r="T11" s="3873" t="s">
        <v>13</v>
      </c>
      <c r="U11" s="3654">
        <f t="shared" si="1"/>
        <v>100</v>
      </c>
      <c r="V11" s="3873" t="s">
        <v>13</v>
      </c>
      <c r="W11" s="3654">
        <f t="shared" si="2"/>
        <v>100</v>
      </c>
      <c r="X11" s="482"/>
      <c r="Y11" s="4569" t="s">
        <v>1599</v>
      </c>
      <c r="Z11" s="28" t="str">
        <f t="shared" ref="Z11:Z17" si="7">Q11</f>
        <v>用途</v>
      </c>
      <c r="AA11" s="28">
        <f t="shared" si="3"/>
        <v>1</v>
      </c>
      <c r="AB11" s="28">
        <f t="shared" si="4"/>
        <v>1</v>
      </c>
      <c r="AC11" s="28">
        <f t="shared" si="5"/>
        <v>1</v>
      </c>
    </row>
    <row r="12" spans="1:29" s="253" customFormat="1" ht="27">
      <c r="A12" s="3198"/>
      <c r="B12" s="2866" t="s">
        <v>1600</v>
      </c>
      <c r="C12" s="2893"/>
      <c r="D12" s="2965">
        <v>100</v>
      </c>
      <c r="E12" s="2893"/>
      <c r="F12" s="3845">
        <f>ROUND(100/'数据-取费表'!G16,1)</f>
        <v>126</v>
      </c>
      <c r="G12" s="2893"/>
      <c r="H12" s="3845">
        <f>ROUND(100/'数据-取费表'!G16,1)</f>
        <v>126</v>
      </c>
      <c r="I12" s="2893"/>
      <c r="J12" s="3845">
        <f>ROUND(100/'数据-取费表'!G16,1)</f>
        <v>126</v>
      </c>
      <c r="K12" s="434"/>
      <c r="L12" s="2010"/>
      <c r="M12" s="2011"/>
      <c r="N12" s="2011"/>
      <c r="O12" s="2062"/>
      <c r="P12" s="4605"/>
      <c r="Q12" s="1731" t="str">
        <f t="shared" si="6"/>
        <v>土地使用年限（年）</v>
      </c>
      <c r="R12" s="3873" t="s">
        <v>13</v>
      </c>
      <c r="S12" s="3654">
        <f t="shared" si="0"/>
        <v>126</v>
      </c>
      <c r="T12" s="3873" t="s">
        <v>13</v>
      </c>
      <c r="U12" s="3654">
        <f t="shared" si="1"/>
        <v>126</v>
      </c>
      <c r="V12" s="3873" t="s">
        <v>13</v>
      </c>
      <c r="W12" s="3654">
        <f t="shared" si="2"/>
        <v>126</v>
      </c>
      <c r="X12" s="482"/>
      <c r="Y12" s="4569"/>
      <c r="Z12" s="28" t="str">
        <f t="shared" si="7"/>
        <v>土地使用年限（年）</v>
      </c>
      <c r="AA12" s="28">
        <f t="shared" si="3"/>
        <v>0.79365079365079361</v>
      </c>
      <c r="AB12" s="28">
        <f t="shared" si="4"/>
        <v>0.79365079365079361</v>
      </c>
      <c r="AC12" s="28">
        <f t="shared" si="5"/>
        <v>0.79365079365079361</v>
      </c>
    </row>
    <row r="13" spans="1:29" ht="15">
      <c r="A13" s="3199"/>
      <c r="B13" s="2866" t="s">
        <v>1601</v>
      </c>
      <c r="C13" s="2892"/>
      <c r="D13" s="2965">
        <v>100</v>
      </c>
      <c r="E13" s="2892"/>
      <c r="F13" s="3845" t="e">
        <f>LOOKUP(E13,77:77,78:78)-LOOKUP(C13,77:77,78:78)+100</f>
        <v>#N/A</v>
      </c>
      <c r="G13" s="2920"/>
      <c r="H13" s="3845" t="e">
        <f>LOOKUP(G13,77:77,78:78)-LOOKUP(C13,77:77,78:78)+100</f>
        <v>#N/A</v>
      </c>
      <c r="I13" s="2892"/>
      <c r="J13" s="3845" t="e">
        <f>LOOKUP(I13,77:77,78:78)-LOOKUP(C13,77:77,78:78)+100</f>
        <v>#N/A</v>
      </c>
      <c r="K13" s="435"/>
      <c r="L13" s="2012"/>
      <c r="M13" s="2008"/>
      <c r="N13" s="2008"/>
      <c r="O13" s="2063"/>
      <c r="P13" s="4605"/>
      <c r="Q13" s="1731" t="str">
        <f t="shared" si="6"/>
        <v>容积率</v>
      </c>
      <c r="R13" s="3873" t="s">
        <v>13</v>
      </c>
      <c r="S13" s="3654" t="e">
        <f t="shared" si="0"/>
        <v>#N/A</v>
      </c>
      <c r="T13" s="3873" t="s">
        <v>13</v>
      </c>
      <c r="U13" s="3654" t="e">
        <f t="shared" si="1"/>
        <v>#N/A</v>
      </c>
      <c r="V13" s="3873" t="s">
        <v>13</v>
      </c>
      <c r="W13" s="3654" t="e">
        <f t="shared" si="2"/>
        <v>#N/A</v>
      </c>
      <c r="X13" s="482"/>
      <c r="Y13" s="4569"/>
      <c r="Z13" s="28" t="str">
        <f t="shared" si="7"/>
        <v>容积率</v>
      </c>
      <c r="AA13" s="28" t="e">
        <f t="shared" si="3"/>
        <v>#N/A</v>
      </c>
      <c r="AB13" s="28" t="e">
        <f t="shared" si="4"/>
        <v>#N/A</v>
      </c>
      <c r="AC13" s="28" t="e">
        <f t="shared" si="5"/>
        <v>#N/A</v>
      </c>
    </row>
    <row r="14" spans="1:29" s="46" customFormat="1" ht="15">
      <c r="A14" s="3200"/>
      <c r="B14" s="2870">
        <v>111</v>
      </c>
      <c r="C14" s="2893"/>
      <c r="D14" s="2966">
        <v>100</v>
      </c>
      <c r="E14" s="3221"/>
      <c r="F14" s="3845">
        <f>SUMIF(79:79,E14,80:80)-SUMIF(79:79,C14,80:80)+100</f>
        <v>100</v>
      </c>
      <c r="G14" s="3207"/>
      <c r="H14" s="3845">
        <f>SUMIF(79:79,G14,80:80)-SUMIF(79:79,C14,80:80)+100</f>
        <v>100</v>
      </c>
      <c r="I14" s="3221"/>
      <c r="J14" s="3845">
        <f>SUMIF(79:79,I14,80:80)-SUMIF(79:79,C14,80:80)+100</f>
        <v>100</v>
      </c>
      <c r="K14" s="434"/>
      <c r="L14" s="2009"/>
      <c r="M14" s="1962"/>
      <c r="N14" s="1962"/>
      <c r="O14" s="2061"/>
      <c r="P14" s="4605"/>
      <c r="Q14" s="1731">
        <f t="shared" si="6"/>
        <v>111</v>
      </c>
      <c r="R14" s="3873" t="s">
        <v>13</v>
      </c>
      <c r="S14" s="3654">
        <f t="shared" si="0"/>
        <v>100</v>
      </c>
      <c r="T14" s="3873" t="s">
        <v>13</v>
      </c>
      <c r="U14" s="3654">
        <f t="shared" si="1"/>
        <v>100</v>
      </c>
      <c r="V14" s="3873" t="s">
        <v>13</v>
      </c>
      <c r="W14" s="3654">
        <f t="shared" si="2"/>
        <v>100</v>
      </c>
      <c r="X14" s="482"/>
      <c r="Y14" s="4569"/>
      <c r="Z14" s="28">
        <f t="shared" si="7"/>
        <v>111</v>
      </c>
      <c r="AA14" s="28">
        <f>D14/F14</f>
        <v>1</v>
      </c>
      <c r="AB14" s="28">
        <f>D14/H14</f>
        <v>1</v>
      </c>
      <c r="AC14" s="28">
        <f>D14/J14</f>
        <v>1</v>
      </c>
    </row>
    <row r="15" spans="1:29" ht="15">
      <c r="A15" s="3199"/>
      <c r="B15" s="2870">
        <v>111</v>
      </c>
      <c r="C15" s="2894"/>
      <c r="D15" s="2967">
        <v>100</v>
      </c>
      <c r="E15" s="3221"/>
      <c r="F15" s="3845">
        <f>SUMIF(81:81,E15,82:82)-SUMIF(81:81,C15,82:82)+100</f>
        <v>100</v>
      </c>
      <c r="G15" s="3207"/>
      <c r="H15" s="3839">
        <f>SUMIF(81:81,G15,82:82)-SUMIF(81:81,C15,82:82)+100</f>
        <v>100</v>
      </c>
      <c r="I15" s="3221"/>
      <c r="J15" s="3839">
        <f>SUMIF(81:81,I15,82:82)-SUMIF(81:81,C15,82:82)+100</f>
        <v>100</v>
      </c>
      <c r="K15" s="434"/>
      <c r="L15" s="2013"/>
      <c r="M15" s="2008"/>
      <c r="N15" s="2008"/>
      <c r="O15" s="2063"/>
      <c r="P15" s="4605"/>
      <c r="Q15" s="1731">
        <f t="shared" si="6"/>
        <v>111</v>
      </c>
      <c r="R15" s="3873" t="s">
        <v>13</v>
      </c>
      <c r="S15" s="3654">
        <f t="shared" si="0"/>
        <v>100</v>
      </c>
      <c r="T15" s="3873" t="s">
        <v>13</v>
      </c>
      <c r="U15" s="3654">
        <f t="shared" si="1"/>
        <v>100</v>
      </c>
      <c r="V15" s="3873" t="s">
        <v>13</v>
      </c>
      <c r="W15" s="3654">
        <f t="shared" si="2"/>
        <v>100</v>
      </c>
      <c r="X15" s="482"/>
      <c r="Y15" s="4569"/>
      <c r="Z15" s="28">
        <f t="shared" si="7"/>
        <v>111</v>
      </c>
      <c r="AA15" s="28">
        <f t="shared" si="3"/>
        <v>1</v>
      </c>
      <c r="AB15" s="28">
        <f t="shared" si="4"/>
        <v>1</v>
      </c>
      <c r="AC15" s="28">
        <f t="shared" si="5"/>
        <v>1</v>
      </c>
    </row>
    <row r="16" spans="1:29" ht="15.75" thickBot="1">
      <c r="A16" s="3201"/>
      <c r="B16" s="2871">
        <v>111</v>
      </c>
      <c r="C16" s="2895"/>
      <c r="D16" s="2968">
        <v>100</v>
      </c>
      <c r="E16" s="3221"/>
      <c r="F16" s="3841">
        <f>SUMIF(83:83,E16,84:84)-SUMIF(83:83,C16,84:84)+100</f>
        <v>100</v>
      </c>
      <c r="G16" s="3207"/>
      <c r="H16" s="3841">
        <f>SUMIF(83:83,G16,84:84)-SUMIF(83:83,C16,84:84)+100</f>
        <v>100</v>
      </c>
      <c r="I16" s="3221"/>
      <c r="J16" s="3841">
        <f>SUMIF(83:83,I16,84:84)-SUMIF(83:83,C16,84:84)+100</f>
        <v>100</v>
      </c>
      <c r="K16" s="434"/>
      <c r="L16" s="2013"/>
      <c r="M16" s="2008"/>
      <c r="N16" s="2008"/>
      <c r="O16" s="2063"/>
      <c r="P16" s="4605"/>
      <c r="Q16" s="1731">
        <f t="shared" si="6"/>
        <v>111</v>
      </c>
      <c r="R16" s="3873" t="s">
        <v>13</v>
      </c>
      <c r="S16" s="3654">
        <f t="shared" si="0"/>
        <v>100</v>
      </c>
      <c r="T16" s="3873" t="s">
        <v>13</v>
      </c>
      <c r="U16" s="3654">
        <f t="shared" si="1"/>
        <v>100</v>
      </c>
      <c r="V16" s="3873" t="s">
        <v>13</v>
      </c>
      <c r="W16" s="3654">
        <f t="shared" si="2"/>
        <v>100</v>
      </c>
      <c r="X16" s="482"/>
      <c r="Y16" s="4569"/>
      <c r="Z16" s="28">
        <f t="shared" si="7"/>
        <v>111</v>
      </c>
      <c r="AA16" s="28">
        <f t="shared" si="3"/>
        <v>1</v>
      </c>
      <c r="AB16" s="28">
        <f t="shared" si="4"/>
        <v>1</v>
      </c>
      <c r="AC16" s="28">
        <f t="shared" si="5"/>
        <v>1</v>
      </c>
    </row>
    <row r="17" spans="1:29" ht="15">
      <c r="A17" s="3202" t="s">
        <v>1602</v>
      </c>
      <c r="B17" s="3271" t="s">
        <v>1832</v>
      </c>
      <c r="C17" s="3280">
        <f>估价对象房地状况!G15</f>
        <v>0</v>
      </c>
      <c r="D17" s="2969">
        <v>100</v>
      </c>
      <c r="E17" s="2921"/>
      <c r="F17" s="3835">
        <f>SUMIF(85:85,E18,86:86)-SUMIF(85:85,C18,86:86)+100</f>
        <v>100</v>
      </c>
      <c r="G17" s="2921"/>
      <c r="H17" s="3835">
        <f>SUMIF(85:85,G18,86:86)-SUMIF(85:85,C18,86:86)+100</f>
        <v>100</v>
      </c>
      <c r="I17" s="2927"/>
      <c r="J17" s="3835">
        <f>SUMIF(85:85,I18,86:86)-SUMIF(85:85,C18,86:86)+100</f>
        <v>100</v>
      </c>
      <c r="K17" s="435"/>
      <c r="L17" s="2013"/>
      <c r="M17" s="2008"/>
      <c r="N17" s="2008"/>
      <c r="O17" s="2063"/>
      <c r="P17" s="4693" t="s">
        <v>1603</v>
      </c>
      <c r="Q17" s="1533" t="str">
        <f t="shared" si="6"/>
        <v>产业集聚程度</v>
      </c>
      <c r="R17" s="3874" t="s">
        <v>13</v>
      </c>
      <c r="S17" s="3876">
        <f t="shared" si="0"/>
        <v>100</v>
      </c>
      <c r="T17" s="3874" t="s">
        <v>13</v>
      </c>
      <c r="U17" s="3876">
        <f t="shared" si="1"/>
        <v>100</v>
      </c>
      <c r="V17" s="3874" t="s">
        <v>13</v>
      </c>
      <c r="W17" s="3876">
        <f t="shared" si="2"/>
        <v>100</v>
      </c>
      <c r="X17" s="935"/>
      <c r="Y17" s="4598" t="s">
        <v>1603</v>
      </c>
      <c r="Z17" s="933" t="str">
        <f t="shared" si="7"/>
        <v>产业集聚程度</v>
      </c>
      <c r="AA17" s="933">
        <f t="shared" si="3"/>
        <v>1</v>
      </c>
      <c r="AB17" s="933">
        <f t="shared" si="4"/>
        <v>1</v>
      </c>
      <c r="AC17" s="933">
        <f t="shared" si="5"/>
        <v>1</v>
      </c>
    </row>
    <row r="18" spans="1:29" ht="15">
      <c r="A18" s="3199"/>
      <c r="B18" s="3272"/>
      <c r="C18" s="2897"/>
      <c r="D18" s="2970"/>
      <c r="E18" s="2948"/>
      <c r="F18" s="3836"/>
      <c r="G18" s="2948"/>
      <c r="H18" s="3837"/>
      <c r="I18" s="2948"/>
      <c r="J18" s="3836"/>
      <c r="K18" s="434"/>
      <c r="L18" s="2013"/>
      <c r="M18" s="2008"/>
      <c r="N18" s="2008"/>
      <c r="O18" s="2063"/>
      <c r="P18" s="4694"/>
      <c r="Q18" s="1533"/>
      <c r="R18" s="3874"/>
      <c r="S18" s="3876"/>
      <c r="T18" s="3874"/>
      <c r="U18" s="3876"/>
      <c r="V18" s="3874"/>
      <c r="W18" s="3876"/>
      <c r="X18" s="935"/>
      <c r="Y18" s="4599"/>
      <c r="Z18" s="933"/>
      <c r="AA18" s="933">
        <v>1</v>
      </c>
      <c r="AB18" s="933">
        <v>1</v>
      </c>
      <c r="AC18" s="933">
        <v>1</v>
      </c>
    </row>
    <row r="19" spans="1:29" ht="15">
      <c r="A19" s="3199"/>
      <c r="B19" s="3273" t="s">
        <v>1745</v>
      </c>
      <c r="C19" s="2898">
        <f>估价对象房地状况!G16</f>
        <v>0</v>
      </c>
      <c r="D19" s="2971">
        <v>100</v>
      </c>
      <c r="E19" s="2922"/>
      <c r="F19" s="3838">
        <f>SUMIF(87:87,E20,88:88)-SUMIF(87:87,C20,88:88)+100</f>
        <v>100</v>
      </c>
      <c r="G19" s="2922"/>
      <c r="H19" s="3838">
        <f>SUMIF(87:87,G20,88:88)-SUMIF(87:87,C20,88:88)+100</f>
        <v>100</v>
      </c>
      <c r="I19" s="2928"/>
      <c r="J19" s="3837">
        <f>SUMIF(87:87,I20,88:88)-SUMIF(87:87,C20,88:88)+100</f>
        <v>100</v>
      </c>
      <c r="K19" s="435"/>
      <c r="L19" s="2013"/>
      <c r="M19" s="2008"/>
      <c r="N19" s="2008"/>
      <c r="O19" s="2063"/>
      <c r="P19" s="4694"/>
      <c r="Q19" s="1533" t="str">
        <f>B19</f>
        <v>交通便捷度</v>
      </c>
      <c r="R19" s="3874" t="s">
        <v>13</v>
      </c>
      <c r="S19" s="3876">
        <f>F19</f>
        <v>100</v>
      </c>
      <c r="T19" s="3874" t="s">
        <v>13</v>
      </c>
      <c r="U19" s="3876">
        <f>H19</f>
        <v>100</v>
      </c>
      <c r="V19" s="3874" t="s">
        <v>13</v>
      </c>
      <c r="W19" s="3876">
        <f>J19</f>
        <v>100</v>
      </c>
      <c r="X19" s="935"/>
      <c r="Y19" s="4599"/>
      <c r="Z19" s="933" t="str">
        <f>Q19</f>
        <v>交通便捷度</v>
      </c>
      <c r="AA19" s="933">
        <f t="shared" si="3"/>
        <v>1</v>
      </c>
      <c r="AB19" s="933">
        <f t="shared" si="4"/>
        <v>1</v>
      </c>
      <c r="AC19" s="933">
        <f t="shared" si="5"/>
        <v>1</v>
      </c>
    </row>
    <row r="20" spans="1:29" ht="15">
      <c r="A20" s="3199"/>
      <c r="B20" s="3274"/>
      <c r="C20" s="2897"/>
      <c r="D20" s="2970"/>
      <c r="E20" s="2925"/>
      <c r="F20" s="3836"/>
      <c r="G20" s="2925"/>
      <c r="H20" s="3836"/>
      <c r="I20" s="2931"/>
      <c r="J20" s="3836"/>
      <c r="K20" s="434"/>
      <c r="L20" s="2013"/>
      <c r="M20" s="2008"/>
      <c r="N20" s="2008"/>
      <c r="O20" s="2063"/>
      <c r="P20" s="4694"/>
      <c r="Q20" s="1533"/>
      <c r="R20" s="3874"/>
      <c r="S20" s="3876"/>
      <c r="T20" s="3874"/>
      <c r="U20" s="3876"/>
      <c r="V20" s="3874"/>
      <c r="W20" s="3876"/>
      <c r="X20" s="935"/>
      <c r="Y20" s="4599"/>
      <c r="Z20" s="933"/>
      <c r="AA20" s="933">
        <v>1</v>
      </c>
      <c r="AB20" s="933">
        <v>1</v>
      </c>
      <c r="AC20" s="933">
        <v>1</v>
      </c>
    </row>
    <row r="21" spans="1:29" ht="15">
      <c r="A21" s="3199"/>
      <c r="B21" s="3273" t="s">
        <v>1783</v>
      </c>
      <c r="C21" s="2898">
        <f>估价对象房地状况!G17</f>
        <v>0</v>
      </c>
      <c r="D21" s="2971">
        <v>100</v>
      </c>
      <c r="E21" s="2922"/>
      <c r="F21" s="3838">
        <f>SUMIF(89:89,E22,90:90)-SUMIF(89:89,C22,90:90)+100</f>
        <v>100</v>
      </c>
      <c r="G21" s="2922"/>
      <c r="H21" s="3838">
        <f>SUMIF(89:89,G22,90:90)-SUMIF(89:89,C22,90:90)+100</f>
        <v>100</v>
      </c>
      <c r="I21" s="2922"/>
      <c r="J21" s="3838">
        <f>SUMIF(89:89,I22,90:90)-SUMIF(89:89,C22,90:90)+100</f>
        <v>100</v>
      </c>
      <c r="K21" s="435"/>
      <c r="L21" s="2013"/>
      <c r="M21" s="2008"/>
      <c r="N21" s="2008"/>
      <c r="O21" s="2063"/>
      <c r="P21" s="4694"/>
      <c r="Q21" s="1533" t="str">
        <f t="shared" ref="Q21:Q35" si="8">B21</f>
        <v>区域土地利用方向</v>
      </c>
      <c r="R21" s="3874" t="s">
        <v>13</v>
      </c>
      <c r="S21" s="3876">
        <f>F21</f>
        <v>100</v>
      </c>
      <c r="T21" s="3874" t="s">
        <v>13</v>
      </c>
      <c r="U21" s="3876">
        <f>H21</f>
        <v>100</v>
      </c>
      <c r="V21" s="3874" t="s">
        <v>13</v>
      </c>
      <c r="W21" s="3876">
        <f>J21</f>
        <v>100</v>
      </c>
      <c r="X21" s="935"/>
      <c r="Y21" s="4599"/>
      <c r="Z21" s="933" t="str">
        <f>Q21</f>
        <v>区域土地利用方向</v>
      </c>
      <c r="AA21" s="933">
        <f t="shared" si="3"/>
        <v>1</v>
      </c>
      <c r="AB21" s="933">
        <f t="shared" si="4"/>
        <v>1</v>
      </c>
      <c r="AC21" s="933">
        <f t="shared" si="5"/>
        <v>1</v>
      </c>
    </row>
    <row r="22" spans="1:29" ht="15">
      <c r="A22" s="3203"/>
      <c r="B22" s="3274"/>
      <c r="C22" s="2897"/>
      <c r="D22" s="2970"/>
      <c r="E22" s="2925"/>
      <c r="F22" s="3836"/>
      <c r="G22" s="2925"/>
      <c r="H22" s="3836"/>
      <c r="I22" s="2925"/>
      <c r="J22" s="3836"/>
      <c r="K22" s="503"/>
      <c r="L22" s="2013"/>
      <c r="M22" s="2008"/>
      <c r="N22" s="2008"/>
      <c r="O22" s="2063"/>
      <c r="P22" s="4694"/>
      <c r="Q22" s="1533"/>
      <c r="R22" s="3874"/>
      <c r="S22" s="3876"/>
      <c r="T22" s="3874"/>
      <c r="U22" s="3876"/>
      <c r="V22" s="3874"/>
      <c r="W22" s="3876"/>
      <c r="X22" s="935"/>
      <c r="Y22" s="4599"/>
      <c r="Z22" s="933"/>
      <c r="AA22" s="933"/>
      <c r="AB22" s="933"/>
      <c r="AC22" s="933"/>
    </row>
    <row r="23" spans="1:29" ht="15">
      <c r="A23" s="3203"/>
      <c r="B23" s="3273" t="s">
        <v>1833</v>
      </c>
      <c r="C23" s="2898">
        <f>估价对象房地状况!G18</f>
        <v>0</v>
      </c>
      <c r="D23" s="2971">
        <v>100</v>
      </c>
      <c r="E23" s="2922"/>
      <c r="F23" s="3837">
        <f>SUMIF(91:91,E24,92:92)-SUMIF(91:91,C24,92:92)+100</f>
        <v>100</v>
      </c>
      <c r="G23" s="2922"/>
      <c r="H23" s="3837">
        <f>SUMIF(91:91,G24,92:92)-SUMIF(91:91,C24,92:92)+100</f>
        <v>100</v>
      </c>
      <c r="I23" s="2928"/>
      <c r="J23" s="3837">
        <f>SUMIF(91:91,I24,92:92)-SUMIF(91:91,C24,92:92)+100</f>
        <v>100</v>
      </c>
      <c r="K23" s="435"/>
      <c r="L23" s="2013"/>
      <c r="M23" s="2008"/>
      <c r="N23" s="2008"/>
      <c r="O23" s="2063"/>
      <c r="P23" s="4694"/>
      <c r="Q23" s="1533" t="str">
        <f t="shared" si="8"/>
        <v>环境状况</v>
      </c>
      <c r="R23" s="3874" t="s">
        <v>13</v>
      </c>
      <c r="S23" s="3876">
        <f>F23</f>
        <v>100</v>
      </c>
      <c r="T23" s="3874" t="s">
        <v>13</v>
      </c>
      <c r="U23" s="3876">
        <f>H23</f>
        <v>100</v>
      </c>
      <c r="V23" s="3874" t="s">
        <v>13</v>
      </c>
      <c r="W23" s="3876">
        <f>J23</f>
        <v>100</v>
      </c>
      <c r="X23" s="935"/>
      <c r="Y23" s="4599"/>
      <c r="Z23" s="933" t="str">
        <f>Q23</f>
        <v>环境状况</v>
      </c>
      <c r="AA23" s="933">
        <f t="shared" si="3"/>
        <v>1</v>
      </c>
      <c r="AB23" s="933">
        <f t="shared" si="4"/>
        <v>1</v>
      </c>
      <c r="AC23" s="933">
        <f t="shared" si="5"/>
        <v>1</v>
      </c>
    </row>
    <row r="24" spans="1:29" ht="15">
      <c r="A24" s="3203"/>
      <c r="B24" s="3274"/>
      <c r="C24" s="2897"/>
      <c r="D24" s="2970"/>
      <c r="E24" s="2948"/>
      <c r="F24" s="3836"/>
      <c r="G24" s="2948"/>
      <c r="H24" s="3836"/>
      <c r="I24" s="2897"/>
      <c r="J24" s="3836"/>
      <c r="K24" s="434"/>
      <c r="L24" s="2013"/>
      <c r="M24" s="2008"/>
      <c r="N24" s="2008"/>
      <c r="O24" s="2063"/>
      <c r="P24" s="4694"/>
      <c r="Q24" s="1533"/>
      <c r="R24" s="3874"/>
      <c r="S24" s="3876"/>
      <c r="T24" s="3874"/>
      <c r="U24" s="3876"/>
      <c r="V24" s="3874"/>
      <c r="W24" s="3876"/>
      <c r="X24" s="935"/>
      <c r="Y24" s="4599"/>
      <c r="Z24" s="933"/>
      <c r="AA24" s="933">
        <v>1</v>
      </c>
      <c r="AB24" s="933">
        <v>1</v>
      </c>
      <c r="AC24" s="933">
        <v>1</v>
      </c>
    </row>
    <row r="25" spans="1:29" s="46" customFormat="1" ht="15">
      <c r="A25" s="3205"/>
      <c r="B25" s="3275" t="s">
        <v>1690</v>
      </c>
      <c r="C25" s="2898">
        <f>估价对象房地状况!G19</f>
        <v>0</v>
      </c>
      <c r="D25" s="2971">
        <v>100</v>
      </c>
      <c r="E25" s="2922"/>
      <c r="F25" s="3837">
        <f>SUMIF(93:93,E26,94:94)-SUMIF(93:93,C26,94:94)+100</f>
        <v>100</v>
      </c>
      <c r="G25" s="2922"/>
      <c r="H25" s="3837">
        <f>SUMIF(93:93,G26,94:94)-SUMIF(93:93,C26,94:94)+100</f>
        <v>100</v>
      </c>
      <c r="I25" s="2928"/>
      <c r="J25" s="3837">
        <f>SUMIF(93:93,I26,94:94)-SUMIF(93:93,C26,94:94)+100</f>
        <v>100</v>
      </c>
      <c r="K25" s="435"/>
      <c r="L25" s="2009"/>
      <c r="M25" s="1962"/>
      <c r="N25" s="1962"/>
      <c r="O25" s="2061"/>
      <c r="P25" s="4694"/>
      <c r="Q25" s="1731" t="str">
        <f t="shared" si="8"/>
        <v>公共配套设施</v>
      </c>
      <c r="R25" s="3873" t="s">
        <v>13</v>
      </c>
      <c r="S25" s="3654">
        <f>F25</f>
        <v>100</v>
      </c>
      <c r="T25" s="3873" t="s">
        <v>13</v>
      </c>
      <c r="U25" s="3654">
        <f>H25</f>
        <v>100</v>
      </c>
      <c r="V25" s="3873" t="s">
        <v>13</v>
      </c>
      <c r="W25" s="3654">
        <f>J25</f>
        <v>100</v>
      </c>
      <c r="X25" s="482"/>
      <c r="Y25" s="4599"/>
      <c r="Z25" s="28" t="str">
        <f>Q25</f>
        <v>公共配套设施</v>
      </c>
      <c r="AA25" s="933">
        <f>D25/F25</f>
        <v>1</v>
      </c>
      <c r="AB25" s="933">
        <f>D25/H25</f>
        <v>1</v>
      </c>
      <c r="AC25" s="933">
        <f>D25/J25</f>
        <v>1</v>
      </c>
    </row>
    <row r="26" spans="1:29" s="46" customFormat="1" ht="15">
      <c r="A26" s="3205"/>
      <c r="B26" s="3274"/>
      <c r="C26" s="3206"/>
      <c r="D26" s="2970"/>
      <c r="E26" s="2948"/>
      <c r="F26" s="3836"/>
      <c r="G26" s="2948"/>
      <c r="H26" s="3836"/>
      <c r="I26" s="2897"/>
      <c r="J26" s="3836"/>
      <c r="K26" s="434"/>
      <c r="L26" s="2009"/>
      <c r="M26" s="1962"/>
      <c r="N26" s="1962"/>
      <c r="O26" s="2061"/>
      <c r="P26" s="4694"/>
      <c r="Q26" s="1731"/>
      <c r="R26" s="3873"/>
      <c r="S26" s="3654"/>
      <c r="T26" s="3873"/>
      <c r="U26" s="3654"/>
      <c r="V26" s="3873"/>
      <c r="W26" s="3654"/>
      <c r="X26" s="482"/>
      <c r="Y26" s="4599"/>
      <c r="Z26" s="28"/>
      <c r="AA26" s="28">
        <v>1</v>
      </c>
      <c r="AB26" s="28">
        <v>1</v>
      </c>
      <c r="AC26" s="28">
        <v>1</v>
      </c>
    </row>
    <row r="27" spans="1:29" s="46" customFormat="1" ht="15">
      <c r="A27" s="3205"/>
      <c r="B27" s="3275" t="s">
        <v>1691</v>
      </c>
      <c r="C27" s="2898">
        <f>估价对象房地状况!G20</f>
        <v>0</v>
      </c>
      <c r="D27" s="2971">
        <v>100</v>
      </c>
      <c r="E27" s="2922"/>
      <c r="F27" s="3837">
        <f>SUMIF(95:95,E28,96:96)-SUMIF(95:95,C28,96:96)+100</f>
        <v>100</v>
      </c>
      <c r="G27" s="2922"/>
      <c r="H27" s="3837">
        <f>SUMIF(95:95,G28,96:96)-SUMIF(95:95,C28,96:96)+100</f>
        <v>100</v>
      </c>
      <c r="I27" s="2928"/>
      <c r="J27" s="3837">
        <f>SUMIF(95:95,I28,96:96)-SUMIF(95:95,C28,96:96)+100</f>
        <v>100</v>
      </c>
      <c r="K27" s="435"/>
      <c r="L27" s="2009"/>
      <c r="M27" s="1962"/>
      <c r="N27" s="1962"/>
      <c r="O27" s="2061"/>
      <c r="P27" s="4694"/>
      <c r="Q27" s="1731" t="str">
        <f t="shared" ref="Q27" si="9">B27</f>
        <v>基础设施水平</v>
      </c>
      <c r="R27" s="3873" t="s">
        <v>13</v>
      </c>
      <c r="S27" s="3654">
        <f>F27</f>
        <v>100</v>
      </c>
      <c r="T27" s="3873" t="s">
        <v>13</v>
      </c>
      <c r="U27" s="3654">
        <f>H27</f>
        <v>100</v>
      </c>
      <c r="V27" s="3873" t="s">
        <v>13</v>
      </c>
      <c r="W27" s="3654">
        <f>J27</f>
        <v>100</v>
      </c>
      <c r="X27" s="482"/>
      <c r="Y27" s="4599"/>
      <c r="Z27" s="28" t="str">
        <f>Q27</f>
        <v>基础设施水平</v>
      </c>
      <c r="AA27" s="933">
        <f>D27/F27</f>
        <v>1</v>
      </c>
      <c r="AB27" s="933">
        <f>D27/H27</f>
        <v>1</v>
      </c>
      <c r="AC27" s="933">
        <f>D27/J27</f>
        <v>1</v>
      </c>
    </row>
    <row r="28" spans="1:29" s="46" customFormat="1" ht="15">
      <c r="A28" s="3205"/>
      <c r="B28" s="3274"/>
      <c r="C28" s="3206"/>
      <c r="D28" s="2970"/>
      <c r="E28" s="3222"/>
      <c r="F28" s="3836"/>
      <c r="G28" s="3222"/>
      <c r="H28" s="3836"/>
      <c r="I28" s="3222"/>
      <c r="J28" s="3836"/>
      <c r="K28" s="434"/>
      <c r="L28" s="2009"/>
      <c r="M28" s="1962"/>
      <c r="N28" s="1962"/>
      <c r="O28" s="2061"/>
      <c r="P28" s="4694"/>
      <c r="Q28" s="1731"/>
      <c r="R28" s="3873"/>
      <c r="S28" s="3654"/>
      <c r="T28" s="3873"/>
      <c r="U28" s="3654"/>
      <c r="V28" s="3873"/>
      <c r="W28" s="3654"/>
      <c r="X28" s="482"/>
      <c r="Y28" s="4599"/>
      <c r="Z28" s="28"/>
      <c r="AA28" s="28">
        <v>1</v>
      </c>
      <c r="AB28" s="28">
        <v>1</v>
      </c>
      <c r="AC28" s="28">
        <v>1</v>
      </c>
    </row>
    <row r="29" spans="1:29" ht="15">
      <c r="A29" s="3199"/>
      <c r="B29" s="3274" t="s">
        <v>1692</v>
      </c>
      <c r="C29" s="2913"/>
      <c r="D29" s="2967">
        <v>100</v>
      </c>
      <c r="E29" s="3223"/>
      <c r="F29" s="3839">
        <f>SUMIF(97:97,E29,98:98)-SUMIF(97:97,C29,98:98)+100</f>
        <v>100</v>
      </c>
      <c r="G29" s="3223"/>
      <c r="H29" s="3839">
        <f>SUMIF(97:97,G29,98:98)-SUMIF(97:97,C29,98:98)+100</f>
        <v>100</v>
      </c>
      <c r="I29" s="3223"/>
      <c r="J29" s="3839">
        <f>SUMIF(97:97,I29,98:98)-SUMIF(97:97,C29,98:98)+100</f>
        <v>100</v>
      </c>
      <c r="K29" s="435"/>
      <c r="L29" s="2013"/>
      <c r="M29" s="2008"/>
      <c r="N29" s="2008"/>
      <c r="O29" s="2063"/>
      <c r="P29" s="4694"/>
      <c r="Q29" s="1533" t="str">
        <f t="shared" si="8"/>
        <v>临街状况</v>
      </c>
      <c r="R29" s="3874" t="s">
        <v>13</v>
      </c>
      <c r="S29" s="3876">
        <f t="shared" ref="S29:S42" si="10">F29</f>
        <v>100</v>
      </c>
      <c r="T29" s="3874" t="s">
        <v>13</v>
      </c>
      <c r="U29" s="3876">
        <f t="shared" ref="U29:U42" si="11">H29</f>
        <v>100</v>
      </c>
      <c r="V29" s="3874" t="s">
        <v>13</v>
      </c>
      <c r="W29" s="3876">
        <f t="shared" ref="W29:W42" si="12">J29</f>
        <v>100</v>
      </c>
      <c r="X29" s="935"/>
      <c r="Y29" s="4599"/>
      <c r="Z29" s="933" t="str">
        <f t="shared" ref="Z29:Z42" si="13">Q29</f>
        <v>临街状况</v>
      </c>
      <c r="AA29" s="933">
        <f t="shared" si="3"/>
        <v>1</v>
      </c>
      <c r="AB29" s="933">
        <f t="shared" si="4"/>
        <v>1</v>
      </c>
      <c r="AC29" s="933">
        <f t="shared" si="5"/>
        <v>1</v>
      </c>
    </row>
    <row r="30" spans="1:29" ht="27">
      <c r="A30" s="3199"/>
      <c r="B30" s="3275" t="s">
        <v>1727</v>
      </c>
      <c r="C30" s="3281">
        <f>估价对象房地状况!G22</f>
        <v>0</v>
      </c>
      <c r="D30" s="2971">
        <v>100</v>
      </c>
      <c r="E30" s="2922"/>
      <c r="F30" s="3837">
        <f>SUMIF(99:99,E31,100:100)-SUMIF(99:99,C31,100:100)+100</f>
        <v>100</v>
      </c>
      <c r="G30" s="2922"/>
      <c r="H30" s="3837">
        <f>SUMIF(99:99,G31,100:100)-SUMIF(99:99,C31,100:100)+100</f>
        <v>100</v>
      </c>
      <c r="I30" s="2928"/>
      <c r="J30" s="3837">
        <f>SUMIF(99:99,I31,100:100)-SUMIF(99:99,C31,100:100)+100</f>
        <v>100</v>
      </c>
      <c r="K30" s="435"/>
      <c r="L30" s="2013"/>
      <c r="M30" s="2008"/>
      <c r="N30" s="2008"/>
      <c r="O30" s="2063"/>
      <c r="P30" s="4694"/>
      <c r="Q30" s="1533" t="str">
        <f t="shared" si="8"/>
        <v>毗邻道路的类型与等级</v>
      </c>
      <c r="R30" s="3874" t="s">
        <v>13</v>
      </c>
      <c r="S30" s="3876">
        <f t="shared" si="10"/>
        <v>100</v>
      </c>
      <c r="T30" s="3874" t="s">
        <v>13</v>
      </c>
      <c r="U30" s="3876">
        <f t="shared" si="11"/>
        <v>100</v>
      </c>
      <c r="V30" s="3874" t="s">
        <v>13</v>
      </c>
      <c r="W30" s="3876">
        <f t="shared" si="12"/>
        <v>100</v>
      </c>
      <c r="X30" s="935"/>
      <c r="Y30" s="4599"/>
      <c r="Z30" s="933" t="str">
        <f t="shared" si="13"/>
        <v>毗邻道路的类型与等级</v>
      </c>
      <c r="AA30" s="933">
        <f t="shared" si="3"/>
        <v>1</v>
      </c>
      <c r="AB30" s="933">
        <f t="shared" si="4"/>
        <v>1</v>
      </c>
      <c r="AC30" s="933">
        <f t="shared" si="5"/>
        <v>1</v>
      </c>
    </row>
    <row r="31" spans="1:29" ht="15">
      <c r="A31" s="3199"/>
      <c r="B31" s="3274"/>
      <c r="C31" s="2897"/>
      <c r="D31" s="2970"/>
      <c r="E31" s="2948"/>
      <c r="F31" s="3836"/>
      <c r="G31" s="2948"/>
      <c r="H31" s="3836"/>
      <c r="I31" s="2948"/>
      <c r="J31" s="3836"/>
      <c r="K31" s="395"/>
      <c r="L31" s="2013"/>
      <c r="M31" s="2008"/>
      <c r="N31" s="2008"/>
      <c r="O31" s="2063"/>
      <c r="P31" s="4694"/>
      <c r="Q31" s="1533"/>
      <c r="R31" s="3874"/>
      <c r="S31" s="3876"/>
      <c r="T31" s="3874"/>
      <c r="U31" s="3876"/>
      <c r="V31" s="3874"/>
      <c r="W31" s="3876"/>
      <c r="X31" s="935"/>
      <c r="Y31" s="4599"/>
      <c r="Z31" s="933"/>
      <c r="AA31" s="933">
        <v>1</v>
      </c>
      <c r="AB31" s="933">
        <v>1</v>
      </c>
      <c r="AC31" s="933">
        <v>1</v>
      </c>
    </row>
    <row r="32" spans="1:29" ht="15">
      <c r="A32" s="3199"/>
      <c r="B32" s="3276" t="s">
        <v>1785</v>
      </c>
      <c r="C32" s="3204">
        <f>估价对象房地状况!G23</f>
        <v>0</v>
      </c>
      <c r="D32" s="2967">
        <v>100</v>
      </c>
      <c r="E32" s="3223"/>
      <c r="F32" s="3839">
        <f>SUMIF(101:101,E32,102:102)-SUMIF(101:101,C32,102:102)+100</f>
        <v>100</v>
      </c>
      <c r="G32" s="3223"/>
      <c r="H32" s="3839">
        <f>SUMIF(101:101,G32,102:102)-SUMIF(101:101,C32,102:102)+100</f>
        <v>100</v>
      </c>
      <c r="I32" s="3223"/>
      <c r="J32" s="3839">
        <f>SUMIF(101:101,I32,102:102)-SUMIF(101:101,C32,102:102)+100</f>
        <v>100</v>
      </c>
      <c r="K32" s="394"/>
      <c r="L32" s="2013"/>
      <c r="M32" s="2008"/>
      <c r="N32" s="2008"/>
      <c r="O32" s="2063"/>
      <c r="P32" s="4694"/>
      <c r="Q32" s="1533" t="str">
        <f t="shared" si="8"/>
        <v>土地级别</v>
      </c>
      <c r="R32" s="3874" t="s">
        <v>13</v>
      </c>
      <c r="S32" s="3876">
        <f t="shared" si="10"/>
        <v>100</v>
      </c>
      <c r="T32" s="3874" t="s">
        <v>13</v>
      </c>
      <c r="U32" s="3876">
        <f t="shared" si="11"/>
        <v>100</v>
      </c>
      <c r="V32" s="3874" t="s">
        <v>13</v>
      </c>
      <c r="W32" s="3876">
        <f t="shared" si="12"/>
        <v>100</v>
      </c>
      <c r="X32" s="935"/>
      <c r="Y32" s="4599"/>
      <c r="Z32" s="933" t="str">
        <f t="shared" si="13"/>
        <v>土地级别</v>
      </c>
      <c r="AA32" s="933">
        <f t="shared" si="3"/>
        <v>1</v>
      </c>
      <c r="AB32" s="933">
        <f t="shared" si="4"/>
        <v>1</v>
      </c>
      <c r="AC32" s="933">
        <f t="shared" si="5"/>
        <v>1</v>
      </c>
    </row>
    <row r="33" spans="1:31" ht="15">
      <c r="A33" s="3203"/>
      <c r="B33" s="3277">
        <v>111</v>
      </c>
      <c r="C33" s="3207"/>
      <c r="D33" s="2967">
        <v>100</v>
      </c>
      <c r="E33" s="3224"/>
      <c r="F33" s="3839">
        <f>SUMIF(103:103,E33,104:104)-SUMIF(103:103,C33,104:104)+100</f>
        <v>100</v>
      </c>
      <c r="G33" s="3224"/>
      <c r="H33" s="3839">
        <f>SUMIF(103:103,G33,104:104)-SUMIF(103:103,C33,104:104)+100</f>
        <v>100</v>
      </c>
      <c r="I33" s="3221"/>
      <c r="J33" s="3839">
        <f>SUMIF(103:103,I33,104:104)-SUMIF(103:103,C33,104:104)+100</f>
        <v>100</v>
      </c>
      <c r="K33" s="395"/>
      <c r="L33" s="2013"/>
      <c r="M33" s="2008"/>
      <c r="N33" s="2008"/>
      <c r="O33" s="2063"/>
      <c r="P33" s="4694"/>
      <c r="Q33" s="1533">
        <f t="shared" si="8"/>
        <v>111</v>
      </c>
      <c r="R33" s="3874" t="s">
        <v>13</v>
      </c>
      <c r="S33" s="3876">
        <f t="shared" si="10"/>
        <v>100</v>
      </c>
      <c r="T33" s="3874" t="s">
        <v>13</v>
      </c>
      <c r="U33" s="3876">
        <f t="shared" si="11"/>
        <v>100</v>
      </c>
      <c r="V33" s="3874" t="s">
        <v>13</v>
      </c>
      <c r="W33" s="3876">
        <f t="shared" si="12"/>
        <v>100</v>
      </c>
      <c r="X33" s="935"/>
      <c r="Y33" s="4599"/>
      <c r="Z33" s="933">
        <f t="shared" si="13"/>
        <v>111</v>
      </c>
      <c r="AA33" s="933">
        <f t="shared" si="3"/>
        <v>1</v>
      </c>
      <c r="AB33" s="933">
        <f t="shared" si="4"/>
        <v>1</v>
      </c>
      <c r="AC33" s="933">
        <f t="shared" si="5"/>
        <v>1</v>
      </c>
    </row>
    <row r="34" spans="1:31" ht="15">
      <c r="A34" s="3208"/>
      <c r="B34" s="3278">
        <v>111</v>
      </c>
      <c r="C34" s="3207"/>
      <c r="D34" s="2967">
        <v>100</v>
      </c>
      <c r="E34" s="3224"/>
      <c r="F34" s="3839">
        <f>SUMIF(105:105,E35,106:106)-SUMIF(105:105,C35,106:106)+100</f>
        <v>100</v>
      </c>
      <c r="G34" s="3224"/>
      <c r="H34" s="3839">
        <f>SUMIF(105:105,G34,106:106)-SUMIF(105:105,C34,106:106)+100</f>
        <v>100</v>
      </c>
      <c r="I34" s="3207"/>
      <c r="J34" s="3839">
        <f>SUMIF(105:105,I34,106:106)-SUMIF(105:105,C34,106:106)+100</f>
        <v>100</v>
      </c>
      <c r="K34" s="395"/>
      <c r="L34" s="2013"/>
      <c r="M34" s="2008"/>
      <c r="N34" s="2008"/>
      <c r="O34" s="2063"/>
      <c r="P34" s="4695" t="s">
        <v>1608</v>
      </c>
      <c r="Q34" s="1533">
        <f t="shared" si="8"/>
        <v>111</v>
      </c>
      <c r="R34" s="3874" t="s">
        <v>13</v>
      </c>
      <c r="S34" s="3876">
        <f t="shared" si="10"/>
        <v>100</v>
      </c>
      <c r="T34" s="3874" t="s">
        <v>13</v>
      </c>
      <c r="U34" s="3876">
        <f t="shared" si="11"/>
        <v>100</v>
      </c>
      <c r="V34" s="3874" t="s">
        <v>13</v>
      </c>
      <c r="W34" s="3876">
        <f t="shared" si="12"/>
        <v>100</v>
      </c>
      <c r="X34" s="935"/>
      <c r="Y34" s="4603" t="s">
        <v>1608</v>
      </c>
      <c r="Z34" s="933">
        <f t="shared" si="13"/>
        <v>111</v>
      </c>
      <c r="AA34" s="933">
        <f t="shared" si="3"/>
        <v>1</v>
      </c>
      <c r="AB34" s="933">
        <f t="shared" si="4"/>
        <v>1</v>
      </c>
      <c r="AC34" s="933">
        <f t="shared" si="5"/>
        <v>1</v>
      </c>
    </row>
    <row r="35" spans="1:31" s="279" customFormat="1" ht="15.75" thickBot="1">
      <c r="A35" s="3210"/>
      <c r="B35" s="3279">
        <v>111</v>
      </c>
      <c r="C35" s="3212"/>
      <c r="D35" s="3219">
        <v>100</v>
      </c>
      <c r="E35" s="3225"/>
      <c r="F35" s="3841">
        <f>SUMIF(107:107,E35,108:108)-SUMIF(107:107,C35,108:108)+100</f>
        <v>100</v>
      </c>
      <c r="G35" s="3225"/>
      <c r="H35" s="3841">
        <f>SUMIF(107:107,G35,108:108)-SUMIF(107:107,C35,108:108)+100</f>
        <v>100</v>
      </c>
      <c r="I35" s="3212"/>
      <c r="J35" s="3841">
        <f>SUMIF(107:107,I35,108:108)-SUMIF(107:107,C35,108:108)+100</f>
        <v>100</v>
      </c>
      <c r="K35" s="395"/>
      <c r="L35" s="2012"/>
      <c r="M35" s="2014"/>
      <c r="N35" s="2014"/>
      <c r="O35" s="2064"/>
      <c r="P35" s="4696"/>
      <c r="Q35" s="1533">
        <f t="shared" si="8"/>
        <v>111</v>
      </c>
      <c r="R35" s="3875" t="s">
        <v>13</v>
      </c>
      <c r="S35" s="3877">
        <f t="shared" si="10"/>
        <v>100</v>
      </c>
      <c r="T35" s="3875" t="s">
        <v>13</v>
      </c>
      <c r="U35" s="3877">
        <f t="shared" si="11"/>
        <v>100</v>
      </c>
      <c r="V35" s="3875" t="s">
        <v>13</v>
      </c>
      <c r="W35" s="3877">
        <f t="shared" si="12"/>
        <v>100</v>
      </c>
      <c r="X35" s="484"/>
      <c r="Y35" s="4603"/>
      <c r="Z35" s="485">
        <f t="shared" si="13"/>
        <v>111</v>
      </c>
      <c r="AA35" s="933">
        <f t="shared" si="3"/>
        <v>1</v>
      </c>
      <c r="AB35" s="933">
        <f t="shared" si="4"/>
        <v>1</v>
      </c>
      <c r="AC35" s="933">
        <f t="shared" si="5"/>
        <v>1</v>
      </c>
    </row>
    <row r="36" spans="1:31" ht="15">
      <c r="A36" s="3202" t="s">
        <v>1606</v>
      </c>
      <c r="B36" s="2875" t="s">
        <v>1786</v>
      </c>
      <c r="C36" s="3214"/>
      <c r="D36" s="2974">
        <v>100</v>
      </c>
      <c r="E36" s="3214"/>
      <c r="F36" s="3846" t="e">
        <f>LOOKUP(E36,110:110,111:111)-LOOKUP(C36,110:110,111:111)+100</f>
        <v>#N/A</v>
      </c>
      <c r="G36" s="3214"/>
      <c r="H36" s="3846" t="e">
        <f>LOOKUP(G36,110:110,111:111)-LOOKUP(C36,110:110,111:111)+100</f>
        <v>#N/A</v>
      </c>
      <c r="I36" s="3227"/>
      <c r="J36" s="3846" t="e">
        <f>LOOKUP(I36,110:110,111:111)-LOOKUP(C36,110:110,111:111)+100</f>
        <v>#N/A</v>
      </c>
      <c r="K36" s="395"/>
      <c r="L36" s="2013"/>
      <c r="M36" s="2008"/>
      <c r="N36" s="2008"/>
      <c r="O36" s="2063"/>
      <c r="P36" s="4696"/>
      <c r="Q36" s="1533" t="str">
        <f>B36</f>
        <v>宗地面积</v>
      </c>
      <c r="R36" s="3874" t="s">
        <v>13</v>
      </c>
      <c r="S36" s="3876" t="e">
        <f t="shared" si="10"/>
        <v>#N/A</v>
      </c>
      <c r="T36" s="3874" t="s">
        <v>13</v>
      </c>
      <c r="U36" s="3876" t="e">
        <f t="shared" si="11"/>
        <v>#N/A</v>
      </c>
      <c r="V36" s="3874" t="s">
        <v>13</v>
      </c>
      <c r="W36" s="3876" t="e">
        <f t="shared" si="12"/>
        <v>#N/A</v>
      </c>
      <c r="X36" s="935"/>
      <c r="Y36" s="4603"/>
      <c r="Z36" s="933" t="str">
        <f t="shared" si="13"/>
        <v>宗地面积</v>
      </c>
      <c r="AA36" s="933" t="e">
        <f t="shared" si="3"/>
        <v>#N/A</v>
      </c>
      <c r="AB36" s="933" t="e">
        <f t="shared" si="4"/>
        <v>#N/A</v>
      </c>
      <c r="AC36" s="933" t="e">
        <f t="shared" si="5"/>
        <v>#N/A</v>
      </c>
    </row>
    <row r="37" spans="1:31" ht="15">
      <c r="A37" s="3213"/>
      <c r="B37" s="2866" t="s">
        <v>1787</v>
      </c>
      <c r="C37" s="2903"/>
      <c r="D37" s="2967">
        <v>100</v>
      </c>
      <c r="E37" s="2903"/>
      <c r="F37" s="3839">
        <f>SUMIF(112:112,E37,113:113)-SUMIF(112:112,C37,113:113)+100</f>
        <v>100</v>
      </c>
      <c r="G37" s="2903"/>
      <c r="H37" s="3839">
        <f>SUMIF(112:112,G37,113:113)-SUMIF(112:112,C37,113:113)+100</f>
        <v>100</v>
      </c>
      <c r="I37" s="2903"/>
      <c r="J37" s="3839">
        <f>SUMIF(112:112,I37,113:113)-SUMIF(112:112,C37,113:113)+100</f>
        <v>100</v>
      </c>
      <c r="K37" s="394"/>
      <c r="L37" s="2013"/>
      <c r="M37" s="2008"/>
      <c r="N37" s="2008"/>
      <c r="O37" s="2063"/>
      <c r="P37" s="4696"/>
      <c r="Q37" s="1533" t="str">
        <f t="shared" ref="Q37:Q42" si="14">B37</f>
        <v>宗地形状</v>
      </c>
      <c r="R37" s="3874" t="s">
        <v>13</v>
      </c>
      <c r="S37" s="3876">
        <f t="shared" si="10"/>
        <v>100</v>
      </c>
      <c r="T37" s="3874" t="s">
        <v>13</v>
      </c>
      <c r="U37" s="3876">
        <f t="shared" si="11"/>
        <v>100</v>
      </c>
      <c r="V37" s="3874" t="s">
        <v>13</v>
      </c>
      <c r="W37" s="3876">
        <f t="shared" si="12"/>
        <v>100</v>
      </c>
      <c r="X37" s="935"/>
      <c r="Y37" s="4603"/>
      <c r="Z37" s="933" t="str">
        <f t="shared" si="13"/>
        <v>宗地形状</v>
      </c>
      <c r="AA37" s="933">
        <f t="shared" si="3"/>
        <v>1</v>
      </c>
      <c r="AB37" s="933">
        <f t="shared" si="4"/>
        <v>1</v>
      </c>
      <c r="AC37" s="933">
        <f t="shared" si="5"/>
        <v>1</v>
      </c>
    </row>
    <row r="38" spans="1:31" s="46" customFormat="1" ht="15">
      <c r="A38" s="3215"/>
      <c r="B38" s="2866" t="s">
        <v>1789</v>
      </c>
      <c r="C38" s="3216"/>
      <c r="D38" s="2965">
        <v>100</v>
      </c>
      <c r="E38" s="3216"/>
      <c r="F38" s="3839">
        <f>SUMIF(114:114,E38,115:115)-SUMIF(114:114,C38,115:115)+100</f>
        <v>100</v>
      </c>
      <c r="G38" s="3216"/>
      <c r="H38" s="3839">
        <f>SUMIF(114:114,G38,115:115)-SUMIF(114:114,C38,115:115)+100</f>
        <v>100</v>
      </c>
      <c r="I38" s="3216"/>
      <c r="J38" s="3839">
        <f>SUMIF(114:114,I38,115:115)-SUMIF(114:114,C38,115:115)+100</f>
        <v>100</v>
      </c>
      <c r="K38" s="394"/>
      <c r="L38" s="2009"/>
      <c r="M38" s="1962"/>
      <c r="N38" s="1962"/>
      <c r="O38" s="2061"/>
      <c r="P38" s="4696"/>
      <c r="Q38" s="1533" t="str">
        <f t="shared" si="14"/>
        <v>宗地开发程度</v>
      </c>
      <c r="R38" s="3873" t="s">
        <v>13</v>
      </c>
      <c r="S38" s="3654">
        <f t="shared" si="10"/>
        <v>100</v>
      </c>
      <c r="T38" s="3873" t="s">
        <v>13</v>
      </c>
      <c r="U38" s="3654">
        <f t="shared" si="11"/>
        <v>100</v>
      </c>
      <c r="V38" s="3873" t="s">
        <v>13</v>
      </c>
      <c r="W38" s="3654">
        <f t="shared" si="12"/>
        <v>100</v>
      </c>
      <c r="X38" s="482"/>
      <c r="Y38" s="4603"/>
      <c r="Z38" s="28" t="str">
        <f t="shared" si="13"/>
        <v>宗地开发程度</v>
      </c>
      <c r="AA38" s="28">
        <f t="shared" si="3"/>
        <v>1</v>
      </c>
      <c r="AB38" s="28">
        <f t="shared" si="4"/>
        <v>1</v>
      </c>
      <c r="AC38" s="28">
        <f t="shared" si="5"/>
        <v>1</v>
      </c>
    </row>
    <row r="39" spans="1:31" ht="15">
      <c r="A39" s="3213"/>
      <c r="B39" s="2866" t="s">
        <v>1790</v>
      </c>
      <c r="C39" s="2903"/>
      <c r="D39" s="2967">
        <v>100</v>
      </c>
      <c r="E39" s="2903"/>
      <c r="F39" s="3839">
        <f>SUMIF(116:116,E39,117:117)-SUMIF(116:116,C39,117:117)+100</f>
        <v>100</v>
      </c>
      <c r="G39" s="2903"/>
      <c r="H39" s="3839">
        <f>SUMIF(116:116,G39,117:117)-SUMIF(116:116,C39,117:117)+100</f>
        <v>100</v>
      </c>
      <c r="I39" s="2903"/>
      <c r="J39" s="3839">
        <f>SUMIF(116:116,I39,117:117)-SUMIF(116:116,C39,117:117)+100</f>
        <v>100</v>
      </c>
      <c r="K39" s="394"/>
      <c r="L39" s="2013"/>
      <c r="M39" s="2008"/>
      <c r="N39" s="2008"/>
      <c r="O39" s="2063"/>
      <c r="P39" s="4696" t="s">
        <v>1608</v>
      </c>
      <c r="Q39" s="1533" t="str">
        <f t="shared" si="14"/>
        <v>工程地质条件</v>
      </c>
      <c r="R39" s="3874" t="s">
        <v>13</v>
      </c>
      <c r="S39" s="3876">
        <f t="shared" si="10"/>
        <v>100</v>
      </c>
      <c r="T39" s="3874" t="s">
        <v>13</v>
      </c>
      <c r="U39" s="3876">
        <f t="shared" si="11"/>
        <v>100</v>
      </c>
      <c r="V39" s="3874" t="s">
        <v>13</v>
      </c>
      <c r="W39" s="3876">
        <f t="shared" si="12"/>
        <v>100</v>
      </c>
      <c r="X39" s="935"/>
      <c r="Y39" s="4603" t="s">
        <v>1608</v>
      </c>
      <c r="Z39" s="933" t="str">
        <f t="shared" si="13"/>
        <v>工程地质条件</v>
      </c>
      <c r="AA39" s="933">
        <f t="shared" si="3"/>
        <v>1</v>
      </c>
      <c r="AB39" s="933">
        <f t="shared" si="4"/>
        <v>1</v>
      </c>
      <c r="AC39" s="933">
        <f t="shared" si="5"/>
        <v>1</v>
      </c>
    </row>
    <row r="40" spans="1:31" ht="15">
      <c r="A40" s="3213"/>
      <c r="B40" s="3209">
        <v>111</v>
      </c>
      <c r="C40" s="3207"/>
      <c r="D40" s="2967">
        <v>100</v>
      </c>
      <c r="E40" s="3207"/>
      <c r="F40" s="3839">
        <f>SUMIF(118:118,E40,119:119)-SUMIF(118:118,C40,119:119)+100</f>
        <v>100</v>
      </c>
      <c r="G40" s="3207"/>
      <c r="H40" s="3839">
        <f>SUMIF(118:118,G40,119:119)-SUMIF(118:118,C40,119:119)+100</f>
        <v>100</v>
      </c>
      <c r="I40" s="3221"/>
      <c r="J40" s="3839">
        <f>SUMIF(118:118,I40,119:119)-SUMIF(118:118,C40,119:119)+100</f>
        <v>100</v>
      </c>
      <c r="K40" s="395"/>
      <c r="L40" s="2013"/>
      <c r="M40" s="2008"/>
      <c r="N40" s="2008"/>
      <c r="O40" s="2063"/>
      <c r="P40" s="4696"/>
      <c r="Q40" s="1533">
        <f t="shared" si="14"/>
        <v>111</v>
      </c>
      <c r="R40" s="3874" t="s">
        <v>13</v>
      </c>
      <c r="S40" s="3876">
        <f t="shared" si="10"/>
        <v>100</v>
      </c>
      <c r="T40" s="3874" t="s">
        <v>13</v>
      </c>
      <c r="U40" s="3876">
        <f t="shared" si="11"/>
        <v>100</v>
      </c>
      <c r="V40" s="3874" t="s">
        <v>13</v>
      </c>
      <c r="W40" s="3876">
        <f t="shared" si="12"/>
        <v>100</v>
      </c>
      <c r="X40" s="935"/>
      <c r="Y40" s="4603"/>
      <c r="Z40" s="933">
        <f t="shared" si="13"/>
        <v>111</v>
      </c>
      <c r="AA40" s="933">
        <f t="shared" si="3"/>
        <v>1</v>
      </c>
      <c r="AB40" s="933">
        <f t="shared" si="4"/>
        <v>1</v>
      </c>
      <c r="AC40" s="933">
        <f t="shared" si="5"/>
        <v>1</v>
      </c>
    </row>
    <row r="41" spans="1:31" ht="15">
      <c r="A41" s="3213"/>
      <c r="B41" s="3209">
        <v>111</v>
      </c>
      <c r="C41" s="3207"/>
      <c r="D41" s="2967">
        <v>100</v>
      </c>
      <c r="E41" s="3207"/>
      <c r="F41" s="3839">
        <f>SUMIF(120:120,E41,121:121)-SUMIF(120:120,C41,121:121)+100</f>
        <v>100</v>
      </c>
      <c r="G41" s="3207"/>
      <c r="H41" s="3839">
        <f>SUMIF(120:120,G41,121:121)-SUMIF(120:120,C41,121:121)+100</f>
        <v>100</v>
      </c>
      <c r="I41" s="3221"/>
      <c r="J41" s="3839">
        <f>SUMIF(120:120,I41,121:121)-SUMIF(120:120,C41,121:121)+100</f>
        <v>100</v>
      </c>
      <c r="K41" s="395"/>
      <c r="L41" s="2013"/>
      <c r="M41" s="2008"/>
      <c r="N41" s="2008"/>
      <c r="O41" s="2063"/>
      <c r="P41" s="4696"/>
      <c r="Q41" s="1533">
        <f t="shared" si="14"/>
        <v>111</v>
      </c>
      <c r="R41" s="3874" t="s">
        <v>13</v>
      </c>
      <c r="S41" s="3876">
        <f t="shared" si="10"/>
        <v>100</v>
      </c>
      <c r="T41" s="3874" t="s">
        <v>13</v>
      </c>
      <c r="U41" s="3876">
        <f t="shared" si="11"/>
        <v>100</v>
      </c>
      <c r="V41" s="3874" t="s">
        <v>13</v>
      </c>
      <c r="W41" s="3876">
        <f t="shared" si="12"/>
        <v>100</v>
      </c>
      <c r="X41" s="935"/>
      <c r="Y41" s="4603"/>
      <c r="Z41" s="933">
        <f t="shared" si="13"/>
        <v>111</v>
      </c>
      <c r="AA41" s="933">
        <f t="shared" si="3"/>
        <v>1</v>
      </c>
      <c r="AB41" s="933">
        <f t="shared" si="4"/>
        <v>1</v>
      </c>
      <c r="AC41" s="933">
        <f t="shared" si="5"/>
        <v>1</v>
      </c>
    </row>
    <row r="42" spans="1:31" s="279" customFormat="1" ht="15.75" thickBot="1">
      <c r="A42" s="3217"/>
      <c r="B42" s="3209">
        <v>111</v>
      </c>
      <c r="C42" s="3218"/>
      <c r="D42" s="3219">
        <v>100</v>
      </c>
      <c r="E42" s="3207"/>
      <c r="F42" s="3841">
        <f>SUMIF(122:122,E42,123:123)-SUMIF(122:122,C42,123:123)+100</f>
        <v>100</v>
      </c>
      <c r="G42" s="3207"/>
      <c r="H42" s="3841">
        <f>SUMIF(122:122,G42,123:123)-SUMIF(122:122,C42,123:123)+100</f>
        <v>100</v>
      </c>
      <c r="I42" s="3221"/>
      <c r="J42" s="3841">
        <f>SUMIF(122:122,I42,123:123)-SUMIF(122:122,C42,123:123)+100</f>
        <v>100</v>
      </c>
      <c r="K42" s="438"/>
      <c r="L42" s="2012"/>
      <c r="M42" s="2014"/>
      <c r="N42" s="2014"/>
      <c r="O42" s="2064"/>
      <c r="P42" s="4696"/>
      <c r="Q42" s="1533">
        <f t="shared" si="14"/>
        <v>111</v>
      </c>
      <c r="R42" s="3875" t="s">
        <v>13</v>
      </c>
      <c r="S42" s="3877">
        <f t="shared" si="10"/>
        <v>100</v>
      </c>
      <c r="T42" s="3875" t="s">
        <v>13</v>
      </c>
      <c r="U42" s="3877">
        <f t="shared" si="11"/>
        <v>100</v>
      </c>
      <c r="V42" s="3875" t="s">
        <v>13</v>
      </c>
      <c r="W42" s="3877">
        <f t="shared" si="12"/>
        <v>100</v>
      </c>
      <c r="X42" s="484"/>
      <c r="Y42" s="4603"/>
      <c r="Z42" s="485">
        <f t="shared" si="13"/>
        <v>111</v>
      </c>
      <c r="AA42" s="933">
        <f t="shared" si="3"/>
        <v>1</v>
      </c>
      <c r="AB42" s="933">
        <f t="shared" si="4"/>
        <v>1</v>
      </c>
      <c r="AC42" s="933">
        <f t="shared" si="5"/>
        <v>1</v>
      </c>
    </row>
    <row r="43" spans="1:31" ht="15">
      <c r="A43" s="286" t="s">
        <v>1756</v>
      </c>
      <c r="B43" s="1456" t="s">
        <v>1834</v>
      </c>
      <c r="C43" s="439" t="s">
        <v>0</v>
      </c>
      <c r="D43" s="3282"/>
      <c r="E43" s="3311"/>
      <c r="F43" s="3259"/>
      <c r="G43" s="3312"/>
      <c r="H43" s="3260"/>
      <c r="I43" s="3311"/>
      <c r="J43" s="3260"/>
      <c r="K43" s="2939"/>
      <c r="L43" s="2015"/>
      <c r="M43" s="2008"/>
      <c r="N43" s="2008"/>
      <c r="O43" s="2008"/>
      <c r="P43" s="4605" t="str">
        <f>A43</f>
        <v>成交单价</v>
      </c>
      <c r="Q43" s="4605"/>
      <c r="R43" s="4606">
        <f>E43</f>
        <v>0</v>
      </c>
      <c r="S43" s="4606"/>
      <c r="T43" s="4606">
        <f>G43</f>
        <v>0</v>
      </c>
      <c r="U43" s="4606"/>
      <c r="V43" s="4606">
        <f>I43</f>
        <v>0</v>
      </c>
      <c r="W43" s="4606"/>
      <c r="X43" s="265"/>
      <c r="Y43" s="486"/>
      <c r="Z43" s="265"/>
      <c r="AA43" s="265"/>
      <c r="AB43" s="265"/>
      <c r="AC43" s="265"/>
    </row>
    <row r="44" spans="1:31" ht="15.75" thickBot="1">
      <c r="A44" s="289" t="s">
        <v>1705</v>
      </c>
      <c r="B44" s="440"/>
      <c r="C44" s="3858" t="e">
        <f>R45</f>
        <v>#DIV/0!</v>
      </c>
      <c r="D44" s="3963" t="s">
        <v>2047</v>
      </c>
      <c r="E44" s="3858" t="e">
        <f>R44</f>
        <v>#DIV/0!</v>
      </c>
      <c r="F44" s="2878"/>
      <c r="G44" s="3847" t="e">
        <f>T44</f>
        <v>#DIV/0!</v>
      </c>
      <c r="H44" s="2878"/>
      <c r="I44" s="3858" t="e">
        <f>V44</f>
        <v>#DIV/0!</v>
      </c>
      <c r="J44" s="2878"/>
      <c r="K44" s="2932">
        <f>F44+H44+J44</f>
        <v>0</v>
      </c>
      <c r="L44" s="2015"/>
      <c r="M44" s="2008"/>
      <c r="N44" s="2008"/>
      <c r="O44" s="2008"/>
      <c r="P44" s="4605" t="str">
        <f>A44</f>
        <v>比较价值（元/平方米）</v>
      </c>
      <c r="Q44" s="4605"/>
      <c r="R44" s="4606" t="e">
        <f>ROUND(PRODUCT(R43,AA9:AA42),0)</f>
        <v>#DIV/0!</v>
      </c>
      <c r="S44" s="4606"/>
      <c r="T44" s="4606" t="e">
        <f>ROUND(PRODUCT(T43,AB9:AB42),0)</f>
        <v>#DIV/0!</v>
      </c>
      <c r="U44" s="4606"/>
      <c r="V44" s="4606" t="e">
        <f>ROUND(PRODUCT(V43,AC9:AC42),0)</f>
        <v>#DIV/0!</v>
      </c>
      <c r="W44" s="4606"/>
      <c r="X44" s="265"/>
      <c r="Y44" s="265"/>
      <c r="Z44" s="265"/>
      <c r="AA44" s="265"/>
      <c r="AB44" s="265"/>
      <c r="AC44" s="265"/>
    </row>
    <row r="45" spans="1:31" ht="15.75" thickBot="1">
      <c r="A45" s="291" t="s">
        <v>1706</v>
      </c>
      <c r="B45" s="292"/>
      <c r="C45" s="3859" t="e">
        <f>R45</f>
        <v>#DIV/0!</v>
      </c>
      <c r="D45" s="3261"/>
      <c r="E45" s="3261"/>
      <c r="F45" s="3261"/>
      <c r="G45" s="3261"/>
      <c r="H45" s="3261"/>
      <c r="I45" s="3261"/>
      <c r="J45" s="3261"/>
      <c r="K45" s="3283"/>
      <c r="L45" s="2015"/>
      <c r="M45" s="2008"/>
      <c r="N45" s="2008"/>
      <c r="O45" s="2008"/>
      <c r="P45" s="4688" t="str">
        <f>A45</f>
        <v>估价对象XX用房的比较价值（楼面单价，元/平方米）</v>
      </c>
      <c r="Q45" s="4689"/>
      <c r="R45" s="4690" t="e">
        <f>ROUND(IF(D44="简单平均",AVERAGE(R44:W44),R44*F44+T44*H44+V44*J44),0)</f>
        <v>#DIV/0!</v>
      </c>
      <c r="S45" s="4690"/>
      <c r="T45" s="4690"/>
      <c r="U45" s="4690"/>
      <c r="V45" s="4690"/>
      <c r="W45" s="4690"/>
      <c r="X45" s="265"/>
      <c r="Y45" s="265"/>
      <c r="Z45" s="265"/>
      <c r="AA45" s="265"/>
      <c r="AB45" s="265"/>
      <c r="AC45" s="265"/>
    </row>
    <row r="46" spans="1:31">
      <c r="A46" s="2008"/>
      <c r="B46" s="2008"/>
      <c r="C46" s="2008"/>
      <c r="D46" s="2008"/>
      <c r="E46" s="2008"/>
      <c r="F46" s="2008"/>
      <c r="G46" s="2019"/>
      <c r="H46" s="2008"/>
      <c r="I46" s="2008"/>
      <c r="J46" s="2008"/>
      <c r="K46" s="2020"/>
      <c r="L46" s="2016"/>
      <c r="M46" s="2008"/>
      <c r="N46" s="2008"/>
      <c r="O46" s="2008"/>
      <c r="P46" s="2008"/>
      <c r="Q46" s="2008"/>
      <c r="R46" s="2008"/>
      <c r="S46" s="2008"/>
      <c r="T46" s="2008"/>
      <c r="U46" s="2008"/>
      <c r="V46" s="2008"/>
      <c r="W46" s="2008"/>
      <c r="X46" s="2008"/>
      <c r="Y46" s="2008"/>
      <c r="Z46" s="2008"/>
      <c r="AA46" s="2008"/>
      <c r="AB46" s="2008"/>
      <c r="AC46" s="2008"/>
      <c r="AD46" s="2008"/>
      <c r="AE46" s="2008"/>
    </row>
    <row r="47" spans="1:31">
      <c r="A47" s="2008"/>
      <c r="B47" s="2008"/>
      <c r="C47" s="2008"/>
      <c r="D47" s="2008"/>
      <c r="E47" s="2008"/>
      <c r="F47" s="2008"/>
      <c r="G47" s="2008"/>
      <c r="H47" s="2008"/>
      <c r="I47" s="2008"/>
      <c r="J47" s="2008"/>
      <c r="K47" s="2020"/>
      <c r="L47" s="2016"/>
      <c r="M47" s="2008"/>
      <c r="N47" s="2008"/>
      <c r="O47" s="2008"/>
      <c r="P47" s="2008"/>
      <c r="Q47" s="2008"/>
      <c r="R47" s="2008"/>
      <c r="S47" s="2008"/>
      <c r="T47" s="2008"/>
      <c r="U47" s="2008"/>
      <c r="V47" s="2008"/>
      <c r="W47" s="2008"/>
      <c r="X47" s="2008"/>
      <c r="Y47" s="2008"/>
      <c r="Z47" s="2008"/>
      <c r="AA47" s="2008"/>
      <c r="AB47" s="2008"/>
      <c r="AC47" s="2008"/>
      <c r="AD47" s="2008"/>
      <c r="AE47" s="2008"/>
    </row>
    <row r="48" spans="1:31" ht="13.5" customHeight="1">
      <c r="A48" s="2008"/>
      <c r="B48" s="2008"/>
      <c r="C48" s="296" t="s">
        <v>1707</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2020"/>
      <c r="L48" s="2016"/>
      <c r="M48" s="2008"/>
      <c r="N48" s="2008"/>
      <c r="O48" s="2008"/>
      <c r="P48" s="2008"/>
      <c r="Q48" s="2008"/>
      <c r="R48" s="2008"/>
      <c r="S48" s="2008"/>
      <c r="T48" s="2008"/>
      <c r="U48" s="2008"/>
      <c r="V48" s="2008"/>
      <c r="W48" s="2008"/>
      <c r="X48" s="2008"/>
      <c r="Y48" s="2008"/>
      <c r="Z48" s="2008"/>
      <c r="AA48" s="2008"/>
      <c r="AB48" s="2008"/>
      <c r="AC48" s="2008"/>
      <c r="AD48" s="2008"/>
      <c r="AE48" s="2008"/>
    </row>
    <row r="49" spans="1:31" ht="13.5" customHeight="1">
      <c r="A49" s="2008"/>
      <c r="B49" s="2008"/>
      <c r="C49" s="296" t="s">
        <v>1708</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2020"/>
      <c r="L49" s="2016"/>
      <c r="M49" s="2008"/>
      <c r="N49" s="2008"/>
      <c r="O49" s="2008"/>
      <c r="P49" s="2008"/>
      <c r="Q49" s="2008"/>
      <c r="R49" s="2008"/>
      <c r="S49" s="2008"/>
      <c r="T49" s="2008"/>
      <c r="U49" s="2008"/>
      <c r="V49" s="2008"/>
      <c r="W49" s="2008"/>
      <c r="X49" s="2008"/>
      <c r="Y49" s="2008"/>
      <c r="Z49" s="2008"/>
      <c r="AA49" s="2008"/>
      <c r="AB49" s="2008"/>
      <c r="AC49" s="2008"/>
      <c r="AD49" s="2008"/>
      <c r="AE49" s="2008"/>
    </row>
    <row r="50" spans="1:31" s="301" customFormat="1" ht="13.5" customHeight="1">
      <c r="A50" s="2018"/>
      <c r="B50" s="2018"/>
      <c r="C50" s="296" t="s">
        <v>1709</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2023"/>
      <c r="L50" s="2017"/>
      <c r="M50" s="2018"/>
      <c r="N50" s="2018"/>
      <c r="O50" s="2018"/>
      <c r="P50" s="2018"/>
      <c r="Q50" s="2018"/>
      <c r="R50" s="2018"/>
      <c r="S50" s="2018"/>
      <c r="T50" s="2018"/>
      <c r="U50" s="2018"/>
      <c r="V50" s="2018"/>
      <c r="W50" s="2018"/>
      <c r="X50" s="2018"/>
      <c r="Y50" s="2018"/>
      <c r="Z50" s="2018"/>
      <c r="AA50" s="2018"/>
      <c r="AB50" s="2018"/>
      <c r="AC50" s="2018"/>
      <c r="AD50" s="2018"/>
      <c r="AE50" s="2018"/>
    </row>
    <row r="51" spans="1:31" s="301" customFormat="1" ht="15" thickBot="1">
      <c r="A51" s="2018"/>
      <c r="B51" s="2021"/>
      <c r="C51" s="475"/>
      <c r="D51" s="473"/>
      <c r="E51" s="473"/>
      <c r="F51" s="473"/>
      <c r="G51" s="473"/>
      <c r="H51" s="473"/>
      <c r="I51" s="473"/>
      <c r="J51" s="473"/>
      <c r="K51" s="2023"/>
      <c r="L51" s="2017"/>
      <c r="M51" s="2018"/>
      <c r="N51" s="2018"/>
      <c r="O51" s="2018"/>
      <c r="P51" s="2018"/>
      <c r="Q51" s="2018"/>
      <c r="R51" s="2018"/>
      <c r="S51" s="2018"/>
      <c r="T51" s="2018"/>
      <c r="U51" s="2018"/>
      <c r="V51" s="2018"/>
      <c r="W51" s="2018"/>
      <c r="X51" s="2018"/>
      <c r="Y51" s="2018"/>
      <c r="Z51" s="2018"/>
      <c r="AA51" s="2018"/>
      <c r="AB51" s="2018"/>
      <c r="AC51" s="2018"/>
      <c r="AD51" s="2018"/>
      <c r="AE51" s="2018"/>
    </row>
    <row r="52" spans="1:31" ht="27">
      <c r="A52" s="441" t="s">
        <v>1793</v>
      </c>
      <c r="B52" s="442" t="s">
        <v>1794</v>
      </c>
      <c r="C52" s="1457" t="s">
        <v>1795</v>
      </c>
      <c r="D52" s="1458" t="s">
        <v>1796</v>
      </c>
      <c r="E52" s="443" t="s">
        <v>1797</v>
      </c>
      <c r="F52" s="444" t="s">
        <v>1798</v>
      </c>
      <c r="G52" s="4573" t="s">
        <v>1799</v>
      </c>
      <c r="H52" s="4710"/>
      <c r="I52" s="3135" t="s">
        <v>1835</v>
      </c>
      <c r="J52" s="3135">
        <f>项目基本情况!F35</f>
        <v>0</v>
      </c>
      <c r="K52" s="1460" t="s">
        <v>1801</v>
      </c>
      <c r="L52" s="2016"/>
      <c r="M52" s="2008"/>
      <c r="N52" s="2008"/>
      <c r="O52" s="2008"/>
      <c r="P52" s="2008"/>
      <c r="Q52" s="2008"/>
      <c r="R52" s="2008"/>
      <c r="S52" s="2008"/>
      <c r="T52" s="2008"/>
      <c r="U52" s="2008"/>
      <c r="V52" s="2008"/>
      <c r="W52" s="2008"/>
      <c r="X52" s="2008"/>
      <c r="Y52" s="2008"/>
      <c r="Z52" s="2008"/>
      <c r="AA52" s="2008"/>
      <c r="AB52" s="2008"/>
      <c r="AC52" s="2008"/>
      <c r="AD52" s="2008"/>
      <c r="AE52" s="2008"/>
    </row>
    <row r="53" spans="1:31" s="446" customFormat="1">
      <c r="A53" s="445" t="s">
        <v>1802</v>
      </c>
      <c r="B53" s="3887" t="e">
        <f>C45</f>
        <v>#DIV/0!</v>
      </c>
      <c r="C53" s="3194">
        <v>1</v>
      </c>
      <c r="D53" s="3171">
        <v>1</v>
      </c>
      <c r="E53" s="3170">
        <f>'数据-汇总表'!E8+'数据-汇总表'!E9</f>
        <v>50813.86</v>
      </c>
      <c r="F53" s="3173" t="e">
        <f t="shared" ref="F53:F62" si="15">ROUND(B53*E53/10000,0)</f>
        <v>#DIV/0!</v>
      </c>
      <c r="G53" s="4711"/>
      <c r="H53" s="4698"/>
      <c r="I53" s="2805">
        <v>1</v>
      </c>
      <c r="J53" s="2805">
        <v>1</v>
      </c>
      <c r="K53" s="2018"/>
      <c r="L53" s="2067"/>
      <c r="M53" s="2067"/>
      <c r="N53" s="2067"/>
      <c r="O53" s="2067"/>
      <c r="P53" s="2067"/>
      <c r="Q53" s="2067"/>
      <c r="R53" s="2067"/>
      <c r="S53" s="2067"/>
      <c r="T53" s="2067"/>
      <c r="U53" s="2067"/>
      <c r="V53" s="2067"/>
      <c r="W53" s="2067"/>
      <c r="X53" s="2067"/>
      <c r="Y53" s="2067"/>
      <c r="Z53" s="2067"/>
      <c r="AA53" s="2067"/>
      <c r="AB53" s="2067"/>
      <c r="AC53" s="2067"/>
      <c r="AD53" s="2067"/>
      <c r="AE53" s="2067"/>
    </row>
    <row r="54" spans="1:31" s="446" customFormat="1">
      <c r="A54" s="447" t="s">
        <v>1803</v>
      </c>
      <c r="B54" s="3887" t="e">
        <f>ROUND($C$45*C54*D54,0)</f>
        <v>#DIV/0!</v>
      </c>
      <c r="C54" s="3169">
        <f t="shared" ref="C54:C62" si="16">IF($C$52="北京市系数",I54,J54)</f>
        <v>0</v>
      </c>
      <c r="D54" s="3172">
        <v>0.25</v>
      </c>
      <c r="E54" s="3174"/>
      <c r="F54" s="3173" t="e">
        <f t="shared" si="15"/>
        <v>#DIV/0!</v>
      </c>
      <c r="G54" s="3181" t="s">
        <v>1804</v>
      </c>
      <c r="H54" s="3178">
        <f>项目基本情况!B37</f>
        <v>0</v>
      </c>
      <c r="I54" s="2805">
        <f>SUMIF(修正!A59:A70,H54,修正!B59:B70)</f>
        <v>0</v>
      </c>
      <c r="J54" s="3179"/>
      <c r="K54" s="2008"/>
      <c r="L54" s="2067"/>
      <c r="M54" s="2067"/>
      <c r="N54" s="2067"/>
      <c r="O54" s="2067"/>
      <c r="P54" s="2067"/>
      <c r="Q54" s="2067"/>
      <c r="R54" s="2067"/>
      <c r="S54" s="2067"/>
      <c r="T54" s="2067"/>
      <c r="U54" s="2067"/>
      <c r="V54" s="2067"/>
      <c r="W54" s="2067"/>
      <c r="X54" s="2067"/>
      <c r="Y54" s="2067"/>
      <c r="Z54" s="2067"/>
      <c r="AA54" s="2067"/>
      <c r="AB54" s="2067"/>
      <c r="AC54" s="2067"/>
      <c r="AD54" s="2067"/>
      <c r="AE54" s="2067"/>
    </row>
    <row r="55" spans="1:31" s="446" customFormat="1">
      <c r="A55" s="447" t="s">
        <v>1805</v>
      </c>
      <c r="B55" s="3887" t="e">
        <f t="shared" ref="B55:B62" si="17">ROUND($C$45*C55*D55,0)</f>
        <v>#DIV/0!</v>
      </c>
      <c r="C55" s="3169">
        <f t="shared" si="16"/>
        <v>0</v>
      </c>
      <c r="D55" s="3172">
        <v>0.25</v>
      </c>
      <c r="E55" s="3174"/>
      <c r="F55" s="3173" t="e">
        <f t="shared" si="15"/>
        <v>#DIV/0!</v>
      </c>
      <c r="G55" s="3182"/>
      <c r="H55" s="3178">
        <f>项目基本情况!B37</f>
        <v>0</v>
      </c>
      <c r="I55" s="2805">
        <f>SUMIF(修正!A59:A70,H55,修正!C59:C70)</f>
        <v>0</v>
      </c>
      <c r="J55" s="3179"/>
      <c r="K55" s="2018"/>
      <c r="L55" s="2067"/>
      <c r="M55" s="2067"/>
      <c r="N55" s="2067"/>
      <c r="O55" s="2067"/>
      <c r="P55" s="2067"/>
      <c r="Q55" s="2067"/>
      <c r="R55" s="2067"/>
      <c r="S55" s="2067"/>
      <c r="T55" s="2067"/>
      <c r="U55" s="2067"/>
      <c r="V55" s="2067"/>
      <c r="W55" s="2067"/>
      <c r="X55" s="2067"/>
      <c r="Y55" s="2067"/>
      <c r="Z55" s="2067"/>
      <c r="AA55" s="2067"/>
      <c r="AB55" s="2067"/>
      <c r="AC55" s="2067"/>
      <c r="AD55" s="2067"/>
      <c r="AE55" s="2067"/>
    </row>
    <row r="56" spans="1:31" s="446" customFormat="1">
      <c r="A56" s="447" t="s">
        <v>1806</v>
      </c>
      <c r="B56" s="3887" t="e">
        <f t="shared" si="17"/>
        <v>#DIV/0!</v>
      </c>
      <c r="C56" s="3169">
        <f t="shared" si="16"/>
        <v>0</v>
      </c>
      <c r="D56" s="3172">
        <v>0.25</v>
      </c>
      <c r="E56" s="3174"/>
      <c r="F56" s="3173" t="e">
        <f t="shared" si="15"/>
        <v>#DIV/0!</v>
      </c>
      <c r="G56" s="3182"/>
      <c r="H56" s="3178">
        <f>项目基本情况!B37</f>
        <v>0</v>
      </c>
      <c r="I56" s="2805">
        <f>SUMIF(修正!A59:A70,H56,修正!D59:D70)</f>
        <v>0</v>
      </c>
      <c r="J56" s="3179"/>
      <c r="K56" s="2008"/>
      <c r="L56" s="2067"/>
      <c r="M56" s="2067"/>
      <c r="N56" s="2067"/>
      <c r="O56" s="2067"/>
      <c r="P56" s="2067"/>
      <c r="Q56" s="2067"/>
      <c r="R56" s="2067"/>
      <c r="S56" s="2067"/>
      <c r="T56" s="2067"/>
      <c r="U56" s="2067"/>
      <c r="V56" s="2067"/>
      <c r="W56" s="2067"/>
      <c r="X56" s="2067"/>
      <c r="Y56" s="2067"/>
      <c r="Z56" s="2067"/>
      <c r="AA56" s="2067"/>
      <c r="AB56" s="2067"/>
      <c r="AC56" s="2067"/>
      <c r="AD56" s="2067"/>
      <c r="AE56" s="2067"/>
    </row>
    <row r="57" spans="1:31" s="446" customFormat="1" hidden="1">
      <c r="A57" s="447"/>
      <c r="B57" s="3887"/>
      <c r="C57" s="3169"/>
      <c r="D57" s="3172"/>
      <c r="E57" s="3174"/>
      <c r="F57" s="3173"/>
      <c r="G57" s="3183"/>
      <c r="H57" s="3178"/>
      <c r="I57" s="2805"/>
      <c r="J57" s="3179"/>
      <c r="K57" s="2018"/>
      <c r="L57" s="2067"/>
      <c r="M57" s="2067"/>
      <c r="N57" s="2067"/>
      <c r="O57" s="2067"/>
      <c r="P57" s="2067"/>
      <c r="Q57" s="2067"/>
      <c r="R57" s="2067"/>
      <c r="S57" s="2067"/>
      <c r="T57" s="2067"/>
      <c r="U57" s="2067"/>
      <c r="V57" s="2067"/>
      <c r="W57" s="2067"/>
      <c r="X57" s="2067"/>
      <c r="Y57" s="2067"/>
      <c r="Z57" s="2067"/>
      <c r="AA57" s="2067"/>
      <c r="AB57" s="2067"/>
      <c r="AC57" s="2067"/>
      <c r="AD57" s="2067"/>
      <c r="AE57" s="2067"/>
    </row>
    <row r="58" spans="1:31" s="446" customFormat="1">
      <c r="A58" s="447" t="s">
        <v>1807</v>
      </c>
      <c r="B58" s="3887" t="e">
        <f t="shared" si="17"/>
        <v>#DIV/0!</v>
      </c>
      <c r="C58" s="3169">
        <f t="shared" si="16"/>
        <v>0</v>
      </c>
      <c r="D58" s="3172">
        <v>0.25</v>
      </c>
      <c r="E58" s="3175">
        <f>'数据-汇总表'!E11</f>
        <v>0</v>
      </c>
      <c r="F58" s="3173" t="e">
        <f t="shared" si="15"/>
        <v>#DIV/0!</v>
      </c>
      <c r="G58" s="3184" t="s">
        <v>1808</v>
      </c>
      <c r="H58" s="3178">
        <f>项目基本情况!C37</f>
        <v>0</v>
      </c>
      <c r="I58" s="2805">
        <f>SUMIF(修正!A59:A70,H58,修正!E59:E70)</f>
        <v>0</v>
      </c>
      <c r="J58" s="3179"/>
      <c r="K58" s="2008"/>
      <c r="L58" s="2067"/>
      <c r="M58" s="2067"/>
      <c r="N58" s="2067"/>
      <c r="O58" s="2067"/>
      <c r="P58" s="2067"/>
      <c r="Q58" s="2067"/>
      <c r="R58" s="2067"/>
      <c r="S58" s="2067"/>
      <c r="T58" s="2067"/>
      <c r="U58" s="2067"/>
      <c r="V58" s="2067"/>
      <c r="W58" s="2067"/>
      <c r="X58" s="2067"/>
      <c r="Y58" s="2067"/>
      <c r="Z58" s="2067"/>
      <c r="AA58" s="2067"/>
      <c r="AB58" s="2067"/>
      <c r="AC58" s="2067"/>
      <c r="AD58" s="2067"/>
      <c r="AE58" s="2067"/>
    </row>
    <row r="59" spans="1:31" s="446" customFormat="1">
      <c r="A59" s="447" t="s">
        <v>1809</v>
      </c>
      <c r="B59" s="3887" t="e">
        <f t="shared" si="17"/>
        <v>#DIV/0!</v>
      </c>
      <c r="C59" s="3169">
        <f t="shared" si="16"/>
        <v>0</v>
      </c>
      <c r="D59" s="3172">
        <v>0.25</v>
      </c>
      <c r="E59" s="3175">
        <f>'数据-汇总表'!E12</f>
        <v>195.18</v>
      </c>
      <c r="F59" s="3173" t="e">
        <f t="shared" si="15"/>
        <v>#DIV/0!</v>
      </c>
      <c r="G59" s="3185" t="s">
        <v>1810</v>
      </c>
      <c r="H59" s="3178">
        <f>IF(G59="商业",项目基本情况!B37,IF(G59="办公",项目基本情况!C37,IF(G59="住宅",项目基本情况!D37,项目基本情况!E37)))</f>
        <v>0</v>
      </c>
      <c r="I59" s="2805">
        <f>SUMIF(修正!A59:A70,H59,修正!F59:F70)</f>
        <v>0</v>
      </c>
      <c r="J59" s="3179"/>
      <c r="K59" s="2018"/>
      <c r="L59" s="2067"/>
      <c r="M59" s="2067"/>
      <c r="N59" s="2067"/>
      <c r="O59" s="2067"/>
      <c r="P59" s="2067"/>
      <c r="Q59" s="2067"/>
      <c r="R59" s="2067"/>
      <c r="S59" s="2067"/>
      <c r="T59" s="2067"/>
      <c r="U59" s="2067"/>
      <c r="V59" s="2067"/>
      <c r="W59" s="2067"/>
      <c r="X59" s="2067"/>
      <c r="Y59" s="2067"/>
      <c r="Z59" s="2067"/>
      <c r="AA59" s="2067"/>
      <c r="AB59" s="2067"/>
      <c r="AC59" s="2067"/>
      <c r="AD59" s="2067"/>
      <c r="AE59" s="2067"/>
    </row>
    <row r="60" spans="1:31" s="446" customFormat="1">
      <c r="A60" s="447" t="s">
        <v>1811</v>
      </c>
      <c r="B60" s="3887" t="e">
        <f t="shared" si="17"/>
        <v>#DIV/0!</v>
      </c>
      <c r="C60" s="3169">
        <f t="shared" si="16"/>
        <v>0</v>
      </c>
      <c r="D60" s="3172">
        <v>0.25</v>
      </c>
      <c r="E60" s="3175">
        <f>'数据-汇总表'!E13</f>
        <v>0</v>
      </c>
      <c r="F60" s="3173" t="e">
        <f t="shared" si="15"/>
        <v>#DIV/0!</v>
      </c>
      <c r="G60" s="3185" t="s">
        <v>1812</v>
      </c>
      <c r="H60" s="3178">
        <f>IF(G60="商业",项目基本情况!B37,IF(G60="办公",项目基本情况!C37,IF(G60="住宅",项目基本情况!D37,项目基本情况!E37)))</f>
        <v>0</v>
      </c>
      <c r="I60" s="2805">
        <f>SUMIF(修正!A59:A70,H60,修正!G59:G70)</f>
        <v>0</v>
      </c>
      <c r="J60" s="3179"/>
      <c r="K60" s="2008"/>
      <c r="L60" s="2067"/>
      <c r="M60" s="2067"/>
      <c r="N60" s="2067"/>
      <c r="O60" s="2067"/>
      <c r="P60" s="2067"/>
      <c r="Q60" s="2067"/>
      <c r="R60" s="2067"/>
      <c r="S60" s="2067"/>
      <c r="T60" s="2067"/>
      <c r="U60" s="2067"/>
      <c r="V60" s="2067"/>
      <c r="W60" s="2067"/>
      <c r="X60" s="2067"/>
      <c r="Y60" s="2067"/>
      <c r="Z60" s="2067"/>
      <c r="AA60" s="2067"/>
      <c r="AB60" s="2067"/>
      <c r="AC60" s="2067"/>
      <c r="AD60" s="2067"/>
      <c r="AE60" s="2067"/>
    </row>
    <row r="61" spans="1:31" s="446" customFormat="1">
      <c r="A61" s="447" t="s">
        <v>1813</v>
      </c>
      <c r="B61" s="3887" t="e">
        <f t="shared" si="17"/>
        <v>#DIV/0!</v>
      </c>
      <c r="C61" s="3169">
        <f t="shared" si="16"/>
        <v>0</v>
      </c>
      <c r="D61" s="3172">
        <v>0.25</v>
      </c>
      <c r="E61" s="3175">
        <f>'数据-汇总表'!E14</f>
        <v>0</v>
      </c>
      <c r="F61" s="3173" t="e">
        <f t="shared" si="15"/>
        <v>#DIV/0!</v>
      </c>
      <c r="G61" s="3184" t="s">
        <v>1804</v>
      </c>
      <c r="H61" s="3178">
        <f>项目基本情况!B37</f>
        <v>0</v>
      </c>
      <c r="I61" s="2805">
        <f>SUMIF(修正!A59:A70,H61,修正!G59:G70)</f>
        <v>0</v>
      </c>
      <c r="J61" s="3179"/>
      <c r="K61" s="2018"/>
      <c r="L61" s="2067"/>
      <c r="M61" s="2067"/>
      <c r="N61" s="2067"/>
      <c r="O61" s="2067"/>
      <c r="P61" s="2067"/>
      <c r="Q61" s="2067"/>
      <c r="R61" s="2067"/>
      <c r="S61" s="2067"/>
      <c r="T61" s="2067"/>
      <c r="U61" s="2067"/>
      <c r="V61" s="2067"/>
      <c r="W61" s="2067"/>
      <c r="X61" s="2067"/>
      <c r="Y61" s="2067"/>
      <c r="Z61" s="2067"/>
      <c r="AA61" s="2067"/>
      <c r="AB61" s="2067"/>
      <c r="AC61" s="2067"/>
      <c r="AD61" s="2067"/>
      <c r="AE61" s="2067"/>
    </row>
    <row r="62" spans="1:31" s="446" customFormat="1" ht="15" thickBot="1">
      <c r="A62" s="447" t="s">
        <v>1814</v>
      </c>
      <c r="B62" s="3887" t="e">
        <f t="shared" si="17"/>
        <v>#DIV/0!</v>
      </c>
      <c r="C62" s="3169">
        <f t="shared" si="16"/>
        <v>0</v>
      </c>
      <c r="D62" s="3172">
        <v>0.25</v>
      </c>
      <c r="E62" s="3175">
        <f>'数据-汇总表'!E15</f>
        <v>4784.37</v>
      </c>
      <c r="F62" s="3173" t="e">
        <f t="shared" si="15"/>
        <v>#DIV/0!</v>
      </c>
      <c r="G62" s="3186" t="s">
        <v>1808</v>
      </c>
      <c r="H62" s="3180">
        <f>项目基本情况!C37</f>
        <v>0</v>
      </c>
      <c r="I62" s="2805">
        <f>SUMIF(修正!A59:A70,H62,修正!G59:G70)</f>
        <v>0</v>
      </c>
      <c r="J62" s="3179"/>
      <c r="K62" s="2008"/>
      <c r="L62" s="2067"/>
      <c r="M62" s="2067"/>
      <c r="N62" s="2067"/>
      <c r="O62" s="2067"/>
      <c r="P62" s="2067"/>
      <c r="Q62" s="2067"/>
      <c r="R62" s="2067"/>
      <c r="S62" s="2067"/>
      <c r="T62" s="2067"/>
      <c r="U62" s="2067"/>
      <c r="V62" s="2067"/>
      <c r="W62" s="2067"/>
      <c r="X62" s="2067"/>
      <c r="Y62" s="2067"/>
      <c r="Z62" s="2067"/>
      <c r="AA62" s="2067"/>
      <c r="AB62" s="2067"/>
      <c r="AC62" s="2067"/>
      <c r="AD62" s="2067"/>
      <c r="AE62" s="2067"/>
    </row>
    <row r="63" spans="1:31" s="446" customFormat="1" ht="15" thickBot="1">
      <c r="A63" s="448" t="s">
        <v>1815</v>
      </c>
      <c r="B63" s="449" t="s">
        <v>20</v>
      </c>
      <c r="C63" s="449" t="s">
        <v>21</v>
      </c>
      <c r="D63" s="449" t="s">
        <v>386</v>
      </c>
      <c r="E63" s="3176">
        <f>IF(B43="楼面地价",SUM(E53:E62),'数据-汇总表'!D3)</f>
        <v>16447.62</v>
      </c>
      <c r="F63" s="3177" t="e">
        <f>IF(B43="楼面地价",SUM(F53:F62),ROUND(C45*E63/10000,0))</f>
        <v>#DIV/0!</v>
      </c>
      <c r="G63" s="635"/>
      <c r="H63" s="635"/>
      <c r="I63" s="635"/>
      <c r="J63" s="635"/>
      <c r="K63" s="2020"/>
      <c r="L63" s="2067"/>
      <c r="M63" s="2067"/>
      <c r="N63" s="2067"/>
      <c r="O63" s="2067"/>
      <c r="P63" s="2067"/>
      <c r="Q63" s="2067"/>
      <c r="R63" s="2067"/>
      <c r="S63" s="2067"/>
      <c r="T63" s="2067"/>
      <c r="U63" s="2067"/>
      <c r="V63" s="2067"/>
      <c r="W63" s="2067"/>
      <c r="X63" s="2067"/>
      <c r="Y63" s="2067"/>
      <c r="Z63" s="2067"/>
      <c r="AA63" s="2067"/>
      <c r="AB63" s="2067"/>
      <c r="AC63" s="2067"/>
      <c r="AD63" s="2067"/>
      <c r="AE63" s="2067"/>
    </row>
    <row r="64" spans="1:31">
      <c r="A64" s="611"/>
      <c r="B64" s="625"/>
      <c r="C64" s="627"/>
      <c r="D64" s="611"/>
      <c r="E64" s="611"/>
      <c r="F64" s="611"/>
      <c r="G64" s="611"/>
      <c r="H64" s="611"/>
      <c r="I64" s="611"/>
      <c r="J64" s="611"/>
      <c r="K64" s="593"/>
      <c r="L64" s="594"/>
      <c r="M64" s="611"/>
      <c r="N64" s="611"/>
      <c r="O64" s="611"/>
      <c r="P64" s="2008"/>
      <c r="Q64" s="2008"/>
      <c r="R64" s="2008"/>
      <c r="S64" s="2008"/>
      <c r="T64" s="2008"/>
      <c r="U64" s="2008"/>
      <c r="V64" s="2008"/>
      <c r="W64" s="2008"/>
      <c r="X64" s="2008"/>
      <c r="Y64" s="2008"/>
      <c r="Z64" s="2008"/>
      <c r="AA64" s="2008"/>
      <c r="AB64" s="2008"/>
      <c r="AC64" s="2008"/>
      <c r="AD64" s="2008"/>
      <c r="AE64" s="2008"/>
    </row>
    <row r="65" spans="1:31">
      <c r="A65" s="611"/>
      <c r="B65" s="625"/>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2008"/>
      <c r="Q65" s="2008"/>
      <c r="R65" s="2008"/>
      <c r="S65" s="2008"/>
      <c r="T65" s="2008"/>
      <c r="U65" s="2008"/>
      <c r="V65" s="2008"/>
      <c r="W65" s="2008"/>
      <c r="X65" s="2008"/>
      <c r="Y65" s="2008"/>
      <c r="Z65" s="2008"/>
      <c r="AA65" s="2008"/>
      <c r="AB65" s="2008"/>
      <c r="AC65" s="2008"/>
      <c r="AD65" s="2008"/>
      <c r="AE65" s="2008"/>
    </row>
    <row r="66" spans="1:31" ht="21.75" thickBot="1">
      <c r="A66" s="476" t="s">
        <v>1710</v>
      </c>
      <c r="B66" s="265"/>
      <c r="C66" s="477"/>
      <c r="D66" s="477"/>
      <c r="E66" s="477"/>
      <c r="F66" s="478"/>
      <c r="G66" s="478"/>
      <c r="H66" s="477"/>
      <c r="I66" s="477"/>
      <c r="J66" s="477"/>
      <c r="K66" s="479"/>
      <c r="L66" s="480"/>
      <c r="M66" s="477"/>
      <c r="N66" s="477"/>
      <c r="O66" s="636"/>
      <c r="P66" s="2058"/>
      <c r="Q66" s="2029"/>
      <c r="R66" s="2008"/>
      <c r="S66" s="2008"/>
      <c r="T66" s="2008"/>
      <c r="U66" s="2008"/>
      <c r="V66" s="2008"/>
      <c r="W66" s="2008"/>
      <c r="X66" s="2008"/>
      <c r="Y66" s="2008"/>
      <c r="Z66" s="2008"/>
      <c r="AA66" s="2008"/>
      <c r="AB66" s="2008"/>
      <c r="AC66" s="2008"/>
      <c r="AD66" s="2008"/>
      <c r="AE66" s="2008"/>
    </row>
    <row r="67" spans="1:31" s="305" customFormat="1" ht="15">
      <c r="A67" s="1286" t="s">
        <v>1816</v>
      </c>
      <c r="B67" s="765"/>
      <c r="C67" s="801" t="str">
        <f>YEAR(C65)&amp;"-"&amp;ROUNDUP(MONTH(C65)/3,0)</f>
        <v>2026-1</v>
      </c>
      <c r="D67" s="801" t="str">
        <f t="shared" ref="D67:O67" si="19">YEAR(D65)&amp;"-"&amp;ROUNDUP(MONTH(D65)/3,0)</f>
        <v>2025-4</v>
      </c>
      <c r="E67" s="801" t="str">
        <f t="shared" si="19"/>
        <v>2025-3</v>
      </c>
      <c r="F67" s="801" t="str">
        <f t="shared" si="19"/>
        <v>2025-2</v>
      </c>
      <c r="G67" s="801" t="str">
        <f t="shared" si="19"/>
        <v>2025-1</v>
      </c>
      <c r="H67" s="801" t="str">
        <f t="shared" si="19"/>
        <v>2024-4</v>
      </c>
      <c r="I67" s="801" t="str">
        <f t="shared" si="19"/>
        <v>2024-3</v>
      </c>
      <c r="J67" s="801" t="str">
        <f t="shared" si="19"/>
        <v>2024-2</v>
      </c>
      <c r="K67" s="801" t="str">
        <f t="shared" si="19"/>
        <v>2024-1</v>
      </c>
      <c r="L67" s="801" t="str">
        <f t="shared" si="19"/>
        <v>2023-4</v>
      </c>
      <c r="M67" s="801" t="str">
        <f t="shared" si="19"/>
        <v>2023-3</v>
      </c>
      <c r="N67" s="801" t="str">
        <f t="shared" si="19"/>
        <v>2023-2</v>
      </c>
      <c r="O67" s="801" t="str">
        <f t="shared" si="19"/>
        <v>2023-1</v>
      </c>
      <c r="P67" s="2031"/>
      <c r="Q67" s="2031"/>
      <c r="R67" s="2031"/>
      <c r="S67" s="2031"/>
      <c r="T67" s="2031"/>
      <c r="U67" s="2031"/>
      <c r="V67" s="2031"/>
      <c r="W67" s="2031"/>
      <c r="X67" s="2031"/>
      <c r="Y67" s="2031"/>
      <c r="Z67" s="2031"/>
      <c r="AA67" s="2031"/>
      <c r="AB67" s="2031"/>
      <c r="AC67" s="2031"/>
      <c r="AD67" s="2031"/>
      <c r="AE67" s="2031"/>
    </row>
    <row r="68" spans="1:31" s="46" customFormat="1" ht="30.75" customHeight="1">
      <c r="A68" s="1462" t="s">
        <v>1836</v>
      </c>
      <c r="B68" s="175" t="str">
        <f>"北京市平均增长率"&amp;TEXT(基准地价修正!P28,"0.00%")</f>
        <v>北京市平均增长率0.00%</v>
      </c>
      <c r="C68" s="389">
        <v>100</v>
      </c>
      <c r="D68" s="5"/>
      <c r="E68" s="5"/>
      <c r="F68" s="5"/>
      <c r="G68" s="5"/>
      <c r="H68" s="5"/>
      <c r="I68" s="5"/>
      <c r="J68" s="5"/>
      <c r="K68" s="5"/>
      <c r="L68" s="5"/>
      <c r="M68" s="783"/>
      <c r="N68" s="783"/>
      <c r="O68" s="799"/>
      <c r="P68" s="2029"/>
      <c r="Q68" s="1962"/>
      <c r="R68" s="1962"/>
      <c r="S68" s="1962"/>
      <c r="T68" s="1962"/>
      <c r="U68" s="1962"/>
      <c r="V68" s="1962"/>
      <c r="W68" s="1962"/>
      <c r="X68" s="1962"/>
      <c r="Y68" s="1962"/>
      <c r="Z68" s="1962"/>
      <c r="AA68" s="1962"/>
      <c r="AB68" s="1962"/>
      <c r="AC68" s="1962"/>
      <c r="AD68" s="1962"/>
      <c r="AE68" s="1962"/>
    </row>
    <row r="69" spans="1:31" s="46" customFormat="1" ht="15.75" thickBot="1">
      <c r="A69" s="312" t="s">
        <v>1628</v>
      </c>
      <c r="B69" s="313"/>
      <c r="C69" s="314"/>
      <c r="D69" s="315"/>
      <c r="E69" s="315"/>
      <c r="F69" s="315"/>
      <c r="G69" s="315"/>
      <c r="H69" s="315"/>
      <c r="I69" s="315"/>
      <c r="J69" s="315"/>
      <c r="K69" s="315"/>
      <c r="L69" s="315"/>
      <c r="M69" s="316"/>
      <c r="N69" s="316"/>
      <c r="O69" s="317"/>
      <c r="P69" s="2029"/>
      <c r="Q69" s="2029"/>
      <c r="R69" s="1962"/>
      <c r="S69" s="1962"/>
      <c r="T69" s="1962"/>
      <c r="U69" s="1962"/>
      <c r="V69" s="1962"/>
      <c r="W69" s="1962"/>
      <c r="X69" s="1962"/>
      <c r="Y69" s="1962"/>
      <c r="Z69" s="1962"/>
      <c r="AA69" s="1962"/>
      <c r="AB69" s="1962"/>
      <c r="AC69" s="1962"/>
      <c r="AD69" s="1962"/>
      <c r="AE69" s="1962"/>
    </row>
    <row r="70" spans="1:31" s="46" customFormat="1" ht="15">
      <c r="A70" s="318" t="s">
        <v>1593</v>
      </c>
      <c r="B70" s="307"/>
      <c r="C70" s="319" t="s">
        <v>1688</v>
      </c>
      <c r="D70" s="20"/>
      <c r="E70" s="20"/>
      <c r="F70" s="20"/>
      <c r="G70" s="20"/>
      <c r="H70" s="20"/>
      <c r="I70" s="20"/>
      <c r="J70" s="20"/>
      <c r="K70" s="20"/>
      <c r="L70" s="320"/>
      <c r="M70" s="321"/>
      <c r="N70" s="2041"/>
      <c r="O70" s="2041"/>
      <c r="P70" s="2065"/>
      <c r="Q70" s="2029"/>
      <c r="R70" s="1962"/>
      <c r="S70" s="1962"/>
      <c r="T70" s="1962"/>
      <c r="U70" s="1962"/>
      <c r="V70" s="1962"/>
      <c r="W70" s="1962"/>
      <c r="X70" s="1962"/>
      <c r="Y70" s="1962"/>
      <c r="Z70" s="1962"/>
      <c r="AA70" s="1962"/>
      <c r="AB70" s="1962"/>
      <c r="AC70" s="1962"/>
      <c r="AD70" s="1962"/>
      <c r="AE70" s="1962"/>
    </row>
    <row r="71" spans="1:31" s="46" customFormat="1" ht="15.75" thickBot="1">
      <c r="A71" s="318"/>
      <c r="B71" s="307"/>
      <c r="C71" s="411">
        <v>100</v>
      </c>
      <c r="D71" s="309"/>
      <c r="E71" s="309"/>
      <c r="F71" s="309"/>
      <c r="G71" s="309"/>
      <c r="H71" s="309"/>
      <c r="I71" s="309"/>
      <c r="J71" s="309"/>
      <c r="K71" s="309"/>
      <c r="L71" s="309"/>
      <c r="M71" s="311"/>
      <c r="N71" s="2041"/>
      <c r="O71" s="2041"/>
      <c r="P71" s="2029"/>
      <c r="Q71" s="2029"/>
      <c r="R71" s="1962"/>
      <c r="S71" s="1962"/>
      <c r="T71" s="1962"/>
      <c r="U71" s="1962"/>
      <c r="V71" s="1962"/>
      <c r="W71" s="1962"/>
      <c r="X71" s="1962"/>
      <c r="Y71" s="1962"/>
      <c r="Z71" s="1962"/>
      <c r="AA71" s="1962"/>
      <c r="AB71" s="1962"/>
      <c r="AC71" s="1962"/>
      <c r="AD71" s="1962"/>
      <c r="AE71" s="1962"/>
    </row>
    <row r="72" spans="1:31">
      <c r="A72" s="262" t="s">
        <v>1631</v>
      </c>
      <c r="B72" s="322" t="s">
        <v>1597</v>
      </c>
      <c r="C72" s="324"/>
      <c r="D72" s="324"/>
      <c r="E72" s="324"/>
      <c r="F72" s="324"/>
      <c r="G72" s="324"/>
      <c r="H72" s="324"/>
      <c r="I72" s="324"/>
      <c r="J72" s="324"/>
      <c r="K72" s="325"/>
      <c r="L72" s="326"/>
      <c r="M72" s="327"/>
      <c r="N72" s="2042"/>
      <c r="O72" s="2042"/>
      <c r="P72" s="2041"/>
      <c r="Q72" s="2029"/>
      <c r="R72" s="2008"/>
      <c r="S72" s="2008"/>
      <c r="T72" s="2008"/>
      <c r="U72" s="2008"/>
      <c r="V72" s="2008"/>
      <c r="W72" s="2008"/>
      <c r="X72" s="2008"/>
      <c r="Y72" s="2008"/>
      <c r="Z72" s="2008"/>
      <c r="AA72" s="2008"/>
      <c r="AB72" s="2008"/>
      <c r="AC72" s="2008"/>
      <c r="AD72" s="2008"/>
      <c r="AE72" s="2008"/>
    </row>
    <row r="73" spans="1:31" ht="15.75" thickBot="1">
      <c r="A73" s="254"/>
      <c r="B73" s="328"/>
      <c r="C73" s="329"/>
      <c r="D73" s="329"/>
      <c r="E73" s="329"/>
      <c r="F73" s="329"/>
      <c r="G73" s="329"/>
      <c r="H73" s="329"/>
      <c r="I73" s="329"/>
      <c r="J73" s="329"/>
      <c r="K73" s="329"/>
      <c r="L73" s="329"/>
      <c r="M73" s="330"/>
      <c r="N73" s="2043"/>
      <c r="O73" s="2043"/>
      <c r="P73" s="2041"/>
      <c r="Q73" s="2029"/>
      <c r="R73" s="2008"/>
      <c r="S73" s="2008"/>
      <c r="T73" s="2008"/>
      <c r="U73" s="2008"/>
      <c r="V73" s="2008"/>
      <c r="W73" s="2008"/>
      <c r="X73" s="2008"/>
      <c r="Y73" s="2008"/>
      <c r="Z73" s="2008"/>
      <c r="AA73" s="2008"/>
      <c r="AB73" s="2008"/>
      <c r="AC73" s="2008"/>
      <c r="AD73" s="2008"/>
      <c r="AE73" s="2008"/>
    </row>
    <row r="74" spans="1:31" ht="27.75" thickTop="1">
      <c r="A74" s="254"/>
      <c r="B74" s="331" t="s">
        <v>1600</v>
      </c>
      <c r="C74" s="332"/>
      <c r="D74" s="332"/>
      <c r="E74" s="332"/>
      <c r="F74" s="332"/>
      <c r="G74" s="332"/>
      <c r="H74" s="332"/>
      <c r="I74" s="332"/>
      <c r="J74" s="332"/>
      <c r="K74" s="333"/>
      <c r="L74" s="334"/>
      <c r="M74" s="335"/>
      <c r="N74" s="2042"/>
      <c r="O74" s="2042"/>
      <c r="P74" s="2041"/>
      <c r="Q74" s="2029"/>
      <c r="R74" s="2008"/>
      <c r="S74" s="2008"/>
      <c r="T74" s="2008"/>
      <c r="U74" s="2008"/>
      <c r="V74" s="2008"/>
      <c r="W74" s="2008"/>
      <c r="X74" s="2008"/>
      <c r="Y74" s="2008"/>
      <c r="Z74" s="2008"/>
      <c r="AA74" s="2008"/>
      <c r="AB74" s="2008"/>
      <c r="AC74" s="2008"/>
      <c r="AD74" s="2008"/>
      <c r="AE74" s="2008"/>
    </row>
    <row r="75" spans="1:31" ht="15.75" thickBot="1">
      <c r="A75" s="254"/>
      <c r="B75" s="336"/>
      <c r="C75" s="337"/>
      <c r="D75" s="337"/>
      <c r="E75" s="337"/>
      <c r="F75" s="337"/>
      <c r="G75" s="337"/>
      <c r="H75" s="337"/>
      <c r="I75" s="337"/>
      <c r="J75" s="337"/>
      <c r="K75" s="337"/>
      <c r="L75" s="337"/>
      <c r="M75" s="338"/>
      <c r="N75" s="2043"/>
      <c r="O75" s="2043"/>
      <c r="P75" s="2041"/>
      <c r="Q75" s="2029"/>
      <c r="R75" s="2008"/>
      <c r="S75" s="2008"/>
      <c r="T75" s="2008"/>
      <c r="U75" s="2008"/>
      <c r="V75" s="2008"/>
      <c r="W75" s="2008"/>
      <c r="X75" s="2008"/>
      <c r="Y75" s="2008"/>
      <c r="Z75" s="2008"/>
      <c r="AA75" s="2008"/>
      <c r="AB75" s="2008"/>
      <c r="AC75" s="2008"/>
      <c r="AD75" s="2008"/>
      <c r="AE75" s="2008"/>
    </row>
    <row r="76" spans="1:31" ht="15.75" thickTop="1">
      <c r="A76" s="254"/>
      <c r="B76" s="339" t="s">
        <v>1601</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43"/>
      <c r="O76" s="2043"/>
      <c r="P76" s="2041"/>
      <c r="Q76" s="2029"/>
      <c r="R76" s="2008"/>
      <c r="S76" s="2008"/>
      <c r="T76" s="2008"/>
      <c r="U76" s="2008"/>
      <c r="V76" s="2008"/>
      <c r="W76" s="2008"/>
      <c r="X76" s="2008"/>
      <c r="Y76" s="2008"/>
      <c r="Z76" s="2008"/>
      <c r="AA76" s="2008"/>
      <c r="AB76" s="2008"/>
      <c r="AC76" s="2008"/>
      <c r="AD76" s="2008"/>
      <c r="AE76" s="2008"/>
    </row>
    <row r="77" spans="1:31" ht="15">
      <c r="A77" s="254"/>
      <c r="B77" s="341"/>
      <c r="C77" s="342"/>
      <c r="D77" s="342"/>
      <c r="E77" s="342"/>
      <c r="F77" s="342"/>
      <c r="G77" s="342"/>
      <c r="H77" s="342"/>
      <c r="I77" s="342"/>
      <c r="J77" s="342"/>
      <c r="K77" s="343"/>
      <c r="L77" s="344"/>
      <c r="M77" s="345"/>
      <c r="N77" s="2042"/>
      <c r="O77" s="2042"/>
      <c r="P77" s="2041"/>
      <c r="Q77" s="2029"/>
      <c r="R77" s="2008"/>
      <c r="S77" s="2008"/>
      <c r="T77" s="2008"/>
      <c r="U77" s="2008"/>
      <c r="V77" s="2008"/>
      <c r="W77" s="2008"/>
      <c r="X77" s="2008"/>
      <c r="Y77" s="2008"/>
      <c r="Z77" s="2008"/>
      <c r="AA77" s="2008"/>
      <c r="AB77" s="2008"/>
      <c r="AC77" s="2008"/>
      <c r="AD77" s="2008"/>
      <c r="AE77" s="2008"/>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43"/>
      <c r="O78" s="2043"/>
      <c r="P78" s="2041"/>
      <c r="Q78" s="2029"/>
      <c r="R78" s="2008"/>
      <c r="S78" s="2008"/>
      <c r="T78" s="2008"/>
      <c r="U78" s="2008"/>
      <c r="V78" s="2008"/>
      <c r="W78" s="2008"/>
      <c r="X78" s="2008"/>
      <c r="Y78" s="2008"/>
      <c r="Z78" s="2008"/>
      <c r="AA78" s="2008"/>
      <c r="AB78" s="2008"/>
      <c r="AC78" s="2008"/>
      <c r="AD78" s="2008"/>
      <c r="AE78" s="2008"/>
    </row>
    <row r="79" spans="1:31" s="279" customFormat="1" ht="15.75" thickTop="1">
      <c r="A79" s="346"/>
      <c r="B79" s="331">
        <f>B14</f>
        <v>111</v>
      </c>
      <c r="C79" s="347"/>
      <c r="D79" s="347"/>
      <c r="E79" s="347"/>
      <c r="F79" s="347"/>
      <c r="G79" s="347"/>
      <c r="H79" s="348"/>
      <c r="I79" s="348"/>
      <c r="J79" s="348"/>
      <c r="K79" s="348"/>
      <c r="L79" s="349"/>
      <c r="M79" s="350"/>
      <c r="N79" s="2044"/>
      <c r="O79" s="2044"/>
      <c r="P79" s="2044"/>
      <c r="Q79" s="2036"/>
      <c r="R79" s="2014"/>
      <c r="S79" s="2014"/>
      <c r="T79" s="2014"/>
      <c r="U79" s="2014"/>
      <c r="V79" s="2014"/>
      <c r="W79" s="2014"/>
      <c r="X79" s="2014"/>
      <c r="Y79" s="2014"/>
      <c r="Z79" s="2014"/>
      <c r="AA79" s="2014"/>
      <c r="AB79" s="2014"/>
      <c r="AC79" s="2014"/>
      <c r="AD79" s="2014"/>
      <c r="AE79" s="2014"/>
    </row>
    <row r="80" spans="1:31" s="279" customFormat="1" ht="15.75" thickBot="1">
      <c r="A80" s="346"/>
      <c r="B80" s="336"/>
      <c r="C80" s="352"/>
      <c r="D80" s="329"/>
      <c r="E80" s="329"/>
      <c r="F80" s="329"/>
      <c r="G80" s="329"/>
      <c r="H80" s="329"/>
      <c r="I80" s="329"/>
      <c r="J80" s="329"/>
      <c r="K80" s="329"/>
      <c r="L80" s="329"/>
      <c r="M80" s="330"/>
      <c r="N80" s="2043"/>
      <c r="O80" s="2043"/>
      <c r="P80" s="2044"/>
      <c r="Q80" s="2036"/>
      <c r="R80" s="2014"/>
      <c r="S80" s="2014"/>
      <c r="T80" s="2014"/>
      <c r="U80" s="2014"/>
      <c r="V80" s="2014"/>
      <c r="W80" s="2014"/>
      <c r="X80" s="2014"/>
      <c r="Y80" s="2014"/>
      <c r="Z80" s="2014"/>
      <c r="AA80" s="2014"/>
      <c r="AB80" s="2014"/>
      <c r="AC80" s="2014"/>
      <c r="AD80" s="2014"/>
      <c r="AE80" s="2014"/>
    </row>
    <row r="81" spans="1:31" s="279" customFormat="1" ht="15.75" thickTop="1">
      <c r="A81" s="346"/>
      <c r="B81" s="331">
        <f>B15</f>
        <v>111</v>
      </c>
      <c r="C81" s="347"/>
      <c r="D81" s="347"/>
      <c r="E81" s="347"/>
      <c r="F81" s="347"/>
      <c r="G81" s="347"/>
      <c r="H81" s="348"/>
      <c r="I81" s="348"/>
      <c r="J81" s="348"/>
      <c r="K81" s="348"/>
      <c r="L81" s="349"/>
      <c r="M81" s="350"/>
      <c r="N81" s="2044"/>
      <c r="O81" s="2044"/>
      <c r="P81" s="2014"/>
      <c r="Q81" s="2038"/>
      <c r="R81" s="2014"/>
      <c r="S81" s="2014"/>
      <c r="T81" s="2014"/>
      <c r="U81" s="2014"/>
      <c r="V81" s="2014"/>
      <c r="W81" s="2014"/>
      <c r="X81" s="2014"/>
      <c r="Y81" s="2014"/>
      <c r="Z81" s="2014"/>
      <c r="AA81" s="2014"/>
      <c r="AB81" s="2014"/>
      <c r="AC81" s="2014"/>
      <c r="AD81" s="2014"/>
      <c r="AE81" s="2014"/>
    </row>
    <row r="82" spans="1:31" s="279" customFormat="1" ht="15.75" thickBot="1">
      <c r="A82" s="346"/>
      <c r="B82" s="336"/>
      <c r="C82" s="352"/>
      <c r="D82" s="352"/>
      <c r="E82" s="352"/>
      <c r="F82" s="352"/>
      <c r="G82" s="352"/>
      <c r="H82" s="354"/>
      <c r="I82" s="354"/>
      <c r="J82" s="354"/>
      <c r="K82" s="354"/>
      <c r="L82" s="354"/>
      <c r="M82" s="355"/>
      <c r="N82" s="2044"/>
      <c r="O82" s="2044"/>
      <c r="P82" s="2044"/>
      <c r="Q82" s="2036"/>
      <c r="R82" s="2014"/>
      <c r="S82" s="2014"/>
      <c r="T82" s="2014"/>
      <c r="U82" s="2014"/>
      <c r="V82" s="2014"/>
      <c r="W82" s="2014"/>
      <c r="X82" s="2014"/>
      <c r="Y82" s="2014"/>
      <c r="Z82" s="2014"/>
      <c r="AA82" s="2014"/>
      <c r="AB82" s="2014"/>
      <c r="AC82" s="2014"/>
      <c r="AD82" s="2014"/>
      <c r="AE82" s="2014"/>
    </row>
    <row r="83" spans="1:31" s="279" customFormat="1" ht="15.75" thickTop="1">
      <c r="A83" s="346"/>
      <c r="B83" s="339">
        <f>B16</f>
        <v>111</v>
      </c>
      <c r="C83" s="20"/>
      <c r="D83" s="20"/>
      <c r="E83" s="20"/>
      <c r="F83" s="20"/>
      <c r="G83" s="20"/>
      <c r="H83" s="356"/>
      <c r="I83" s="356"/>
      <c r="J83" s="356"/>
      <c r="K83" s="356"/>
      <c r="L83" s="357"/>
      <c r="M83" s="358"/>
      <c r="N83" s="2044"/>
      <c r="O83" s="2044"/>
      <c r="P83" s="2068"/>
      <c r="Q83" s="2036"/>
      <c r="R83" s="2014"/>
      <c r="S83" s="2014"/>
      <c r="T83" s="2014"/>
      <c r="U83" s="2014"/>
      <c r="V83" s="2014"/>
      <c r="W83" s="2014"/>
      <c r="X83" s="2014"/>
      <c r="Y83" s="2014"/>
      <c r="Z83" s="2014"/>
      <c r="AA83" s="2014"/>
      <c r="AB83" s="2014"/>
      <c r="AC83" s="2014"/>
      <c r="AD83" s="2014"/>
      <c r="AE83" s="2014"/>
    </row>
    <row r="84" spans="1:31" s="279" customFormat="1" ht="15.75" thickBot="1">
      <c r="A84" s="359"/>
      <c r="B84" s="360"/>
      <c r="C84" s="361"/>
      <c r="D84" s="361"/>
      <c r="E84" s="361"/>
      <c r="F84" s="361"/>
      <c r="G84" s="361"/>
      <c r="H84" s="362"/>
      <c r="I84" s="362"/>
      <c r="J84" s="362"/>
      <c r="K84" s="362"/>
      <c r="L84" s="362"/>
      <c r="M84" s="363"/>
      <c r="N84" s="2044"/>
      <c r="O84" s="2044"/>
      <c r="P84" s="2044"/>
      <c r="Q84" s="2036"/>
      <c r="R84" s="2014"/>
      <c r="S84" s="2014"/>
      <c r="T84" s="2014"/>
      <c r="U84" s="2014"/>
      <c r="V84" s="2014"/>
      <c r="W84" s="2014"/>
      <c r="X84" s="2014"/>
      <c r="Y84" s="2014"/>
      <c r="Z84" s="2014"/>
      <c r="AA84" s="2014"/>
      <c r="AB84" s="2014"/>
      <c r="AC84" s="2014"/>
      <c r="AD84" s="2014"/>
      <c r="AE84" s="2014"/>
    </row>
    <row r="85" spans="1:31">
      <c r="A85" s="262" t="s">
        <v>1602</v>
      </c>
      <c r="B85" s="322" t="s">
        <v>1741</v>
      </c>
      <c r="C85" s="364" t="s">
        <v>1633</v>
      </c>
      <c r="D85" s="364" t="s">
        <v>1634</v>
      </c>
      <c r="E85" s="364" t="s">
        <v>1635</v>
      </c>
      <c r="F85" s="364" t="s">
        <v>1636</v>
      </c>
      <c r="G85" s="364" t="s">
        <v>1637</v>
      </c>
      <c r="H85" s="323"/>
      <c r="I85" s="323"/>
      <c r="J85" s="323"/>
      <c r="K85" s="365"/>
      <c r="L85" s="366"/>
      <c r="M85" s="367"/>
      <c r="N85" s="2042"/>
      <c r="O85" s="2042"/>
      <c r="P85" s="2066"/>
      <c r="Q85" s="2029"/>
      <c r="R85" s="2008"/>
      <c r="S85" s="2008"/>
      <c r="T85" s="2008"/>
      <c r="U85" s="2008"/>
      <c r="V85" s="2008"/>
      <c r="W85" s="2008"/>
      <c r="X85" s="2008"/>
      <c r="Y85" s="2008"/>
      <c r="Z85" s="2008"/>
      <c r="AA85" s="2008"/>
      <c r="AB85" s="2008"/>
      <c r="AC85" s="2008"/>
      <c r="AD85" s="2008"/>
      <c r="AE85" s="2008"/>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43"/>
      <c r="O86" s="2043"/>
      <c r="P86" s="2041"/>
      <c r="Q86" s="2029"/>
      <c r="R86" s="2008"/>
      <c r="S86" s="2008"/>
      <c r="T86" s="2008"/>
      <c r="U86" s="2008"/>
      <c r="V86" s="2008"/>
      <c r="W86" s="2008"/>
      <c r="X86" s="2008"/>
      <c r="Y86" s="2008"/>
      <c r="Z86" s="2008"/>
      <c r="AA86" s="2008"/>
      <c r="AB86" s="2008"/>
      <c r="AC86" s="2008"/>
      <c r="AD86" s="2008"/>
      <c r="AE86" s="2008"/>
    </row>
    <row r="87" spans="1:31" ht="15.75" thickTop="1">
      <c r="A87" s="254"/>
      <c r="B87" s="331" t="s">
        <v>1638</v>
      </c>
      <c r="C87" s="368" t="s">
        <v>1633</v>
      </c>
      <c r="D87" s="368" t="s">
        <v>1634</v>
      </c>
      <c r="E87" s="368" t="s">
        <v>1635</v>
      </c>
      <c r="F87" s="368" t="s">
        <v>1636</v>
      </c>
      <c r="G87" s="368" t="s">
        <v>1637</v>
      </c>
      <c r="H87" s="332"/>
      <c r="I87" s="332"/>
      <c r="J87" s="332"/>
      <c r="K87" s="333"/>
      <c r="L87" s="334"/>
      <c r="M87" s="335"/>
      <c r="N87" s="2042"/>
      <c r="O87" s="2042"/>
      <c r="P87" s="2041"/>
      <c r="Q87" s="2029"/>
      <c r="R87" s="2008"/>
      <c r="S87" s="2008"/>
      <c r="T87" s="2008"/>
      <c r="U87" s="2008"/>
      <c r="V87" s="2008"/>
      <c r="W87" s="2008"/>
      <c r="X87" s="2008"/>
      <c r="Y87" s="2008"/>
      <c r="Z87" s="2008"/>
      <c r="AA87" s="2008"/>
      <c r="AB87" s="2008"/>
      <c r="AC87" s="2008"/>
      <c r="AD87" s="2008"/>
      <c r="AE87" s="2008"/>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43"/>
      <c r="O88" s="2043"/>
      <c r="P88" s="2041"/>
      <c r="Q88" s="2029"/>
      <c r="R88" s="2008"/>
      <c r="S88" s="2008"/>
      <c r="T88" s="2008"/>
      <c r="U88" s="2008"/>
      <c r="V88" s="2008"/>
      <c r="W88" s="2008"/>
      <c r="X88" s="2008"/>
      <c r="Y88" s="2008"/>
      <c r="Z88" s="2008"/>
      <c r="AA88" s="2008"/>
      <c r="AB88" s="2008"/>
      <c r="AC88" s="2008"/>
      <c r="AD88" s="2008"/>
      <c r="AE88" s="2008"/>
    </row>
    <row r="89" spans="1:31" s="46" customFormat="1" ht="15.75" thickTop="1">
      <c r="A89" s="257"/>
      <c r="B89" s="331" t="s">
        <v>1819</v>
      </c>
      <c r="C89" s="364" t="s">
        <v>1633</v>
      </c>
      <c r="D89" s="364" t="s">
        <v>1634</v>
      </c>
      <c r="E89" s="364" t="s">
        <v>1635</v>
      </c>
      <c r="F89" s="364" t="s">
        <v>1636</v>
      </c>
      <c r="G89" s="364" t="s">
        <v>1637</v>
      </c>
      <c r="H89" s="368"/>
      <c r="I89" s="368"/>
      <c r="J89" s="368"/>
      <c r="K89" s="368"/>
      <c r="L89" s="450"/>
      <c r="M89" s="400"/>
      <c r="N89" s="2041"/>
      <c r="O89" s="2041"/>
      <c r="P89" s="2041"/>
      <c r="Q89" s="2029"/>
      <c r="R89" s="1962"/>
      <c r="S89" s="1962"/>
      <c r="T89" s="1962"/>
      <c r="U89" s="1962"/>
      <c r="V89" s="1962"/>
      <c r="W89" s="1962"/>
      <c r="X89" s="1962"/>
      <c r="Y89" s="1962"/>
      <c r="Z89" s="1962"/>
      <c r="AA89" s="1962"/>
      <c r="AB89" s="1962"/>
      <c r="AC89" s="1962"/>
      <c r="AD89" s="1962"/>
      <c r="AE89" s="1962"/>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43"/>
      <c r="O90" s="2043"/>
      <c r="P90" s="2041"/>
      <c r="Q90" s="2029"/>
      <c r="R90" s="1962"/>
      <c r="S90" s="1962"/>
      <c r="T90" s="1962"/>
      <c r="U90" s="1962"/>
      <c r="V90" s="1962"/>
      <c r="W90" s="1962"/>
      <c r="X90" s="1962"/>
      <c r="Y90" s="1962"/>
      <c r="Z90" s="1962"/>
      <c r="AA90" s="1962"/>
      <c r="AB90" s="1962"/>
      <c r="AC90" s="1962"/>
      <c r="AD90" s="1962"/>
      <c r="AE90" s="1962"/>
    </row>
    <row r="91" spans="1:31" s="46" customFormat="1" ht="27.75" thickTop="1">
      <c r="A91" s="257"/>
      <c r="B91" s="331" t="s">
        <v>1820</v>
      </c>
      <c r="C91" s="364" t="s">
        <v>1633</v>
      </c>
      <c r="D91" s="364" t="s">
        <v>1634</v>
      </c>
      <c r="E91" s="364" t="s">
        <v>1635</v>
      </c>
      <c r="F91" s="364" t="s">
        <v>1636</v>
      </c>
      <c r="G91" s="364" t="s">
        <v>1637</v>
      </c>
      <c r="H91" s="368"/>
      <c r="I91" s="368"/>
      <c r="J91" s="368"/>
      <c r="K91" s="368"/>
      <c r="L91" s="368"/>
      <c r="M91" s="400"/>
      <c r="N91" s="2041"/>
      <c r="O91" s="2041"/>
      <c r="P91" s="2041"/>
      <c r="Q91" s="2029"/>
      <c r="R91" s="1962"/>
      <c r="S91" s="1962"/>
      <c r="T91" s="1962"/>
      <c r="U91" s="1962"/>
      <c r="V91" s="1962"/>
      <c r="W91" s="1962"/>
      <c r="X91" s="1962"/>
      <c r="Y91" s="1962"/>
      <c r="Z91" s="1962"/>
      <c r="AA91" s="1962"/>
      <c r="AB91" s="1962"/>
      <c r="AC91" s="1962"/>
      <c r="AD91" s="1962"/>
      <c r="AE91" s="1962"/>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43"/>
      <c r="O92" s="2043"/>
      <c r="P92" s="2041"/>
      <c r="Q92" s="2029"/>
      <c r="R92" s="1962"/>
      <c r="S92" s="1962"/>
      <c r="T92" s="1962"/>
      <c r="U92" s="1962"/>
      <c r="V92" s="1962"/>
      <c r="W92" s="1962"/>
      <c r="X92" s="1962"/>
      <c r="Y92" s="1962"/>
      <c r="Z92" s="1962"/>
      <c r="AA92" s="1962"/>
      <c r="AB92" s="1962"/>
      <c r="AC92" s="1962"/>
      <c r="AD92" s="1962"/>
      <c r="AE92" s="1962"/>
    </row>
    <row r="93" spans="1:31" s="279" customFormat="1" ht="15.75" thickTop="1">
      <c r="A93" s="346"/>
      <c r="B93" s="331" t="s">
        <v>1690</v>
      </c>
      <c r="C93" s="364" t="s">
        <v>1633</v>
      </c>
      <c r="D93" s="364" t="s">
        <v>1634</v>
      </c>
      <c r="E93" s="364" t="s">
        <v>1635</v>
      </c>
      <c r="F93" s="364" t="s">
        <v>1636</v>
      </c>
      <c r="G93" s="364" t="s">
        <v>1637</v>
      </c>
      <c r="H93" s="386"/>
      <c r="I93" s="386"/>
      <c r="J93" s="386"/>
      <c r="K93" s="386"/>
      <c r="L93" s="387"/>
      <c r="M93" s="388"/>
      <c r="N93" s="2044"/>
      <c r="O93" s="2044"/>
      <c r="P93" s="2044"/>
      <c r="Q93" s="2036"/>
      <c r="R93" s="2014"/>
      <c r="S93" s="2014"/>
      <c r="T93" s="2014"/>
      <c r="U93" s="2014"/>
      <c r="V93" s="2014"/>
      <c r="W93" s="2014"/>
      <c r="X93" s="2014"/>
      <c r="Y93" s="2014"/>
      <c r="Z93" s="2014"/>
      <c r="AA93" s="2014"/>
      <c r="AB93" s="2014"/>
      <c r="AC93" s="2014"/>
      <c r="AD93" s="2014"/>
      <c r="AE93" s="2014"/>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44"/>
      <c r="O94" s="2044"/>
      <c r="P94" s="2044"/>
      <c r="Q94" s="2036"/>
      <c r="R94" s="2014"/>
      <c r="S94" s="2014"/>
      <c r="T94" s="2014"/>
      <c r="U94" s="2014"/>
      <c r="V94" s="2014"/>
      <c r="W94" s="2014"/>
      <c r="X94" s="2014"/>
      <c r="Y94" s="2014"/>
      <c r="Z94" s="2014"/>
      <c r="AA94" s="2014"/>
      <c r="AB94" s="2014"/>
      <c r="AC94" s="2014"/>
      <c r="AD94" s="2014"/>
      <c r="AE94" s="2014"/>
    </row>
    <row r="95" spans="1:31" s="279" customFormat="1" ht="15.75" thickTop="1">
      <c r="A95" s="346"/>
      <c r="B95" s="339" t="s">
        <v>1837</v>
      </c>
      <c r="C95" s="428" t="s">
        <v>1711</v>
      </c>
      <c r="D95" s="428" t="s">
        <v>1712</v>
      </c>
      <c r="E95" s="428" t="s">
        <v>1713</v>
      </c>
      <c r="F95" s="428" t="s">
        <v>1714</v>
      </c>
      <c r="G95" s="428" t="s">
        <v>1715</v>
      </c>
      <c r="H95" s="386"/>
      <c r="I95" s="386"/>
      <c r="J95" s="386"/>
      <c r="K95" s="386"/>
      <c r="L95" s="386"/>
      <c r="M95" s="388"/>
      <c r="N95" s="2044"/>
      <c r="O95" s="2044"/>
      <c r="P95" s="2044"/>
      <c r="Q95" s="2036"/>
      <c r="R95" s="2014"/>
      <c r="S95" s="2014"/>
      <c r="T95" s="2014"/>
      <c r="U95" s="2014"/>
      <c r="V95" s="2014"/>
      <c r="W95" s="2014"/>
      <c r="X95" s="2014"/>
      <c r="Y95" s="2014"/>
      <c r="Z95" s="2014"/>
      <c r="AA95" s="2014"/>
      <c r="AB95" s="2014"/>
      <c r="AC95" s="2014"/>
      <c r="AD95" s="2014"/>
      <c r="AE95" s="2014"/>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82"/>
      <c r="N96" s="2044"/>
      <c r="O96" s="2044"/>
      <c r="P96" s="2044"/>
      <c r="Q96" s="2036"/>
      <c r="R96" s="2014"/>
      <c r="S96" s="2014"/>
      <c r="T96" s="2014"/>
      <c r="U96" s="2014"/>
      <c r="V96" s="2014"/>
      <c r="W96" s="2014"/>
      <c r="X96" s="2014"/>
      <c r="Y96" s="2014"/>
      <c r="Z96" s="2014"/>
      <c r="AA96" s="2014"/>
      <c r="AB96" s="2014"/>
      <c r="AC96" s="2014"/>
      <c r="AD96" s="2014"/>
      <c r="AE96" s="2014"/>
    </row>
    <row r="97" spans="1:31" ht="15.75" thickTop="1">
      <c r="A97" s="254"/>
      <c r="B97" s="331" t="str">
        <f>B29</f>
        <v>临街状况</v>
      </c>
      <c r="C97" s="332" t="s">
        <v>1821</v>
      </c>
      <c r="D97" s="332" t="s">
        <v>1822</v>
      </c>
      <c r="E97" s="332" t="s">
        <v>1823</v>
      </c>
      <c r="F97" s="332" t="s">
        <v>1824</v>
      </c>
      <c r="G97" s="332"/>
      <c r="H97" s="332"/>
      <c r="I97" s="332"/>
      <c r="J97" s="332"/>
      <c r="K97" s="333"/>
      <c r="L97" s="334"/>
      <c r="M97" s="335"/>
      <c r="N97" s="2042"/>
      <c r="O97" s="2042"/>
      <c r="P97" s="2041"/>
      <c r="Q97" s="2029"/>
      <c r="R97" s="2008"/>
      <c r="S97" s="2008"/>
      <c r="T97" s="2008"/>
      <c r="U97" s="2008"/>
      <c r="V97" s="2008"/>
      <c r="W97" s="2008"/>
      <c r="X97" s="2008"/>
      <c r="Y97" s="2008"/>
      <c r="Z97" s="2008"/>
      <c r="AA97" s="2008"/>
      <c r="AB97" s="2008"/>
      <c r="AC97" s="2008"/>
      <c r="AD97" s="2008"/>
      <c r="AE97" s="2008"/>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43"/>
      <c r="O98" s="2043"/>
      <c r="P98" s="2041"/>
      <c r="Q98" s="2029"/>
      <c r="R98" s="2008"/>
      <c r="S98" s="2008"/>
      <c r="T98" s="2008"/>
      <c r="U98" s="2008"/>
      <c r="V98" s="2008"/>
      <c r="W98" s="2008"/>
      <c r="X98" s="2008"/>
      <c r="Y98" s="2008"/>
      <c r="Z98" s="2008"/>
      <c r="AA98" s="2008"/>
      <c r="AB98" s="2008"/>
      <c r="AC98" s="2008"/>
      <c r="AD98" s="2008"/>
      <c r="AE98" s="2008"/>
    </row>
    <row r="99" spans="1:31" ht="27.75" thickTop="1">
      <c r="A99" s="254"/>
      <c r="B99" s="331" t="s">
        <v>1727</v>
      </c>
      <c r="C99" s="347"/>
      <c r="D99" s="347"/>
      <c r="E99" s="347"/>
      <c r="F99" s="347"/>
      <c r="G99" s="347"/>
      <c r="H99" s="372"/>
      <c r="I99" s="372"/>
      <c r="J99" s="372"/>
      <c r="K99" s="373"/>
      <c r="L99" s="374"/>
      <c r="M99" s="375"/>
      <c r="N99" s="2042"/>
      <c r="O99" s="2042"/>
      <c r="P99" s="2041"/>
      <c r="Q99" s="2029"/>
      <c r="R99" s="2008"/>
      <c r="S99" s="2008"/>
      <c r="T99" s="2008"/>
      <c r="U99" s="2008"/>
      <c r="V99" s="2008"/>
      <c r="W99" s="2008"/>
      <c r="X99" s="2008"/>
      <c r="Y99" s="2008"/>
      <c r="Z99" s="2008"/>
      <c r="AA99" s="2008"/>
      <c r="AB99" s="2008"/>
      <c r="AC99" s="2008"/>
      <c r="AD99" s="2008"/>
      <c r="AE99" s="2008"/>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43"/>
      <c r="O100" s="2043"/>
      <c r="P100" s="2041"/>
      <c r="Q100" s="2029"/>
      <c r="R100" s="2008"/>
      <c r="S100" s="2008"/>
      <c r="T100" s="2008"/>
      <c r="U100" s="2008"/>
      <c r="V100" s="2008"/>
      <c r="W100" s="2008"/>
      <c r="X100" s="2008"/>
      <c r="Y100" s="2008"/>
      <c r="Z100" s="2008"/>
      <c r="AA100" s="2008"/>
      <c r="AB100" s="2008"/>
      <c r="AC100" s="2008"/>
      <c r="AD100" s="2008"/>
      <c r="AE100" s="2008"/>
    </row>
    <row r="101" spans="1:31" ht="15.75" thickTop="1">
      <c r="A101" s="254"/>
      <c r="B101" s="331" t="s">
        <v>1785</v>
      </c>
      <c r="C101" s="372"/>
      <c r="D101" s="372"/>
      <c r="E101" s="372"/>
      <c r="F101" s="372"/>
      <c r="G101" s="372"/>
      <c r="H101" s="372"/>
      <c r="I101" s="372"/>
      <c r="J101" s="372"/>
      <c r="K101" s="373"/>
      <c r="L101" s="374"/>
      <c r="M101" s="375"/>
      <c r="N101" s="2042"/>
      <c r="O101" s="2042"/>
      <c r="P101" s="2041"/>
      <c r="Q101" s="2029"/>
      <c r="R101" s="2008"/>
      <c r="S101" s="2008"/>
      <c r="T101" s="2008"/>
      <c r="U101" s="2008"/>
      <c r="V101" s="2008"/>
      <c r="W101" s="2008"/>
      <c r="X101" s="2008"/>
      <c r="Y101" s="2008"/>
      <c r="Z101" s="2008"/>
      <c r="AA101" s="2008"/>
      <c r="AB101" s="2008"/>
      <c r="AC101" s="2008"/>
      <c r="AD101" s="2008"/>
      <c r="AE101" s="2008"/>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43"/>
      <c r="O102" s="2043"/>
      <c r="P102" s="2041"/>
      <c r="Q102" s="2029"/>
      <c r="R102" s="2008"/>
      <c r="S102" s="2008"/>
      <c r="T102" s="2008"/>
      <c r="U102" s="2008"/>
      <c r="V102" s="2008"/>
      <c r="W102" s="2008"/>
      <c r="X102" s="2008"/>
      <c r="Y102" s="2008"/>
      <c r="Z102" s="2008"/>
      <c r="AA102" s="2008"/>
      <c r="AB102" s="2008"/>
      <c r="AC102" s="2008"/>
      <c r="AD102" s="2008"/>
      <c r="AE102" s="2008"/>
    </row>
    <row r="103" spans="1:31" ht="15.75" thickTop="1">
      <c r="A103" s="254"/>
      <c r="B103" s="339">
        <f>B33</f>
        <v>111</v>
      </c>
      <c r="C103" s="347"/>
      <c r="D103" s="347"/>
      <c r="E103" s="347"/>
      <c r="F103" s="347"/>
      <c r="G103" s="376"/>
      <c r="H103" s="376"/>
      <c r="I103" s="376"/>
      <c r="J103" s="376"/>
      <c r="K103" s="377"/>
      <c r="L103" s="378"/>
      <c r="M103" s="379"/>
      <c r="N103" s="2042"/>
      <c r="O103" s="2042"/>
      <c r="P103" s="2041"/>
      <c r="Q103" s="2029"/>
      <c r="R103" s="2008"/>
      <c r="S103" s="2008"/>
      <c r="T103" s="2008"/>
      <c r="U103" s="2008"/>
      <c r="V103" s="2008"/>
      <c r="W103" s="2008"/>
      <c r="X103" s="2008"/>
      <c r="Y103" s="2008"/>
      <c r="Z103" s="2008"/>
      <c r="AA103" s="2008"/>
      <c r="AB103" s="2008"/>
      <c r="AC103" s="2008"/>
      <c r="AD103" s="2008"/>
      <c r="AE103" s="2008"/>
    </row>
    <row r="104" spans="1:31" ht="15.75" thickBot="1">
      <c r="A104" s="254"/>
      <c r="B104" s="360"/>
      <c r="C104" s="352"/>
      <c r="D104" s="329"/>
      <c r="E104" s="329"/>
      <c r="F104" s="329"/>
      <c r="G104" s="380"/>
      <c r="H104" s="380"/>
      <c r="I104" s="380"/>
      <c r="J104" s="380"/>
      <c r="K104" s="380"/>
      <c r="L104" s="380"/>
      <c r="M104" s="381"/>
      <c r="N104" s="2043"/>
      <c r="O104" s="2043"/>
      <c r="P104" s="2041"/>
      <c r="Q104" s="2029"/>
      <c r="R104" s="2008"/>
      <c r="S104" s="2008"/>
      <c r="T104" s="2008"/>
      <c r="U104" s="2008"/>
      <c r="V104" s="2008"/>
      <c r="W104" s="2008"/>
      <c r="X104" s="2008"/>
      <c r="Y104" s="2008"/>
      <c r="Z104" s="2008"/>
      <c r="AA104" s="2008"/>
      <c r="AB104" s="2008"/>
      <c r="AC104" s="2008"/>
      <c r="AD104" s="2008"/>
      <c r="AE104" s="2008"/>
    </row>
    <row r="105" spans="1:31" ht="15" thickTop="1">
      <c r="A105" s="436"/>
      <c r="B105" s="331">
        <f>B34</f>
        <v>111</v>
      </c>
      <c r="C105" s="347"/>
      <c r="D105" s="347"/>
      <c r="E105" s="347"/>
      <c r="F105" s="347"/>
      <c r="G105" s="372"/>
      <c r="H105" s="372"/>
      <c r="I105" s="372"/>
      <c r="J105" s="372"/>
      <c r="K105" s="373"/>
      <c r="L105" s="374"/>
      <c r="M105" s="375"/>
      <c r="N105" s="2042"/>
      <c r="O105" s="2042"/>
      <c r="P105" s="2041"/>
      <c r="Q105" s="2029"/>
      <c r="R105" s="2008"/>
      <c r="S105" s="2008"/>
      <c r="T105" s="2008"/>
      <c r="U105" s="2008"/>
      <c r="V105" s="2008"/>
      <c r="W105" s="2008"/>
      <c r="X105" s="2008"/>
      <c r="Y105" s="2008"/>
      <c r="Z105" s="2008"/>
      <c r="AA105" s="2008"/>
      <c r="AB105" s="2008"/>
      <c r="AC105" s="2008"/>
      <c r="AD105" s="2008"/>
      <c r="AE105" s="2008"/>
    </row>
    <row r="106" spans="1:31" ht="15.75" thickBot="1">
      <c r="A106" s="254"/>
      <c r="B106" s="336"/>
      <c r="C106" s="352"/>
      <c r="D106" s="352"/>
      <c r="E106" s="352"/>
      <c r="F106" s="352"/>
      <c r="G106" s="329"/>
      <c r="H106" s="329"/>
      <c r="I106" s="329"/>
      <c r="J106" s="329"/>
      <c r="K106" s="329"/>
      <c r="L106" s="329"/>
      <c r="M106" s="330"/>
      <c r="N106" s="2043"/>
      <c r="O106" s="2043"/>
      <c r="P106" s="2041"/>
      <c r="Q106" s="2029"/>
      <c r="R106" s="2008"/>
      <c r="S106" s="2008"/>
      <c r="T106" s="2008"/>
      <c r="U106" s="2008"/>
      <c r="V106" s="2008"/>
      <c r="W106" s="2008"/>
      <c r="X106" s="2008"/>
      <c r="Y106" s="2008"/>
      <c r="Z106" s="2008"/>
      <c r="AA106" s="2008"/>
      <c r="AB106" s="2008"/>
      <c r="AC106" s="2008"/>
      <c r="AD106" s="2008"/>
      <c r="AE106" s="2008"/>
    </row>
    <row r="107" spans="1:31" s="279" customFormat="1" ht="15" thickTop="1">
      <c r="A107" s="277"/>
      <c r="B107" s="382">
        <f>B35</f>
        <v>111</v>
      </c>
      <c r="C107" s="20"/>
      <c r="D107" s="20"/>
      <c r="E107" s="20"/>
      <c r="F107" s="20"/>
      <c r="G107" s="5"/>
      <c r="H107" s="5"/>
      <c r="I107" s="5"/>
      <c r="J107" s="383"/>
      <c r="K107" s="383"/>
      <c r="L107" s="384"/>
      <c r="M107" s="385"/>
      <c r="N107" s="2044"/>
      <c r="O107" s="2044"/>
      <c r="P107" s="2044"/>
      <c r="Q107" s="2036"/>
      <c r="R107" s="2014"/>
      <c r="S107" s="2014"/>
      <c r="T107" s="2014"/>
      <c r="U107" s="2014"/>
      <c r="V107" s="2014"/>
      <c r="W107" s="2014"/>
      <c r="X107" s="2014"/>
      <c r="Y107" s="2014"/>
      <c r="Z107" s="2014"/>
      <c r="AA107" s="2014"/>
      <c r="AB107" s="2014"/>
      <c r="AC107" s="2014"/>
      <c r="AD107" s="2014"/>
      <c r="AE107" s="2014"/>
    </row>
    <row r="108" spans="1:31" s="279" customFormat="1" ht="15.75" thickBot="1">
      <c r="A108" s="346"/>
      <c r="B108" s="339"/>
      <c r="C108" s="361"/>
      <c r="D108" s="361"/>
      <c r="E108" s="361"/>
      <c r="F108" s="361"/>
      <c r="G108" s="437"/>
      <c r="H108" s="437"/>
      <c r="I108" s="437"/>
      <c r="J108" s="437"/>
      <c r="K108" s="437"/>
      <c r="L108" s="437"/>
      <c r="M108" s="451"/>
      <c r="N108" s="2043"/>
      <c r="O108" s="2043"/>
      <c r="P108" s="2044"/>
      <c r="Q108" s="2036"/>
      <c r="R108" s="2014"/>
      <c r="S108" s="2014"/>
      <c r="T108" s="2014"/>
      <c r="U108" s="2014"/>
      <c r="V108" s="2014"/>
      <c r="W108" s="2014"/>
      <c r="X108" s="2014"/>
      <c r="Y108" s="2014"/>
      <c r="Z108" s="2014"/>
      <c r="AA108" s="2014"/>
      <c r="AB108" s="2014"/>
      <c r="AC108" s="2014"/>
      <c r="AD108" s="2014"/>
      <c r="AE108" s="2014"/>
    </row>
    <row r="109" spans="1:31">
      <c r="A109" s="262" t="s">
        <v>1606</v>
      </c>
      <c r="B109" s="322" t="s">
        <v>1825</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915" t="str">
        <f t="shared" si="25"/>
        <v>(含)-</v>
      </c>
      <c r="L109" s="915" t="str">
        <f t="shared" si="25"/>
        <v>(含)-</v>
      </c>
      <c r="M109" s="916" t="str">
        <f>M110&amp;"(含)"&amp;"-"&amp;P110</f>
        <v>(含)-</v>
      </c>
      <c r="N109" s="2042"/>
      <c r="O109" s="2042"/>
      <c r="P109" s="2041"/>
      <c r="Q109" s="2029"/>
      <c r="R109" s="2008"/>
      <c r="S109" s="2008"/>
      <c r="T109" s="2008"/>
      <c r="U109" s="2008"/>
      <c r="V109" s="2008"/>
      <c r="W109" s="2008"/>
      <c r="X109" s="2008"/>
      <c r="Y109" s="2008"/>
      <c r="Z109" s="2008"/>
      <c r="AA109" s="2008"/>
      <c r="AB109" s="2008"/>
      <c r="AC109" s="2008"/>
      <c r="AD109" s="2008"/>
      <c r="AE109" s="2008"/>
    </row>
    <row r="110" spans="1:31" ht="15">
      <c r="A110" s="254"/>
      <c r="B110" s="339"/>
      <c r="C110" s="5"/>
      <c r="D110" s="5"/>
      <c r="E110" s="5"/>
      <c r="F110" s="5"/>
      <c r="G110" s="5"/>
      <c r="H110" s="5"/>
      <c r="I110" s="5"/>
      <c r="J110" s="383"/>
      <c r="K110" s="383"/>
      <c r="L110" s="384"/>
      <c r="M110" s="385"/>
      <c r="N110" s="2042"/>
      <c r="O110" s="2042"/>
      <c r="P110" s="2041"/>
      <c r="Q110" s="2029"/>
      <c r="R110" s="2008"/>
      <c r="S110" s="2008"/>
      <c r="T110" s="2008"/>
      <c r="U110" s="2008"/>
      <c r="V110" s="2008"/>
      <c r="W110" s="2008"/>
      <c r="X110" s="2008"/>
      <c r="Y110" s="2008"/>
      <c r="Z110" s="2008"/>
      <c r="AA110" s="2008"/>
      <c r="AB110" s="2008"/>
      <c r="AC110" s="2008"/>
      <c r="AD110" s="2008"/>
      <c r="AE110" s="2008"/>
    </row>
    <row r="111" spans="1:31" ht="15.75" thickBot="1">
      <c r="A111" s="254"/>
      <c r="B111" s="336"/>
      <c r="C111" s="361"/>
      <c r="D111" s="380"/>
      <c r="E111" s="380"/>
      <c r="F111" s="380"/>
      <c r="G111" s="380"/>
      <c r="H111" s="380"/>
      <c r="I111" s="380"/>
      <c r="J111" s="380"/>
      <c r="K111" s="380"/>
      <c r="L111" s="380"/>
      <c r="M111" s="381"/>
      <c r="N111" s="2043"/>
      <c r="O111" s="2043"/>
      <c r="P111" s="2041"/>
      <c r="Q111" s="2029"/>
      <c r="R111" s="2008"/>
      <c r="S111" s="2008"/>
      <c r="T111" s="2008"/>
      <c r="U111" s="2008"/>
      <c r="V111" s="2008"/>
      <c r="W111" s="2008"/>
      <c r="X111" s="2008"/>
      <c r="Y111" s="2008"/>
      <c r="Z111" s="2008"/>
      <c r="AA111" s="2008"/>
      <c r="AB111" s="2008"/>
      <c r="AC111" s="2008"/>
      <c r="AD111" s="2008"/>
      <c r="AE111" s="2008"/>
    </row>
    <row r="112" spans="1:31" ht="15" thickTop="1">
      <c r="A112" s="280"/>
      <c r="B112" s="331" t="s">
        <v>1826</v>
      </c>
      <c r="C112" s="372"/>
      <c r="D112" s="372"/>
      <c r="E112" s="372"/>
      <c r="F112" s="372"/>
      <c r="G112" s="372"/>
      <c r="H112" s="372"/>
      <c r="I112" s="372"/>
      <c r="J112" s="372"/>
      <c r="K112" s="373"/>
      <c r="L112" s="374"/>
      <c r="M112" s="375"/>
      <c r="N112" s="2042"/>
      <c r="O112" s="2042"/>
      <c r="P112" s="2041"/>
      <c r="Q112" s="2029"/>
      <c r="R112" s="2008"/>
      <c r="S112" s="2008"/>
      <c r="T112" s="2008"/>
      <c r="U112" s="2008"/>
      <c r="V112" s="2008"/>
      <c r="W112" s="2008"/>
      <c r="X112" s="2008"/>
      <c r="Y112" s="2008"/>
      <c r="Z112" s="2008"/>
      <c r="AA112" s="2008"/>
      <c r="AB112" s="2008"/>
      <c r="AC112" s="2008"/>
      <c r="AD112" s="2008"/>
      <c r="AE112" s="2008"/>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43"/>
      <c r="O113" s="2043"/>
      <c r="P113" s="2041"/>
      <c r="Q113" s="2029"/>
      <c r="R113" s="2008"/>
      <c r="S113" s="2008"/>
      <c r="T113" s="2008"/>
      <c r="U113" s="2008"/>
      <c r="V113" s="2008"/>
      <c r="W113" s="2008"/>
      <c r="X113" s="2008"/>
      <c r="Y113" s="2008"/>
      <c r="Z113" s="2008"/>
      <c r="AA113" s="2008"/>
      <c r="AB113" s="2008"/>
      <c r="AC113" s="2008"/>
      <c r="AD113" s="2008"/>
      <c r="AE113" s="2008"/>
    </row>
    <row r="114" spans="1:31" s="279" customFormat="1" ht="15" thickTop="1">
      <c r="A114" s="277"/>
      <c r="B114" s="331" t="s">
        <v>1828</v>
      </c>
      <c r="C114" s="347"/>
      <c r="D114" s="347"/>
      <c r="E114" s="347"/>
      <c r="F114" s="347"/>
      <c r="G114" s="347"/>
      <c r="H114" s="372"/>
      <c r="I114" s="372"/>
      <c r="J114" s="372"/>
      <c r="K114" s="373"/>
      <c r="L114" s="374"/>
      <c r="M114" s="375"/>
      <c r="N114" s="2044"/>
      <c r="O114" s="2044"/>
      <c r="P114" s="2044"/>
      <c r="Q114" s="2036"/>
      <c r="R114" s="2014"/>
      <c r="S114" s="2014"/>
      <c r="T114" s="2014"/>
      <c r="U114" s="2014"/>
      <c r="V114" s="2014"/>
      <c r="W114" s="2014"/>
      <c r="X114" s="2014"/>
      <c r="Y114" s="2014"/>
      <c r="Z114" s="2014"/>
      <c r="AA114" s="2014"/>
      <c r="AB114" s="2014"/>
      <c r="AC114" s="2014"/>
      <c r="AD114" s="2014"/>
      <c r="AE114" s="2014"/>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44"/>
      <c r="O115" s="2044"/>
      <c r="P115" s="2044"/>
      <c r="Q115" s="2036"/>
      <c r="R115" s="2014"/>
      <c r="S115" s="2014"/>
      <c r="T115" s="2014"/>
      <c r="U115" s="2014"/>
      <c r="V115" s="2014"/>
      <c r="W115" s="2014"/>
      <c r="X115" s="2014"/>
      <c r="Y115" s="2014"/>
      <c r="Z115" s="2014"/>
      <c r="AA115" s="2014"/>
      <c r="AB115" s="2014"/>
      <c r="AC115" s="2014"/>
      <c r="AD115" s="2014"/>
      <c r="AE115" s="2014"/>
    </row>
    <row r="116" spans="1:31" ht="15" thickTop="1">
      <c r="A116" s="280"/>
      <c r="B116" s="331" t="s">
        <v>1829</v>
      </c>
      <c r="C116" s="347"/>
      <c r="D116" s="347"/>
      <c r="E116" s="372"/>
      <c r="F116" s="372"/>
      <c r="G116" s="372"/>
      <c r="H116" s="372"/>
      <c r="I116" s="372"/>
      <c r="J116" s="372"/>
      <c r="K116" s="373"/>
      <c r="L116" s="374"/>
      <c r="M116" s="375"/>
      <c r="N116" s="2042"/>
      <c r="O116" s="2042"/>
      <c r="P116" s="2041"/>
      <c r="Q116" s="2029"/>
      <c r="R116" s="2008"/>
      <c r="S116" s="2008"/>
      <c r="T116" s="2008"/>
      <c r="U116" s="2008"/>
      <c r="V116" s="2008"/>
      <c r="W116" s="2008"/>
      <c r="X116" s="2008"/>
      <c r="Y116" s="2008"/>
      <c r="Z116" s="2008"/>
      <c r="AA116" s="2008"/>
      <c r="AB116" s="2008"/>
      <c r="AC116" s="2008"/>
      <c r="AD116" s="2008"/>
      <c r="AE116" s="2008"/>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43"/>
      <c r="O117" s="2043"/>
      <c r="P117" s="2041"/>
      <c r="Q117" s="2029"/>
      <c r="R117" s="2008"/>
      <c r="S117" s="2008"/>
      <c r="T117" s="2008"/>
      <c r="U117" s="2008"/>
      <c r="V117" s="2008"/>
      <c r="W117" s="2008"/>
      <c r="X117" s="2008"/>
      <c r="Y117" s="2008"/>
      <c r="Z117" s="2008"/>
      <c r="AA117" s="2008"/>
      <c r="AB117" s="2008"/>
      <c r="AC117" s="2008"/>
      <c r="AD117" s="2008"/>
      <c r="AE117" s="2008"/>
    </row>
    <row r="118" spans="1:31" ht="15" thickTop="1">
      <c r="A118" s="280"/>
      <c r="B118" s="331">
        <f>B40</f>
        <v>111</v>
      </c>
      <c r="C118" s="347"/>
      <c r="D118" s="347"/>
      <c r="E118" s="347"/>
      <c r="F118" s="347"/>
      <c r="G118" s="347"/>
      <c r="H118" s="372"/>
      <c r="I118" s="372"/>
      <c r="J118" s="372"/>
      <c r="K118" s="373"/>
      <c r="L118" s="374"/>
      <c r="M118" s="375"/>
      <c r="N118" s="2042"/>
      <c r="O118" s="2042"/>
      <c r="P118" s="2041"/>
      <c r="Q118" s="2029"/>
      <c r="R118" s="2008"/>
      <c r="S118" s="2008"/>
      <c r="T118" s="2008"/>
      <c r="U118" s="2008"/>
      <c r="V118" s="2008"/>
      <c r="W118" s="2008"/>
      <c r="X118" s="2008"/>
      <c r="Y118" s="2008"/>
      <c r="Z118" s="2008"/>
      <c r="AA118" s="2008"/>
      <c r="AB118" s="2008"/>
      <c r="AC118" s="2008"/>
      <c r="AD118" s="2008"/>
      <c r="AE118" s="2008"/>
    </row>
    <row r="119" spans="1:31" ht="15.75" thickBot="1">
      <c r="A119" s="254"/>
      <c r="B119" s="336"/>
      <c r="C119" s="352"/>
      <c r="D119" s="329"/>
      <c r="E119" s="329"/>
      <c r="F119" s="329"/>
      <c r="G119" s="329"/>
      <c r="H119" s="329"/>
      <c r="I119" s="329"/>
      <c r="J119" s="329"/>
      <c r="K119" s="329"/>
      <c r="L119" s="329"/>
      <c r="M119" s="330"/>
      <c r="N119" s="2043"/>
      <c r="O119" s="2043"/>
      <c r="P119" s="2041"/>
      <c r="Q119" s="2029"/>
      <c r="R119" s="2008"/>
      <c r="S119" s="2008"/>
      <c r="T119" s="2008"/>
      <c r="U119" s="2008"/>
      <c r="V119" s="2008"/>
      <c r="W119" s="2008"/>
      <c r="X119" s="2008"/>
      <c r="Y119" s="2008"/>
      <c r="Z119" s="2008"/>
      <c r="AA119" s="2008"/>
      <c r="AB119" s="2008"/>
      <c r="AC119" s="2008"/>
      <c r="AD119" s="2008"/>
      <c r="AE119" s="2008"/>
    </row>
    <row r="120" spans="1:31" ht="15" thickTop="1">
      <c r="A120" s="280"/>
      <c r="B120" s="331">
        <f>B41</f>
        <v>111</v>
      </c>
      <c r="C120" s="347"/>
      <c r="D120" s="347"/>
      <c r="E120" s="347"/>
      <c r="F120" s="347"/>
      <c r="G120" s="372"/>
      <c r="H120" s="372"/>
      <c r="I120" s="372"/>
      <c r="J120" s="372"/>
      <c r="K120" s="373"/>
      <c r="L120" s="374"/>
      <c r="M120" s="375"/>
      <c r="N120" s="2042"/>
      <c r="O120" s="2042"/>
      <c r="P120" s="2041"/>
      <c r="Q120" s="2029"/>
      <c r="R120" s="2008"/>
      <c r="S120" s="2008"/>
      <c r="T120" s="2008"/>
      <c r="U120" s="2008"/>
      <c r="V120" s="2008"/>
      <c r="W120" s="2008"/>
      <c r="X120" s="2008"/>
      <c r="Y120" s="2008"/>
      <c r="Z120" s="2008"/>
      <c r="AA120" s="2008"/>
      <c r="AB120" s="2008"/>
      <c r="AC120" s="2008"/>
      <c r="AD120" s="2008"/>
      <c r="AE120" s="2008"/>
    </row>
    <row r="121" spans="1:31" ht="15.75" thickBot="1">
      <c r="A121" s="254"/>
      <c r="B121" s="336"/>
      <c r="C121" s="352"/>
      <c r="D121" s="352"/>
      <c r="E121" s="352"/>
      <c r="F121" s="352"/>
      <c r="G121" s="329"/>
      <c r="H121" s="329"/>
      <c r="I121" s="329"/>
      <c r="J121" s="329"/>
      <c r="K121" s="329"/>
      <c r="L121" s="329"/>
      <c r="M121" s="330"/>
      <c r="N121" s="2043"/>
      <c r="O121" s="2043"/>
      <c r="P121" s="2041"/>
      <c r="Q121" s="2029"/>
      <c r="R121" s="2008"/>
      <c r="S121" s="2008"/>
      <c r="T121" s="2008"/>
      <c r="U121" s="2008"/>
      <c r="V121" s="2008"/>
      <c r="W121" s="2008"/>
      <c r="X121" s="2008"/>
      <c r="Y121" s="2008"/>
      <c r="Z121" s="2008"/>
      <c r="AA121" s="2008"/>
      <c r="AB121" s="2008"/>
      <c r="AC121" s="2008"/>
      <c r="AD121" s="2008"/>
      <c r="AE121" s="2008"/>
    </row>
    <row r="122" spans="1:31" s="279" customFormat="1" ht="15" thickTop="1">
      <c r="A122" s="277"/>
      <c r="B122" s="331">
        <f>B42</f>
        <v>111</v>
      </c>
      <c r="C122" s="20"/>
      <c r="D122" s="20"/>
      <c r="E122" s="20"/>
      <c r="F122" s="20"/>
      <c r="G122" s="348"/>
      <c r="H122" s="348"/>
      <c r="I122" s="348"/>
      <c r="J122" s="348"/>
      <c r="K122" s="348"/>
      <c r="L122" s="349"/>
      <c r="M122" s="350"/>
      <c r="N122" s="2044"/>
      <c r="O122" s="2044"/>
      <c r="P122" s="2044"/>
      <c r="Q122" s="2036"/>
      <c r="R122" s="2014"/>
      <c r="S122" s="2014"/>
      <c r="T122" s="2014"/>
      <c r="U122" s="2014"/>
      <c r="V122" s="2014"/>
      <c r="W122" s="2014"/>
      <c r="X122" s="2014"/>
      <c r="Y122" s="2014"/>
      <c r="Z122" s="2014"/>
      <c r="AA122" s="2014"/>
      <c r="AB122" s="2014"/>
      <c r="AC122" s="2014"/>
      <c r="AD122" s="2014"/>
      <c r="AE122" s="2014"/>
    </row>
    <row r="123" spans="1:31" s="279" customFormat="1" ht="15.75" thickBot="1">
      <c r="A123" s="359"/>
      <c r="B123" s="452"/>
      <c r="C123" s="361"/>
      <c r="D123" s="361"/>
      <c r="E123" s="361"/>
      <c r="F123" s="361"/>
      <c r="G123" s="380"/>
      <c r="H123" s="380"/>
      <c r="I123" s="380"/>
      <c r="J123" s="380"/>
      <c r="K123" s="380"/>
      <c r="L123" s="380"/>
      <c r="M123" s="381"/>
      <c r="N123" s="2044"/>
      <c r="O123" s="2044"/>
      <c r="P123" s="2044"/>
      <c r="Q123" s="2036"/>
      <c r="R123" s="2014"/>
      <c r="S123" s="2014"/>
      <c r="T123" s="2014"/>
      <c r="U123" s="2014"/>
      <c r="V123" s="2014"/>
      <c r="W123" s="2014"/>
      <c r="X123" s="2014"/>
      <c r="Y123" s="2014"/>
      <c r="Z123" s="2014"/>
      <c r="AA123" s="2014"/>
      <c r="AB123" s="2014"/>
      <c r="AC123" s="2014"/>
      <c r="AD123" s="2014"/>
      <c r="AE123" s="2014"/>
    </row>
    <row r="124" spans="1:31">
      <c r="N124" s="2008"/>
      <c r="O124" s="2008"/>
      <c r="P124" s="2008"/>
      <c r="Q124" s="2008"/>
      <c r="R124" s="2008"/>
      <c r="S124" s="2008"/>
      <c r="T124" s="2008"/>
      <c r="U124" s="2008"/>
      <c r="V124" s="2008"/>
      <c r="W124" s="2008"/>
      <c r="X124" s="2008"/>
      <c r="Y124" s="2008"/>
      <c r="Z124" s="2008"/>
      <c r="AA124" s="2008"/>
      <c r="AB124" s="2008"/>
      <c r="AC124" s="2008"/>
      <c r="AD124" s="2008"/>
      <c r="AE124" s="2008"/>
    </row>
    <row r="125" spans="1:31">
      <c r="P125" s="2008"/>
      <c r="Q125" s="2008"/>
      <c r="R125" s="2008"/>
      <c r="S125" s="2008"/>
      <c r="T125" s="2008"/>
      <c r="U125" s="2008"/>
      <c r="V125" s="2008"/>
      <c r="W125" s="2008"/>
      <c r="X125" s="2008"/>
      <c r="Y125" s="2008"/>
      <c r="Z125" s="2008"/>
      <c r="AA125" s="2008"/>
      <c r="AB125" s="2008"/>
      <c r="AC125" s="2008"/>
      <c r="AD125" s="2008"/>
      <c r="AE125" s="2008"/>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B7" sqref="B7"/>
    </sheetView>
  </sheetViews>
  <sheetFormatPr defaultColWidth="6.625" defaultRowHeight="12.75"/>
  <cols>
    <col min="1" max="1" width="9.25" style="496" customWidth="1"/>
    <col min="2" max="2" width="31.625" style="532" customWidth="1"/>
    <col min="3" max="3" width="13" style="550" customWidth="1"/>
    <col min="4" max="4" width="9.875" style="532" customWidth="1"/>
    <col min="5" max="5" width="9.5" style="496" customWidth="1"/>
    <col min="6" max="6" width="10.125" style="532" customWidth="1"/>
    <col min="7" max="7" width="10.75" style="532" customWidth="1"/>
    <col min="8" max="8" width="10" style="532" customWidth="1"/>
    <col min="9" max="11" width="9.5" style="532" customWidth="1"/>
    <col min="12" max="12" width="9" style="532" customWidth="1"/>
    <col min="13" max="13" width="10.5" style="532" bestFit="1" customWidth="1"/>
    <col min="14" max="254" width="9" style="532" customWidth="1"/>
    <col min="255" max="16384" width="6.625" style="532"/>
  </cols>
  <sheetData>
    <row r="1" spans="1:33" ht="20.25">
      <c r="A1" s="91" t="s">
        <v>1535</v>
      </c>
      <c r="B1" s="47"/>
      <c r="C1" s="807"/>
      <c r="D1" s="806"/>
      <c r="E1" s="2078"/>
      <c r="F1" s="2078"/>
      <c r="G1" s="1971"/>
      <c r="H1" s="2078"/>
      <c r="I1" s="2078"/>
      <c r="J1" s="2078"/>
      <c r="K1" s="2079">
        <f>MATCH(C1,'数据-取费表'!A6:A16,0)+5</f>
        <v>10</v>
      </c>
    </row>
    <row r="2" spans="1:33" ht="18" customHeight="1">
      <c r="A2" s="96" t="s">
        <v>1433</v>
      </c>
      <c r="B2" s="2589">
        <f ca="1">IF(D2="含税",C37,C36)</f>
        <v>-1307</v>
      </c>
      <c r="C2" s="171" t="s">
        <v>1536</v>
      </c>
      <c r="D2" s="3431"/>
      <c r="E2" s="2078"/>
      <c r="G2" s="2078"/>
      <c r="H2" s="2078"/>
      <c r="I2" s="2078"/>
      <c r="J2" s="2078"/>
      <c r="K2" s="2078"/>
    </row>
    <row r="3" spans="1:33" ht="18" customHeight="1">
      <c r="A3" s="98" t="s">
        <v>1435</v>
      </c>
      <c r="B3" s="2589">
        <f ca="1">ROUND(B2*10000/IF(C1="",'数据-汇总表'!E3,INDIRECT("'数据-取费表'!K"&amp;$K$1)),0)</f>
        <v>-228</v>
      </c>
      <c r="C3" s="171" t="s">
        <v>1537</v>
      </c>
      <c r="E3" s="532"/>
      <c r="I3" s="2078"/>
      <c r="J3" s="2078"/>
      <c r="K3" s="2078"/>
    </row>
    <row r="4" spans="1:33" ht="18" customHeight="1">
      <c r="A4" s="3484" t="s">
        <v>3631</v>
      </c>
      <c r="B4" s="3489">
        <f ca="1">ROUND(B2*10000/IF(C1="",'数据-汇总表'!D3,INDIRECT("'数据-取费表'!R"&amp;$K$1)),0)</f>
        <v>-795</v>
      </c>
      <c r="C4" s="3488" t="s">
        <v>1537</v>
      </c>
      <c r="E4" s="532"/>
      <c r="I4" s="2078"/>
      <c r="J4" s="2078"/>
      <c r="K4" s="2078"/>
    </row>
    <row r="5" spans="1:33" ht="18" customHeight="1" thickBot="1">
      <c r="A5" s="94"/>
      <c r="B5" s="3485">
        <f ca="1">ROUND(B2/(IF(C1="",'数据-汇总表'!D3,INDIRECT("'数据-取费表'!R"&amp;$K$1))/666.67),0)</f>
        <v>-53</v>
      </c>
      <c r="C5" s="3487" t="s">
        <v>3629</v>
      </c>
      <c r="E5" s="532"/>
      <c r="I5" s="2078"/>
      <c r="J5" s="2078"/>
      <c r="K5" s="2078"/>
    </row>
    <row r="6" spans="1:33" s="533" customFormat="1" ht="16.5" customHeight="1">
      <c r="A6" s="2724" t="s">
        <v>3373</v>
      </c>
      <c r="B6" s="2723"/>
      <c r="C6" s="4716" t="s">
        <v>3375</v>
      </c>
      <c r="D6" s="4716"/>
      <c r="E6" s="4716"/>
      <c r="F6" s="4716"/>
      <c r="G6" s="4716"/>
      <c r="H6" s="4716"/>
      <c r="I6" s="4716"/>
      <c r="J6" s="4716"/>
      <c r="K6" s="4717"/>
    </row>
    <row r="7" spans="1:33" s="536" customFormat="1" ht="15">
      <c r="A7" s="2558" t="s">
        <v>1538</v>
      </c>
      <c r="B7" s="2731" t="s">
        <v>1539</v>
      </c>
      <c r="C7" s="1368"/>
      <c r="D7" s="1368"/>
      <c r="E7" s="1368"/>
      <c r="F7" s="1368"/>
      <c r="G7" s="1368"/>
      <c r="H7" s="1368"/>
      <c r="I7" s="1368"/>
      <c r="J7" s="1368"/>
      <c r="K7" s="2732"/>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201" t="s">
        <v>3968</v>
      </c>
      <c r="C8" s="2779"/>
      <c r="D8" s="2779"/>
      <c r="E8" s="2779"/>
      <c r="F8" s="2779"/>
      <c r="G8" s="2779"/>
      <c r="H8" s="2779"/>
      <c r="I8" s="2779"/>
      <c r="J8" s="2779"/>
      <c r="K8" s="278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1540</v>
      </c>
      <c r="B9" s="4201" t="s">
        <v>3969</v>
      </c>
      <c r="C9" s="2781">
        <f>SUMIF('数据-汇总表'!$C19:$C33,假设开发法!C7,'数据-汇总表'!$E19:$E33)</f>
        <v>0</v>
      </c>
      <c r="D9" s="2781">
        <f>SUMIF('数据-汇总表'!$C19:$C33,假设开发法!D7,'数据-汇总表'!$E19:$E33)</f>
        <v>0</v>
      </c>
      <c r="E9" s="2781">
        <f>SUMIF('数据-汇总表'!$C19:$C33,假设开发法!E7,'数据-汇总表'!$E19:$E33)</f>
        <v>0</v>
      </c>
      <c r="F9" s="2781">
        <f>SUMIF('数据-汇总表'!$C19:$C33,假设开发法!F7,'数据-汇总表'!$E19:$E33)</f>
        <v>0</v>
      </c>
      <c r="G9" s="2781">
        <f>SUMIF('数据-汇总表'!$C19:$C33,假设开发法!G7,'数据-汇总表'!$E19:$E33)</f>
        <v>0</v>
      </c>
      <c r="H9" s="2781">
        <f>SUMIF('数据-汇总表'!$C19:$C33,假设开发法!H7,'数据-汇总表'!$E19:$E33)</f>
        <v>0</v>
      </c>
      <c r="I9" s="2781">
        <f>SUMIF('数据-汇总表'!$C19:$C33,假设开发法!I7,'数据-汇总表'!$E19:$E33)</f>
        <v>0</v>
      </c>
      <c r="J9" s="2781">
        <f>SUMIF('数据-汇总表'!$C19:$C33,假设开发法!J7,'数据-汇总表'!$E19:$E33)</f>
        <v>0</v>
      </c>
      <c r="K9" s="2782">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7" customFormat="1" ht="13.5" customHeight="1" thickBot="1">
      <c r="A10" s="216" t="s">
        <v>3971</v>
      </c>
      <c r="B10" s="4202" t="s">
        <v>3970</v>
      </c>
      <c r="C10" s="4203"/>
      <c r="D10" s="4203"/>
      <c r="E10" s="4203"/>
      <c r="F10" s="4204"/>
      <c r="G10" s="4204"/>
      <c r="H10" s="4204"/>
      <c r="I10" s="4204"/>
      <c r="J10" s="4204"/>
      <c r="K10" s="4205"/>
      <c r="L10" s="4206"/>
      <c r="M10" s="4206"/>
      <c r="N10" s="4206"/>
      <c r="O10" s="4206"/>
      <c r="P10" s="4206"/>
      <c r="Q10" s="4206"/>
      <c r="R10" s="4206"/>
      <c r="S10" s="4206"/>
      <c r="T10" s="4206"/>
      <c r="U10" s="4206"/>
      <c r="V10" s="4206"/>
      <c r="W10" s="4206"/>
      <c r="X10" s="4206"/>
      <c r="Y10" s="4206"/>
      <c r="Z10" s="4206"/>
      <c r="AA10" s="4206"/>
      <c r="AB10" s="4206"/>
      <c r="AC10" s="4206"/>
      <c r="AD10" s="4206"/>
      <c r="AE10" s="4206"/>
      <c r="AF10" s="4206"/>
      <c r="AG10" s="4206"/>
    </row>
    <row r="11" spans="1:33" s="533" customFormat="1" ht="16.5" customHeight="1" thickBot="1">
      <c r="A11" s="4720" t="s">
        <v>3388</v>
      </c>
      <c r="B11" s="4721"/>
      <c r="C11" s="4721"/>
      <c r="D11" s="4721"/>
      <c r="E11" s="4721"/>
      <c r="F11" s="4721"/>
      <c r="G11" s="4721"/>
      <c r="H11" s="4721"/>
      <c r="I11" s="4721"/>
      <c r="J11" s="4721"/>
      <c r="K11" s="4722"/>
    </row>
    <row r="12" spans="1:33" s="4199" customFormat="1" ht="13.5" customHeight="1">
      <c r="A12" s="3317" t="s">
        <v>3513</v>
      </c>
      <c r="B12" s="4196" t="s">
        <v>1542</v>
      </c>
      <c r="C12" s="4200" t="s">
        <v>3967</v>
      </c>
      <c r="D12" s="4196" t="s">
        <v>1544</v>
      </c>
      <c r="E12" s="4196" t="s">
        <v>1545</v>
      </c>
      <c r="F12" s="4196" t="s">
        <v>1546</v>
      </c>
      <c r="G12" s="4197" t="s">
        <v>3399</v>
      </c>
      <c r="H12" s="4196"/>
      <c r="I12" s="4196"/>
      <c r="J12" s="4196"/>
      <c r="K12" s="4198"/>
    </row>
    <row r="13" spans="1:33" s="539" customFormat="1" ht="13.5" customHeight="1">
      <c r="A13" s="2558">
        <v>1</v>
      </c>
      <c r="B13" s="2748" t="s">
        <v>3374</v>
      </c>
      <c r="C13" s="2733">
        <f>SUM(C10:K10)</f>
        <v>0</v>
      </c>
      <c r="D13" s="538"/>
      <c r="E13" s="538"/>
      <c r="F13" s="538"/>
      <c r="G13" s="2749"/>
      <c r="H13" s="2749"/>
      <c r="I13" s="2749"/>
      <c r="J13" s="2749"/>
      <c r="K13" s="2750"/>
    </row>
    <row r="14" spans="1:33" s="541" customFormat="1" ht="13.5" customHeight="1">
      <c r="A14" s="2558">
        <v>2</v>
      </c>
      <c r="B14" s="548" t="s">
        <v>1557</v>
      </c>
      <c r="C14" s="2772" t="str">
        <f>F14&amp;"V"</f>
        <v>0.0305V</v>
      </c>
      <c r="D14" s="173"/>
      <c r="E14" s="173"/>
      <c r="F14" s="2741">
        <f>IF(项目基本情况!B8="出让",0,'数据-取费表'!B49+'数据-取费表'!B50)</f>
        <v>3.0499999999999999E-2</v>
      </c>
      <c r="G14" s="3333" t="s">
        <v>3669</v>
      </c>
      <c r="H14" s="25"/>
      <c r="I14" s="25"/>
      <c r="J14" s="25"/>
      <c r="K14" s="27"/>
    </row>
    <row r="15" spans="1:33" s="541" customFormat="1" ht="13.5" customHeight="1">
      <c r="A15" s="2558">
        <v>3</v>
      </c>
      <c r="B15" s="2726" t="s">
        <v>3376</v>
      </c>
      <c r="C15" s="2734">
        <f ca="1">SUM(C16:C19)+C25+C26</f>
        <v>1148</v>
      </c>
      <c r="D15" s="548"/>
      <c r="E15" s="173"/>
      <c r="F15" s="2734"/>
      <c r="G15" s="2787" t="s">
        <v>3670</v>
      </c>
      <c r="H15" s="55"/>
      <c r="I15" s="55"/>
      <c r="J15" s="55"/>
      <c r="K15" s="2751"/>
    </row>
    <row r="16" spans="1:33" s="541" customFormat="1" ht="13.5" customHeight="1">
      <c r="A16" s="537" t="s">
        <v>355</v>
      </c>
      <c r="B16" s="2765" t="s">
        <v>3389</v>
      </c>
      <c r="C16" s="2735">
        <f ca="1">IF(C1="",'数据-取费表'!P16,INDIRECT("'数据-取费表'!P"&amp;$K$1)+INDIRECT("'数据-取费表'!ar"&amp;$K$1))</f>
        <v>0</v>
      </c>
      <c r="D16" s="540"/>
      <c r="E16" s="55"/>
      <c r="F16" s="2742">
        <f ca="1">1-IF('数据-取费表'!B24=0,1,IF(C1="",'数据-取费表'!N16,INDIRECT("'数据-取费表'!n"&amp;$K$1)))</f>
        <v>0</v>
      </c>
      <c r="G16" s="2749"/>
      <c r="H16" s="2749"/>
      <c r="I16" s="2749"/>
      <c r="J16" s="2749"/>
      <c r="K16" s="2750"/>
    </row>
    <row r="17" spans="1:33" s="541" customFormat="1" ht="13.5" customHeight="1">
      <c r="A17" s="537" t="s">
        <v>1540</v>
      </c>
      <c r="B17" s="2765" t="s">
        <v>3390</v>
      </c>
      <c r="C17" s="2774">
        <f ca="1">ROUND(C16*F17,0)</f>
        <v>0</v>
      </c>
      <c r="D17" s="540"/>
      <c r="E17" s="55"/>
      <c r="F17" s="2742">
        <f>'数据-取费表'!B33</f>
        <v>0.05</v>
      </c>
      <c r="G17" s="3515" t="s">
        <v>3680</v>
      </c>
      <c r="H17" s="2749"/>
      <c r="I17" s="2749"/>
      <c r="J17" s="2749"/>
      <c r="K17" s="2750"/>
    </row>
    <row r="18" spans="1:33" s="541" customFormat="1" ht="13.5" customHeight="1">
      <c r="A18" s="537" t="s">
        <v>1541</v>
      </c>
      <c r="B18" s="2765" t="s">
        <v>3391</v>
      </c>
      <c r="C18" s="2774">
        <f ca="1">ROUND(IF(C1="",SUMIF('数据-取费表'!C:C,"住宅",'数据-取费表'!P:P)*F18,IF(INDIRECT("'数据-取费表'!c"&amp;$K$1)="住宅",INDIRECT("'数据-取费表'!P"&amp;$K$1)*F18,0)),0)</f>
        <v>0</v>
      </c>
      <c r="D18" s="557"/>
      <c r="E18" s="55"/>
      <c r="F18" s="2742">
        <f>'数据-取费表'!B34</f>
        <v>0</v>
      </c>
      <c r="G18" s="2749" t="s">
        <v>1547</v>
      </c>
      <c r="H18" s="2749"/>
      <c r="I18" s="2749"/>
      <c r="J18" s="2749"/>
      <c r="K18" s="2750"/>
    </row>
    <row r="19" spans="1:33" s="541" customFormat="1" ht="13.5" customHeight="1">
      <c r="A19" s="537" t="s">
        <v>3378</v>
      </c>
      <c r="B19" s="2765" t="s">
        <v>3392</v>
      </c>
      <c r="C19" s="2774">
        <f ca="1">C20+C23+C24</f>
        <v>1148</v>
      </c>
      <c r="D19" s="557"/>
      <c r="E19" s="55"/>
      <c r="F19" s="2742"/>
      <c r="G19" s="2749"/>
      <c r="H19" s="2749"/>
      <c r="I19" s="2749"/>
      <c r="J19" s="2749"/>
      <c r="K19" s="2750"/>
    </row>
    <row r="20" spans="1:33" s="541" customFormat="1" ht="13.5" customHeight="1">
      <c r="A20" s="2727" t="s">
        <v>3381</v>
      </c>
      <c r="B20" s="2752" t="s">
        <v>1552</v>
      </c>
      <c r="C20" s="2774">
        <f ca="1">C21+C22-IF(C1="",'数据-取费表'!B29,IF(G20="已全部缴纳",C21+C22,H20))</f>
        <v>1148</v>
      </c>
      <c r="D20" s="557"/>
      <c r="E20" s="12"/>
      <c r="F20" s="2743"/>
      <c r="G20" s="2753"/>
      <c r="H20" s="2754"/>
      <c r="I20" s="2755" t="s">
        <v>1553</v>
      </c>
      <c r="J20" s="55"/>
      <c r="K20" s="2751"/>
    </row>
    <row r="21" spans="1:33" s="541" customFormat="1" ht="13.5" customHeight="1">
      <c r="A21" s="2767" t="s">
        <v>3384</v>
      </c>
      <c r="B21" s="2768" t="s">
        <v>3395</v>
      </c>
      <c r="C21" s="2775">
        <f ca="1">ROUND(D21*E21/10000,0)</f>
        <v>0</v>
      </c>
      <c r="D21" s="2777">
        <f ca="1">IF(C1="",'数据-汇总表'!E5,IF(INDIRECT("'数据-取费表'!c"&amp;$K$1)="住宅",INDIRECT("'数据-取费表'!k"&amp;$K$1),0))</f>
        <v>0</v>
      </c>
      <c r="E21" s="2775">
        <f>'数据-取费表'!B27</f>
        <v>0</v>
      </c>
      <c r="F21" s="2769"/>
      <c r="G21" s="186"/>
      <c r="H21" s="186"/>
      <c r="I21" s="186"/>
      <c r="J21" s="186"/>
      <c r="K21" s="1901"/>
    </row>
    <row r="22" spans="1:33" s="541" customFormat="1" ht="13.5" customHeight="1">
      <c r="A22" s="2767" t="s">
        <v>3385</v>
      </c>
      <c r="B22" s="2768" t="s">
        <v>3396</v>
      </c>
      <c r="C22" s="2775">
        <f ca="1">ROUND(D22*E22/10000,0)</f>
        <v>1148</v>
      </c>
      <c r="D22" s="2777">
        <f ca="1">IF(C1="",'数据-汇总表'!E6,IF(INDIRECT("'数据-取费表'!c"&amp;$K$1)="住宅",INDIRECT("'数据-取费表'!s"&amp;$K$1),INDIRECT("'数据-取费表'!k"&amp;$K$1)+INDIRECT("'数据-取费表'!s"&amp;$K$1)))</f>
        <v>57408.26</v>
      </c>
      <c r="E22" s="2775">
        <f>'数据-取费表'!B28</f>
        <v>200</v>
      </c>
      <c r="F22" s="2769"/>
      <c r="G22" s="186"/>
      <c r="H22" s="186"/>
      <c r="I22" s="186"/>
      <c r="J22" s="186"/>
      <c r="K22" s="1901"/>
    </row>
    <row r="23" spans="1:33" s="542" customFormat="1" ht="13.5" customHeight="1">
      <c r="A23" s="2727" t="s">
        <v>3382</v>
      </c>
      <c r="B23" s="2752" t="s">
        <v>1548</v>
      </c>
      <c r="C23" s="2774">
        <f ca="1">ROUND(D23*E23*F16/10000,0)</f>
        <v>0</v>
      </c>
      <c r="D23" s="2778">
        <f ca="1">IF(C1="",'数据-汇总表'!E3,INDIRECT("'数据-取费表'!K"&amp;$K$1)+INDIRECT("'数据-取费表'!S"&amp;$K$1))</f>
        <v>57408.26</v>
      </c>
      <c r="E23" s="2774">
        <f>'数据-取费表'!B35</f>
        <v>300</v>
      </c>
      <c r="F23" s="2743"/>
      <c r="G23" s="2748" t="s">
        <v>3671</v>
      </c>
      <c r="H23" s="2749"/>
      <c r="I23" s="2749"/>
      <c r="J23" s="2749"/>
      <c r="K23" s="2750"/>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2727" t="s">
        <v>3383</v>
      </c>
      <c r="B24" s="2752" t="s">
        <v>1550</v>
      </c>
      <c r="C24" s="2774">
        <f ca="1">ROUND(D24*E24/10000,0)</f>
        <v>0</v>
      </c>
      <c r="D24" s="2778">
        <f ca="1">D23</f>
        <v>57408.26</v>
      </c>
      <c r="E24" s="2774">
        <f>'数据-取费表'!B32</f>
        <v>0</v>
      </c>
      <c r="F24" s="2738"/>
      <c r="G24" s="55" t="s">
        <v>1551</v>
      </c>
      <c r="H24" s="55"/>
      <c r="I24" s="55"/>
      <c r="J24" s="55"/>
      <c r="K24" s="2751"/>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c r="A25" s="2725" t="s">
        <v>3379</v>
      </c>
      <c r="B25" s="2766" t="s">
        <v>3393</v>
      </c>
      <c r="C25" s="2737">
        <f ca="1">ROUND(C16*F25,0)</f>
        <v>0</v>
      </c>
      <c r="D25" s="2728"/>
      <c r="E25" s="2729"/>
      <c r="F25" s="2742">
        <f>'数据-取费表'!B36</f>
        <v>0.01</v>
      </c>
      <c r="G25" s="2728"/>
      <c r="H25" s="2728"/>
      <c r="I25" s="2728"/>
      <c r="J25" s="2728"/>
      <c r="K25" s="2756"/>
    </row>
    <row r="26" spans="1:33" s="542" customFormat="1" ht="13.5" customHeight="1">
      <c r="A26" s="2725" t="s">
        <v>3380</v>
      </c>
      <c r="B26" s="2765" t="s">
        <v>3394</v>
      </c>
      <c r="C26" s="2738">
        <f ca="1">ROUND(C16*F26,0)</f>
        <v>0</v>
      </c>
      <c r="D26" s="543"/>
      <c r="E26" s="547"/>
      <c r="F26" s="2742">
        <f>'数据-取费表'!B37</f>
        <v>0</v>
      </c>
      <c r="G26" s="55" t="s">
        <v>1549</v>
      </c>
      <c r="H26" s="55"/>
      <c r="I26" s="55"/>
      <c r="J26" s="55"/>
      <c r="K26" s="2751"/>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2558">
        <v>4</v>
      </c>
      <c r="B27" s="548" t="s">
        <v>1554</v>
      </c>
      <c r="C27" s="2734">
        <f ca="1">ROUND(C15*F27,0)</f>
        <v>23</v>
      </c>
      <c r="D27" s="173"/>
      <c r="E27" s="173"/>
      <c r="F27" s="2741">
        <f>'数据-取费表'!B38</f>
        <v>0.02</v>
      </c>
      <c r="G27" s="2749" t="s">
        <v>1555</v>
      </c>
      <c r="H27" s="2749"/>
      <c r="I27" s="2749"/>
      <c r="J27" s="2749"/>
      <c r="K27" s="2750"/>
    </row>
    <row r="28" spans="1:33" s="541" customFormat="1" ht="13.5" customHeight="1">
      <c r="A28" s="2558">
        <v>5</v>
      </c>
      <c r="B28" s="548" t="s">
        <v>1556</v>
      </c>
      <c r="C28" s="2734">
        <f ca="1">ROUND(C13*F28*F16,0)</f>
        <v>0</v>
      </c>
      <c r="D28" s="173"/>
      <c r="E28" s="173"/>
      <c r="F28" s="2741">
        <f>'数据-取费表'!B39</f>
        <v>0.02</v>
      </c>
      <c r="G28" s="2749" t="s">
        <v>3672</v>
      </c>
      <c r="H28" s="2749"/>
      <c r="I28" s="2749"/>
      <c r="J28" s="2749"/>
      <c r="K28" s="2750"/>
    </row>
    <row r="29" spans="1:33" s="541" customFormat="1" ht="13.5" customHeight="1">
      <c r="A29" s="2558">
        <v>6</v>
      </c>
      <c r="B29" s="2726" t="s">
        <v>3377</v>
      </c>
      <c r="C29" s="2772" t="str">
        <f ca="1">C31&amp;"+"&amp;C30&amp;"V"</f>
        <v>0+0V</v>
      </c>
      <c r="D29" s="172"/>
      <c r="E29" s="173"/>
      <c r="F29" s="2758">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49" customFormat="1" ht="13.5" customHeight="1">
      <c r="A30" s="2771" t="s">
        <v>355</v>
      </c>
      <c r="B30" s="2752" t="s">
        <v>1558</v>
      </c>
      <c r="C30" s="2739">
        <f ca="1">ROUND(IF('数据-取费表'!B22&lt;=1,(1+F14)*F29*'数据-取费表'!B24,(1+F14)*(POWER((1+F29),'数据-取费表'!B24)-1)),4)</f>
        <v>0</v>
      </c>
      <c r="D30" s="174"/>
      <c r="E30" s="543"/>
      <c r="F30" s="2759"/>
      <c r="G30" s="168" t="str">
        <f>IF('数据-取费表'!B22&lt;=1,"（(1)+取得税费率/(1+5%)）×年利率×建设期","（(1)+取得税费率）/(1+5%)×((1+年利率)^建设期-1)")</f>
        <v>（(1)+取得税费率）/(1+5%)×((1+年利率)^建设期-1)</v>
      </c>
      <c r="H30" s="55"/>
      <c r="I30" s="55"/>
      <c r="J30" s="55"/>
      <c r="K30" s="2751"/>
    </row>
    <row r="31" spans="1:33" s="549" customFormat="1" ht="13.5" customHeight="1">
      <c r="A31" s="2771" t="s">
        <v>1540</v>
      </c>
      <c r="B31" s="2752" t="s">
        <v>3397</v>
      </c>
      <c r="C31" s="2735">
        <f ca="1">ROUND(IF('数据-取费表'!B22&lt;=1,(C15+C27+C28)*F29*'数据-取费表'!B24/2,(C15+C27+C28)*(POWER((1+F29),'数据-取费表'!B24/2)-1)),0)</f>
        <v>0</v>
      </c>
      <c r="D31" s="174"/>
      <c r="E31" s="543"/>
      <c r="F31" s="2759"/>
      <c r="G31" s="168" t="str">
        <f>IF('数据-取费表'!B22&lt;=1,"（1）-（3）项×年利率×建设期÷2","（1）-（3）项×((1+年利率)^(建设期÷2)-1)")</f>
        <v>（1）-（3）项×((1+年利率)^(建设期÷2)-1)</v>
      </c>
      <c r="H31" s="55"/>
      <c r="I31" s="55"/>
      <c r="J31" s="55"/>
      <c r="K31" s="2751"/>
    </row>
    <row r="32" spans="1:33" s="541" customFormat="1" ht="13.5" customHeight="1">
      <c r="A32" s="2558">
        <v>7</v>
      </c>
      <c r="B32" s="2760" t="s">
        <v>1562</v>
      </c>
      <c r="C32" s="2757">
        <f>ROUND(C13*F32/(1+'数据-取费表'!C43),0)</f>
        <v>0</v>
      </c>
      <c r="D32" s="2749"/>
      <c r="E32" s="2761"/>
      <c r="F32" s="2758"/>
      <c r="G32" s="4718" t="s">
        <v>3387</v>
      </c>
      <c r="H32" s="4718"/>
      <c r="I32" s="4718"/>
      <c r="J32" s="4718"/>
      <c r="K32" s="4719"/>
    </row>
    <row r="33" spans="1:11" s="176" customFormat="1" ht="13.5" customHeight="1">
      <c r="A33" s="2558">
        <v>8</v>
      </c>
      <c r="B33" s="2730" t="s">
        <v>1559</v>
      </c>
      <c r="C33" s="2776" t="str">
        <f ca="1">C35&amp;"+"&amp;C34&amp;"V"</f>
        <v>176+0V</v>
      </c>
      <c r="D33" s="172"/>
      <c r="E33" s="173"/>
      <c r="F33" s="2745">
        <f ca="1">IF(C1="",'数据-取费表'!Q16,INDIRECT("'数据-取费表'!q"&amp;$K$1))</f>
        <v>0.15</v>
      </c>
      <c r="G33" s="25"/>
      <c r="H33" s="25"/>
      <c r="I33" s="25"/>
      <c r="J33" s="25"/>
      <c r="K33" s="27"/>
    </row>
    <row r="34" spans="1:11" s="177" customFormat="1" ht="13.5" customHeight="1">
      <c r="A34" s="2771" t="s">
        <v>355</v>
      </c>
      <c r="B34" s="2752" t="s">
        <v>1560</v>
      </c>
      <c r="C34" s="2739">
        <f ca="1">ROUND((1+F14)*F33*'数据-取费表'!B24/'数据-取费表'!B22,4)</f>
        <v>0</v>
      </c>
      <c r="D34" s="174"/>
      <c r="E34" s="543"/>
      <c r="F34" s="2744"/>
      <c r="G34" s="55" t="s">
        <v>1561</v>
      </c>
      <c r="H34" s="55"/>
      <c r="I34" s="55"/>
      <c r="J34" s="55"/>
      <c r="K34" s="2751"/>
    </row>
    <row r="35" spans="1:11" s="177" customFormat="1" ht="13.5" customHeight="1">
      <c r="A35" s="2771" t="s">
        <v>1540</v>
      </c>
      <c r="B35" s="2752" t="s">
        <v>3397</v>
      </c>
      <c r="C35" s="2740">
        <f ca="1">ROUND((C15+C27+C28)*F33,0)</f>
        <v>176</v>
      </c>
      <c r="D35" s="174"/>
      <c r="E35" s="543"/>
      <c r="F35" s="2744"/>
      <c r="G35" s="55"/>
      <c r="H35" s="55"/>
      <c r="I35" s="55"/>
      <c r="J35" s="55"/>
      <c r="K35" s="2751"/>
    </row>
    <row r="36" spans="1:11" s="539" customFormat="1" ht="15">
      <c r="A36" s="2558">
        <v>9</v>
      </c>
      <c r="B36" s="2748" t="s">
        <v>3386</v>
      </c>
      <c r="C36" s="2733">
        <f ca="1">ROUND((C13-C15-C27-C28-C31-C35-C32)/(1+F14+C30+C34),0)</f>
        <v>-1307</v>
      </c>
      <c r="D36" s="2749"/>
      <c r="E36" s="2749"/>
      <c r="F36" s="172"/>
      <c r="G36" s="2783" t="s">
        <v>3398</v>
      </c>
      <c r="H36" s="2749"/>
      <c r="I36" s="2749"/>
      <c r="J36" s="2749"/>
      <c r="K36" s="2750"/>
    </row>
    <row r="37" spans="1:11" s="2865" customFormat="1" ht="15.75" thickBot="1">
      <c r="A37" s="2762">
        <v>10</v>
      </c>
      <c r="B37" s="2763" t="s">
        <v>3476</v>
      </c>
      <c r="C37" s="2862">
        <f ca="1">ROUND(C36*(1+F37),0)</f>
        <v>-1425</v>
      </c>
      <c r="D37" s="2863"/>
      <c r="E37" s="2864"/>
      <c r="F37" s="2764">
        <v>0.09</v>
      </c>
      <c r="G37" s="2748" t="s">
        <v>3477</v>
      </c>
      <c r="H37" s="2749"/>
      <c r="I37" s="2749"/>
      <c r="J37" s="2749"/>
      <c r="K37" s="2750"/>
    </row>
    <row r="38" spans="1:11" ht="12.75" customHeight="1"/>
    <row r="44" spans="1:11" s="3315" customFormat="1" ht="19.5" thickBot="1">
      <c r="A44" s="3320" t="s">
        <v>3486</v>
      </c>
      <c r="B44" s="1894"/>
      <c r="C44" s="3321"/>
      <c r="D44" s="1894"/>
      <c r="E44" s="1894"/>
      <c r="F44" s="1894"/>
      <c r="G44" s="1894"/>
    </row>
    <row r="45" spans="1:11" s="3315" customFormat="1" ht="15">
      <c r="A45" s="3317" t="s">
        <v>3513</v>
      </c>
      <c r="B45" s="2746" t="s">
        <v>1542</v>
      </c>
      <c r="C45" s="2747" t="s">
        <v>1543</v>
      </c>
      <c r="D45" s="1190" t="s">
        <v>1544</v>
      </c>
      <c r="E45" s="1190" t="s">
        <v>1545</v>
      </c>
      <c r="F45" s="1190" t="s">
        <v>1546</v>
      </c>
      <c r="G45" s="2784" t="s">
        <v>3399</v>
      </c>
    </row>
    <row r="46" spans="1:11" s="3315" customFormat="1">
      <c r="A46" s="644">
        <v>1</v>
      </c>
      <c r="B46" s="2766" t="s">
        <v>3487</v>
      </c>
      <c r="C46" s="2737">
        <f>C13</f>
        <v>0</v>
      </c>
      <c r="D46" s="644"/>
      <c r="E46" s="644"/>
      <c r="F46" s="644"/>
      <c r="G46" s="644"/>
    </row>
    <row r="47" spans="1:11" s="3315" customFormat="1">
      <c r="A47" s="644">
        <v>2</v>
      </c>
      <c r="B47" s="2766" t="s">
        <v>3489</v>
      </c>
      <c r="C47" s="2737" t="str">
        <f>C14</f>
        <v>0.0305V</v>
      </c>
      <c r="D47" s="644"/>
      <c r="E47" s="644"/>
      <c r="F47" s="644"/>
      <c r="G47" s="644"/>
    </row>
    <row r="48" spans="1:11" s="3315" customFormat="1">
      <c r="A48" s="644">
        <v>3</v>
      </c>
      <c r="B48" s="2766" t="s">
        <v>3488</v>
      </c>
      <c r="C48" s="2737" t="e">
        <f ca="1">C49+C59+C60+C63</f>
        <v>#VALUE!</v>
      </c>
      <c r="D48" s="644"/>
      <c r="E48" s="644"/>
      <c r="F48" s="644"/>
      <c r="G48" s="644"/>
    </row>
    <row r="49" spans="1:7" s="3315" customFormat="1">
      <c r="A49" s="3318" t="s">
        <v>355</v>
      </c>
      <c r="B49" s="2766" t="s">
        <v>3498</v>
      </c>
      <c r="C49" s="2737">
        <f ca="1">C50+C51+C52+C53+C57+C58</f>
        <v>1148</v>
      </c>
      <c r="D49" s="644"/>
      <c r="E49" s="644"/>
      <c r="F49" s="644"/>
      <c r="G49" s="644"/>
    </row>
    <row r="50" spans="1:7" s="3315" customFormat="1">
      <c r="A50" s="3319" t="s">
        <v>3499</v>
      </c>
      <c r="B50" s="2766" t="s">
        <v>3503</v>
      </c>
      <c r="C50" s="2737">
        <f ca="1">C16</f>
        <v>0</v>
      </c>
      <c r="D50" s="644"/>
      <c r="E50" s="644"/>
      <c r="F50" s="644"/>
      <c r="G50" s="644"/>
    </row>
    <row r="51" spans="1:7" s="3315" customFormat="1">
      <c r="A51" s="3319" t="s">
        <v>3514</v>
      </c>
      <c r="B51" s="644" t="s">
        <v>3500</v>
      </c>
      <c r="C51" s="2737">
        <f t="shared" ref="C51:C53" ca="1" si="0">C17</f>
        <v>0</v>
      </c>
      <c r="D51" s="644"/>
      <c r="E51" s="644"/>
      <c r="F51" s="644"/>
      <c r="G51" s="644"/>
    </row>
    <row r="52" spans="1:7" s="3315" customFormat="1">
      <c r="A52" s="3319" t="s">
        <v>3515</v>
      </c>
      <c r="B52" s="644" t="s">
        <v>3501</v>
      </c>
      <c r="C52" s="2737">
        <f t="shared" ca="1" si="0"/>
        <v>0</v>
      </c>
      <c r="D52" s="644"/>
      <c r="E52" s="644"/>
      <c r="F52" s="644"/>
      <c r="G52" s="644"/>
    </row>
    <row r="53" spans="1:7" s="3315" customFormat="1">
      <c r="A53" s="3319" t="s">
        <v>3516</v>
      </c>
      <c r="B53" s="644" t="s">
        <v>3502</v>
      </c>
      <c r="C53" s="2737">
        <f t="shared" ca="1" si="0"/>
        <v>1148</v>
      </c>
      <c r="D53" s="644"/>
      <c r="E53" s="644"/>
      <c r="F53" s="644"/>
      <c r="G53" s="644"/>
    </row>
    <row r="54" spans="1:7" s="3315" customFormat="1">
      <c r="A54" s="3510" t="s">
        <v>3384</v>
      </c>
      <c r="B54" s="3511" t="s">
        <v>3506</v>
      </c>
      <c r="C54" s="3512">
        <f ca="1">C20</f>
        <v>1148</v>
      </c>
      <c r="D54" s="644"/>
      <c r="E54" s="644"/>
      <c r="F54" s="644"/>
      <c r="G54" s="644"/>
    </row>
    <row r="55" spans="1:7" s="3315" customFormat="1">
      <c r="A55" s="3510" t="s">
        <v>3385</v>
      </c>
      <c r="B55" s="3511" t="s">
        <v>3507</v>
      </c>
      <c r="C55" s="3512">
        <f ca="1">C23</f>
        <v>0</v>
      </c>
      <c r="D55" s="644"/>
      <c r="E55" s="644"/>
      <c r="F55" s="644"/>
      <c r="G55" s="644"/>
    </row>
    <row r="56" spans="1:7" s="3315" customFormat="1">
      <c r="A56" s="3510" t="s">
        <v>3666</v>
      </c>
      <c r="B56" s="3511" t="s">
        <v>3508</v>
      </c>
      <c r="C56" s="3512">
        <f ca="1">C24</f>
        <v>0</v>
      </c>
      <c r="D56" s="644"/>
      <c r="E56" s="644"/>
      <c r="F56" s="644"/>
      <c r="G56" s="644"/>
    </row>
    <row r="57" spans="1:7" s="3315" customFormat="1">
      <c r="A57" s="3319" t="s">
        <v>3517</v>
      </c>
      <c r="B57" s="644" t="s">
        <v>3504</v>
      </c>
      <c r="C57" s="2737">
        <f ca="1">C25</f>
        <v>0</v>
      </c>
      <c r="D57" s="644"/>
      <c r="E57" s="644"/>
      <c r="F57" s="644"/>
      <c r="G57" s="644"/>
    </row>
    <row r="58" spans="1:7" s="3315" customFormat="1">
      <c r="A58" s="3319" t="s">
        <v>3518</v>
      </c>
      <c r="B58" s="644" t="s">
        <v>3505</v>
      </c>
      <c r="C58" s="2737">
        <f ca="1">C26</f>
        <v>0</v>
      </c>
      <c r="D58" s="644"/>
      <c r="E58" s="644"/>
      <c r="F58" s="644"/>
      <c r="G58" s="644"/>
    </row>
    <row r="59" spans="1:7" s="3315" customFormat="1">
      <c r="A59" s="3318" t="s">
        <v>3497</v>
      </c>
      <c r="B59" s="2766" t="s">
        <v>3491</v>
      </c>
      <c r="C59" s="2737">
        <f ca="1">C27</f>
        <v>23</v>
      </c>
      <c r="D59" s="644"/>
      <c r="E59" s="644"/>
      <c r="F59" s="644"/>
      <c r="G59" s="644"/>
    </row>
    <row r="60" spans="1:7" s="3315" customFormat="1">
      <c r="A60" s="3318" t="s">
        <v>3509</v>
      </c>
      <c r="B60" s="2766" t="s">
        <v>3510</v>
      </c>
      <c r="C60" s="2737">
        <f ca="1">C61+C62</f>
        <v>0</v>
      </c>
      <c r="D60" s="644"/>
      <c r="E60" s="644"/>
      <c r="F60" s="644"/>
      <c r="G60" s="644"/>
    </row>
    <row r="61" spans="1:7" s="3315" customFormat="1">
      <c r="A61" s="3319" t="s">
        <v>3499</v>
      </c>
      <c r="B61" s="2766" t="s">
        <v>3494</v>
      </c>
      <c r="C61" s="2737">
        <f ca="1">C28</f>
        <v>0</v>
      </c>
      <c r="D61" s="644"/>
      <c r="E61" s="644"/>
      <c r="F61" s="644"/>
      <c r="G61" s="644"/>
    </row>
    <row r="62" spans="1:7" s="3315" customFormat="1">
      <c r="A62" s="3319" t="s">
        <v>3511</v>
      </c>
      <c r="B62" s="2766" t="s">
        <v>3493</v>
      </c>
      <c r="C62" s="2737">
        <f>C32</f>
        <v>0</v>
      </c>
      <c r="D62" s="644"/>
      <c r="E62" s="644"/>
      <c r="F62" s="644"/>
      <c r="G62" s="644"/>
    </row>
    <row r="63" spans="1:7" s="3315" customFormat="1">
      <c r="A63" s="3318" t="s">
        <v>3512</v>
      </c>
      <c r="B63" s="2766" t="s">
        <v>3492</v>
      </c>
      <c r="C63" s="2737" t="str">
        <f ca="1">C29</f>
        <v>0+0V</v>
      </c>
      <c r="D63" s="644"/>
      <c r="E63" s="644"/>
      <c r="F63" s="644"/>
      <c r="G63" s="644"/>
    </row>
    <row r="64" spans="1:7" s="3315" customFormat="1">
      <c r="A64" s="644">
        <v>4</v>
      </c>
      <c r="B64" s="2766" t="s">
        <v>3495</v>
      </c>
      <c r="C64" s="2737" t="str">
        <f ca="1">C33</f>
        <v>176+0V</v>
      </c>
      <c r="D64" s="644"/>
      <c r="E64" s="644"/>
      <c r="F64" s="644"/>
      <c r="G64" s="644"/>
    </row>
    <row r="65" spans="1:7" s="3315" customFormat="1">
      <c r="A65" s="644">
        <v>5</v>
      </c>
      <c r="B65" s="2766" t="s">
        <v>3496</v>
      </c>
      <c r="C65" s="2737">
        <f ca="1">C36</f>
        <v>-1307</v>
      </c>
      <c r="D65" s="644"/>
      <c r="E65" s="644"/>
      <c r="F65" s="644"/>
      <c r="G65" s="644"/>
    </row>
    <row r="66" spans="1:7" s="3315" customFormat="1">
      <c r="A66" s="1893"/>
      <c r="C66" s="3316"/>
      <c r="E66" s="1893"/>
    </row>
    <row r="67" spans="1:7" s="3315" customFormat="1">
      <c r="A67" s="1893"/>
      <c r="C67" s="3316"/>
      <c r="E67" s="1893"/>
    </row>
    <row r="68" spans="1:7" s="3315" customFormat="1">
      <c r="A68" s="1893"/>
      <c r="C68" s="3316"/>
      <c r="E68" s="1893"/>
    </row>
    <row r="69" spans="1:7" s="3315" customFormat="1">
      <c r="A69" s="1893"/>
      <c r="C69" s="3316"/>
      <c r="E69" s="1893"/>
    </row>
    <row r="70" spans="1:7" s="3315" customFormat="1">
      <c r="A70" s="1893"/>
      <c r="C70" s="3316"/>
      <c r="E70" s="1893"/>
    </row>
    <row r="71" spans="1:7" s="3315" customFormat="1">
      <c r="A71" s="1893"/>
      <c r="C71" s="3316"/>
      <c r="E71" s="1893"/>
    </row>
    <row r="72" spans="1:7" s="3315" customFormat="1">
      <c r="A72" s="1893"/>
      <c r="C72" s="3316"/>
      <c r="E72" s="1893"/>
    </row>
    <row r="73" spans="1:7" s="3315" customFormat="1">
      <c r="A73" s="1893"/>
      <c r="C73" s="3316"/>
      <c r="E73" s="1893"/>
    </row>
    <row r="74" spans="1:7" s="3315" customFormat="1">
      <c r="A74" s="1893"/>
      <c r="C74" s="3316"/>
      <c r="E74" s="1893"/>
    </row>
    <row r="75" spans="1:7" s="3315" customFormat="1">
      <c r="A75" s="1893"/>
      <c r="C75" s="3316"/>
      <c r="E75" s="1893"/>
    </row>
    <row r="76" spans="1:7" s="3315" customFormat="1">
      <c r="A76" s="1893"/>
      <c r="C76" s="3316"/>
      <c r="E76" s="1893"/>
    </row>
    <row r="77" spans="1:7" s="3315" customFormat="1">
      <c r="A77" s="1893"/>
      <c r="C77" s="3316"/>
      <c r="E77" s="1893"/>
    </row>
    <row r="78" spans="1:7" s="3315" customFormat="1">
      <c r="A78" s="1893"/>
      <c r="C78" s="3316"/>
      <c r="E78" s="1893"/>
    </row>
    <row r="79" spans="1:7" s="3315" customFormat="1">
      <c r="A79" s="1893"/>
      <c r="C79" s="3316"/>
      <c r="E79" s="1893"/>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69" t="s">
        <v>1993</v>
      </c>
      <c r="B1" s="4"/>
      <c r="C1" s="4"/>
      <c r="D1" s="4"/>
      <c r="E1" s="4"/>
      <c r="F1" s="2065"/>
      <c r="G1" s="2065"/>
      <c r="H1" s="2065"/>
      <c r="I1" s="2065"/>
      <c r="J1" s="2065"/>
      <c r="K1" s="2065"/>
      <c r="L1" s="2065"/>
      <c r="M1" s="2065"/>
      <c r="N1" s="2065"/>
      <c r="O1" s="2065"/>
      <c r="P1" s="2065"/>
    </row>
    <row r="2" spans="1:16" ht="15.75">
      <c r="A2" s="1602" t="s">
        <v>1985</v>
      </c>
      <c r="B2" s="3002" t="e">
        <f ca="1">SUMIF(B6:B13,"&lt;&gt;#ref!",B6:B13)</f>
        <v>#DIV/0!</v>
      </c>
      <c r="C2" s="1602" t="s">
        <v>1986</v>
      </c>
      <c r="D2" s="1602" t="s">
        <v>1987</v>
      </c>
      <c r="E2" s="3003">
        <f ca="1">SUMIF(E6:E13,"&lt;&gt;#ref!",E6:E13)</f>
        <v>0</v>
      </c>
      <c r="F2" s="2065"/>
      <c r="G2" s="2065"/>
      <c r="H2" s="2065"/>
      <c r="I2" s="2065"/>
      <c r="J2" s="2065"/>
      <c r="K2" s="2065"/>
      <c r="L2" s="2065"/>
      <c r="M2" s="2065"/>
      <c r="N2" s="2065"/>
      <c r="O2" s="2065"/>
      <c r="P2" s="2065"/>
    </row>
    <row r="3" spans="1:16" ht="15.75">
      <c r="A3" s="1602" t="s">
        <v>1988</v>
      </c>
      <c r="B3" s="3002" t="e">
        <f ca="1">ROUND(B2*10000/E2,0)</f>
        <v>#DIV/0!</v>
      </c>
      <c r="C3" s="1602" t="s">
        <v>1994</v>
      </c>
      <c r="D3" s="2065"/>
      <c r="E3" s="2065"/>
      <c r="F3" s="2065"/>
      <c r="G3" s="2065"/>
      <c r="H3" s="2065"/>
      <c r="I3" s="2065"/>
      <c r="J3" s="2065"/>
      <c r="K3" s="2065"/>
      <c r="L3" s="2065"/>
      <c r="M3" s="2065"/>
      <c r="N3" s="2065"/>
      <c r="O3" s="2065"/>
      <c r="P3" s="2065"/>
    </row>
    <row r="4" spans="1:16" ht="15.75">
      <c r="A4" s="2077"/>
      <c r="B4" s="2065"/>
      <c r="C4" s="2065"/>
      <c r="D4" s="2065"/>
      <c r="E4" s="2065"/>
      <c r="F4" s="2065"/>
      <c r="G4" s="2065"/>
      <c r="H4" s="2065"/>
      <c r="I4" s="2065"/>
      <c r="J4" s="2065"/>
      <c r="K4" s="2065"/>
      <c r="L4" s="2065"/>
      <c r="M4" s="2065"/>
      <c r="N4" s="2065"/>
      <c r="O4" s="2065"/>
      <c r="P4" s="2065"/>
    </row>
    <row r="5" spans="1:16" ht="28.5">
      <c r="A5" s="1918" t="s">
        <v>1989</v>
      </c>
      <c r="B5" s="1920" t="s">
        <v>1990</v>
      </c>
      <c r="C5" s="1603"/>
      <c r="D5" s="2065"/>
      <c r="E5" s="1921" t="s">
        <v>1991</v>
      </c>
      <c r="F5" s="2065"/>
      <c r="G5" s="2065"/>
      <c r="H5" s="2065"/>
      <c r="I5" s="2065"/>
      <c r="J5" s="2065"/>
      <c r="K5" s="2065"/>
      <c r="L5" s="2065"/>
      <c r="M5" s="2065"/>
      <c r="N5" s="2065"/>
      <c r="O5" s="2065"/>
      <c r="P5" s="2065"/>
    </row>
    <row r="6" spans="1:16" ht="15.75">
      <c r="A6" s="1919" t="s">
        <v>1992</v>
      </c>
      <c r="B6" s="3002" t="e">
        <f ca="1">SUMIF(INDIRECT("'"&amp;A6&amp;"'"&amp;"!A:A"),"总价",INDIRECT("'"&amp;A6&amp;"'"&amp;"!B:B"))</f>
        <v>#DIV/0!</v>
      </c>
      <c r="C6" s="1602" t="s">
        <v>1986</v>
      </c>
      <c r="D6" s="2065"/>
      <c r="E6" s="3003">
        <f ca="1">SUMIF(INDIRECT("'"&amp;A6&amp;"'"&amp;"!C:C"),"建筑面积",INDIRECT("'"&amp;A6&amp;"'"&amp;"!D:D"))</f>
        <v>0</v>
      </c>
      <c r="F6" s="2065"/>
      <c r="G6" s="2065"/>
      <c r="H6" s="2065"/>
      <c r="I6" s="2065"/>
      <c r="J6" s="2065"/>
      <c r="K6" s="2065"/>
      <c r="L6" s="2065"/>
      <c r="M6" s="2065"/>
      <c r="N6" s="2065"/>
      <c r="O6" s="2065"/>
      <c r="P6" s="2065"/>
    </row>
    <row r="7" spans="1:16" ht="15.75">
      <c r="A7" s="1919"/>
      <c r="B7" s="3002" t="e">
        <f ca="1">SUMIF(INDIRECT("'"&amp;A7&amp;"'"&amp;"!A:A"),"总价",INDIRECT("'"&amp;A7&amp;"'"&amp;"!B:B"))</f>
        <v>#REF!</v>
      </c>
      <c r="C7" s="1602" t="s">
        <v>1986</v>
      </c>
      <c r="D7" s="2065"/>
      <c r="E7" s="3003" t="e">
        <f t="shared" ref="E7:E13" ca="1" si="0">SUMIF(INDIRECT("'"&amp;A7&amp;"'"&amp;"!C:C"),"建筑面积",INDIRECT("'"&amp;A7&amp;"'"&amp;"!D:D"))</f>
        <v>#REF!</v>
      </c>
      <c r="F7" s="2065"/>
      <c r="G7" s="2065"/>
      <c r="H7" s="2065"/>
      <c r="I7" s="2065"/>
      <c r="J7" s="2065"/>
      <c r="K7" s="2065"/>
      <c r="L7" s="2065"/>
      <c r="M7" s="2065"/>
      <c r="N7" s="2065"/>
      <c r="O7" s="2065"/>
      <c r="P7" s="2065"/>
    </row>
    <row r="8" spans="1:16" ht="15.75">
      <c r="A8" s="1919"/>
      <c r="B8" s="3002" t="e">
        <f t="shared" ref="B8:B13" ca="1" si="1">SUMIF(INDIRECT("'"&amp;A8&amp;"'"&amp;"!A:A"),"总价",INDIRECT("'"&amp;A8&amp;"'"&amp;"!B:B"))</f>
        <v>#REF!</v>
      </c>
      <c r="C8" s="1602" t="s">
        <v>1986</v>
      </c>
      <c r="D8" s="2065"/>
      <c r="E8" s="3003" t="e">
        <f t="shared" ca="1" si="0"/>
        <v>#REF!</v>
      </c>
      <c r="F8" s="2065"/>
      <c r="G8" s="2065"/>
      <c r="H8" s="2065"/>
      <c r="I8" s="2065"/>
      <c r="J8" s="2065"/>
      <c r="K8" s="2065"/>
      <c r="L8" s="2065"/>
      <c r="M8" s="2065"/>
      <c r="N8" s="2065"/>
      <c r="O8" s="2065"/>
      <c r="P8" s="2065"/>
    </row>
    <row r="9" spans="1:16" ht="15.75">
      <c r="A9" s="1919"/>
      <c r="B9" s="3002" t="e">
        <f t="shared" ca="1" si="1"/>
        <v>#REF!</v>
      </c>
      <c r="C9" s="1602" t="s">
        <v>1986</v>
      </c>
      <c r="D9" s="2065"/>
      <c r="E9" s="3003" t="e">
        <f t="shared" ca="1" si="0"/>
        <v>#REF!</v>
      </c>
      <c r="F9" s="2065"/>
      <c r="G9" s="2065"/>
      <c r="H9" s="2065"/>
      <c r="I9" s="2065"/>
      <c r="J9" s="2065"/>
      <c r="K9" s="2065"/>
      <c r="L9" s="2065"/>
      <c r="M9" s="2065"/>
      <c r="N9" s="2065"/>
      <c r="O9" s="2065"/>
      <c r="P9" s="2065"/>
    </row>
    <row r="10" spans="1:16" ht="15.75">
      <c r="A10" s="1919"/>
      <c r="B10" s="3002" t="e">
        <f t="shared" ca="1" si="1"/>
        <v>#REF!</v>
      </c>
      <c r="C10" s="1602" t="s">
        <v>1986</v>
      </c>
      <c r="D10" s="2065"/>
      <c r="E10" s="3003" t="e">
        <f t="shared" ca="1" si="0"/>
        <v>#REF!</v>
      </c>
      <c r="F10" s="2065"/>
      <c r="G10" s="2065"/>
      <c r="H10" s="2065"/>
      <c r="I10" s="2065"/>
      <c r="J10" s="2065"/>
      <c r="K10" s="2065"/>
      <c r="L10" s="2065"/>
      <c r="M10" s="2065"/>
      <c r="N10" s="2065"/>
      <c r="O10" s="2065"/>
      <c r="P10" s="2065"/>
    </row>
    <row r="11" spans="1:16" ht="15.75">
      <c r="A11" s="1919"/>
      <c r="B11" s="3002" t="e">
        <f t="shared" ca="1" si="1"/>
        <v>#REF!</v>
      </c>
      <c r="C11" s="1602" t="s">
        <v>1986</v>
      </c>
      <c r="D11" s="2065"/>
      <c r="E11" s="3003" t="e">
        <f t="shared" ca="1" si="0"/>
        <v>#REF!</v>
      </c>
      <c r="F11" s="2065"/>
      <c r="G11" s="2065"/>
      <c r="H11" s="2065"/>
      <c r="I11" s="2065"/>
      <c r="J11" s="2065"/>
      <c r="K11" s="2065"/>
      <c r="L11" s="2065"/>
      <c r="M11" s="2065"/>
      <c r="N11" s="2065"/>
      <c r="O11" s="2065"/>
      <c r="P11" s="2065"/>
    </row>
    <row r="12" spans="1:16" ht="15.75">
      <c r="A12" s="1919"/>
      <c r="B12" s="3002" t="e">
        <f t="shared" ca="1" si="1"/>
        <v>#REF!</v>
      </c>
      <c r="C12" s="1602" t="s">
        <v>1986</v>
      </c>
      <c r="D12" s="2065"/>
      <c r="E12" s="3003" t="e">
        <f t="shared" ca="1" si="0"/>
        <v>#REF!</v>
      </c>
      <c r="F12" s="2065"/>
      <c r="G12" s="2065"/>
      <c r="H12" s="2065"/>
      <c r="I12" s="2065"/>
      <c r="J12" s="2065"/>
      <c r="K12" s="2065"/>
      <c r="L12" s="2065"/>
      <c r="M12" s="2065"/>
      <c r="N12" s="2065"/>
      <c r="O12" s="2065"/>
      <c r="P12" s="2065"/>
    </row>
    <row r="13" spans="1:16" ht="15.75">
      <c r="A13" s="1919"/>
      <c r="B13" s="3002" t="e">
        <f t="shared" ca="1" si="1"/>
        <v>#REF!</v>
      </c>
      <c r="C13" s="1602" t="s">
        <v>1986</v>
      </c>
      <c r="D13" s="2065"/>
      <c r="E13" s="3003" t="e">
        <f t="shared" ca="1" si="0"/>
        <v>#REF!</v>
      </c>
      <c r="F13" s="2065"/>
      <c r="G13" s="2065"/>
      <c r="H13" s="2065"/>
      <c r="I13" s="2065"/>
      <c r="J13" s="2065"/>
      <c r="K13" s="2065"/>
      <c r="L13" s="2065"/>
      <c r="M13" s="2065"/>
      <c r="N13" s="2065"/>
      <c r="O13" s="2065"/>
      <c r="P13" s="2065"/>
    </row>
    <row r="14" spans="1:16">
      <c r="A14" s="2065"/>
      <c r="B14" s="2065"/>
      <c r="C14" s="2065"/>
      <c r="D14" s="2065"/>
      <c r="E14" s="2065"/>
      <c r="F14" s="2065"/>
      <c r="G14" s="2065"/>
      <c r="H14" s="2065"/>
      <c r="I14" s="2065"/>
      <c r="J14" s="2065"/>
      <c r="K14" s="2065"/>
      <c r="L14" s="2065"/>
      <c r="M14" s="2065"/>
      <c r="N14" s="2065"/>
      <c r="O14" s="2065"/>
      <c r="P14" s="2065"/>
    </row>
    <row r="15" spans="1:16">
      <c r="A15" s="2065"/>
      <c r="B15" s="2065"/>
      <c r="C15" s="2065"/>
      <c r="D15" s="2065"/>
      <c r="E15" s="2065"/>
      <c r="F15" s="2065"/>
      <c r="G15" s="2065"/>
      <c r="H15" s="2065"/>
      <c r="I15" s="2065"/>
      <c r="J15" s="2065"/>
      <c r="K15" s="2065"/>
      <c r="L15" s="2065"/>
      <c r="M15" s="2065"/>
      <c r="N15" s="2065"/>
      <c r="O15" s="2065"/>
      <c r="P15" s="2065"/>
    </row>
    <row r="16" spans="1:16">
      <c r="A16" s="2065"/>
      <c r="B16" s="2065"/>
      <c r="C16" s="2065"/>
      <c r="D16" s="2065"/>
      <c r="E16" s="2065"/>
      <c r="F16" s="2065"/>
      <c r="G16" s="2065"/>
      <c r="H16" s="2065"/>
      <c r="I16" s="2065"/>
      <c r="J16" s="2065"/>
      <c r="K16" s="2065"/>
      <c r="L16" s="2065"/>
      <c r="M16" s="2065"/>
      <c r="N16" s="2065"/>
      <c r="O16" s="2065"/>
      <c r="P16" s="2065"/>
    </row>
    <row r="17" spans="1:16">
      <c r="A17" s="2065"/>
      <c r="B17" s="2065"/>
      <c r="C17" s="2065"/>
      <c r="D17" s="2065"/>
      <c r="E17" s="2065"/>
      <c r="F17" s="2065"/>
      <c r="G17" s="2065"/>
      <c r="H17" s="2065"/>
      <c r="I17" s="2065"/>
      <c r="J17" s="2065"/>
      <c r="K17" s="2065"/>
      <c r="L17" s="2065"/>
      <c r="M17" s="2065"/>
      <c r="N17" s="2065"/>
      <c r="O17" s="2065"/>
      <c r="P17" s="2065"/>
    </row>
    <row r="18" spans="1:16">
      <c r="A18" s="2065"/>
      <c r="B18" s="2065"/>
      <c r="C18" s="2065"/>
      <c r="D18" s="2065"/>
      <c r="E18" s="2065"/>
      <c r="F18" s="2065"/>
      <c r="G18" s="2065"/>
      <c r="H18" s="2065"/>
      <c r="I18" s="2065"/>
      <c r="J18" s="2065"/>
      <c r="K18" s="2065"/>
      <c r="L18" s="2065"/>
      <c r="M18" s="2065"/>
      <c r="N18" s="2065"/>
      <c r="O18" s="2065"/>
      <c r="P18" s="2065"/>
    </row>
    <row r="19" spans="1:16">
      <c r="A19" s="2065"/>
      <c r="B19" s="2065"/>
      <c r="C19" s="2065"/>
      <c r="D19" s="2065"/>
      <c r="E19" s="2065"/>
      <c r="F19" s="2065"/>
      <c r="G19" s="2065"/>
      <c r="H19" s="2065"/>
      <c r="I19" s="2065"/>
      <c r="J19" s="2065"/>
      <c r="K19" s="2065"/>
      <c r="L19" s="2065"/>
      <c r="M19" s="2065"/>
      <c r="N19" s="2065"/>
      <c r="O19" s="2065"/>
      <c r="P19" s="2065"/>
    </row>
    <row r="20" spans="1:16">
      <c r="A20" s="2065"/>
      <c r="B20" s="2065"/>
      <c r="C20" s="2065"/>
      <c r="D20" s="2065"/>
      <c r="E20" s="2065"/>
      <c r="F20" s="2065"/>
      <c r="G20" s="2065"/>
      <c r="H20" s="2065"/>
      <c r="I20" s="2065"/>
      <c r="J20" s="2065"/>
      <c r="K20" s="2065"/>
      <c r="L20" s="2065"/>
      <c r="M20" s="2065"/>
      <c r="N20" s="2065"/>
      <c r="O20" s="2065"/>
      <c r="P20" s="2065"/>
    </row>
    <row r="21" spans="1:16">
      <c r="A21" s="2065"/>
      <c r="B21" s="2065"/>
      <c r="C21" s="2065"/>
      <c r="D21" s="2065"/>
      <c r="E21" s="2065"/>
      <c r="F21" s="2065"/>
      <c r="G21" s="2065"/>
      <c r="H21" s="2065"/>
      <c r="I21" s="2065"/>
      <c r="J21" s="2065"/>
      <c r="K21" s="2065"/>
      <c r="L21" s="2065"/>
      <c r="M21" s="2065"/>
      <c r="N21" s="2065"/>
      <c r="O21" s="2065"/>
      <c r="P21" s="2065"/>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C33" sqref="C33"/>
    </sheetView>
  </sheetViews>
  <sheetFormatPr defaultColWidth="12" defaultRowHeight="12.75"/>
  <cols>
    <col min="1" max="1" width="9.75" style="1516" customWidth="1"/>
    <col min="2" max="2" width="22.5" style="1601" customWidth="1"/>
    <col min="3" max="3" width="12" style="1466"/>
    <col min="4" max="4" width="14.875" style="1466" customWidth="1"/>
    <col min="5" max="5" width="14.625" style="1466" customWidth="1"/>
    <col min="6" max="8" width="12" style="1466"/>
    <col min="9" max="9" width="12.25" style="1466" bestFit="1" customWidth="1"/>
    <col min="10" max="10" width="12" style="1466"/>
    <col min="11" max="11" width="8.125" style="1512" customWidth="1"/>
    <col min="12" max="12" width="19.5" style="1466" customWidth="1"/>
    <col min="13" max="13" width="8.5" style="1466" customWidth="1"/>
    <col min="14" max="14" width="9.75" style="1466" customWidth="1"/>
    <col min="15" max="25" width="12" style="1466"/>
    <col min="26" max="26" width="9.375" style="1516" customWidth="1"/>
    <col min="27" max="32" width="9.375" style="774" customWidth="1"/>
    <col min="33" max="36" width="9.375" style="1516" customWidth="1"/>
    <col min="37" max="38" width="9.375" style="1466" customWidth="1"/>
    <col min="39" max="16384" width="12" style="1466"/>
  </cols>
  <sheetData>
    <row r="1" spans="1:36" ht="28.5">
      <c r="A1" s="91" t="s">
        <v>1838</v>
      </c>
      <c r="B1" s="92"/>
      <c r="C1" s="96" t="s">
        <v>1839</v>
      </c>
      <c r="D1" s="224">
        <f>SUM(D33:D34,D37:D42)</f>
        <v>0</v>
      </c>
      <c r="E1" s="1463"/>
      <c r="F1" s="1463"/>
      <c r="G1" s="1463"/>
      <c r="H1" s="1463"/>
      <c r="I1" s="1463"/>
      <c r="J1" s="1463"/>
      <c r="K1" s="772"/>
      <c r="L1" s="1464" t="s">
        <v>1840</v>
      </c>
      <c r="M1" s="569">
        <f>SUMPRODUCT((区片价!B5:B9=I2)*(区片价!C3:G3=E2)*(区片价!C5:G9))</f>
        <v>0</v>
      </c>
      <c r="N1" s="572">
        <f>SUMPRODUCT((因素修正幅度!B5:B9=I2)*(因素修正幅度!C3:G3=E2)*(因素修正幅度!C5:G9))</f>
        <v>0</v>
      </c>
      <c r="O1" s="1465"/>
      <c r="P1" s="1465"/>
      <c r="Q1" s="772"/>
      <c r="R1" s="825" t="s">
        <v>1841</v>
      </c>
      <c r="S1" s="825" t="s">
        <v>1842</v>
      </c>
      <c r="T1" s="825" t="s">
        <v>1843</v>
      </c>
      <c r="U1" s="825" t="s">
        <v>1844</v>
      </c>
      <c r="V1" s="825" t="s">
        <v>1845</v>
      </c>
      <c r="W1" s="829"/>
      <c r="X1" s="829"/>
      <c r="Y1" s="829"/>
      <c r="Z1" s="829"/>
      <c r="AA1" s="829"/>
      <c r="AB1" s="829"/>
      <c r="AC1" s="830"/>
      <c r="AD1" s="831"/>
      <c r="AE1" s="831"/>
      <c r="AF1" s="831"/>
      <c r="AG1" s="831"/>
      <c r="AH1" s="831"/>
      <c r="AI1" s="831"/>
      <c r="AJ1" s="832"/>
    </row>
    <row r="2" spans="1:36" ht="15.75">
      <c r="A2" s="96" t="s">
        <v>1846</v>
      </c>
      <c r="B2" s="2589" t="e">
        <f>C30</f>
        <v>#DIV/0!</v>
      </c>
      <c r="C2" s="1467" t="s">
        <v>1847</v>
      </c>
      <c r="D2" s="68" t="s">
        <v>1848</v>
      </c>
      <c r="E2" s="2533"/>
      <c r="F2" s="68" t="s">
        <v>1849</v>
      </c>
      <c r="G2" s="69">
        <f>IF(E2="商业",项目基本情况!B37,IF(E2="办公",项目基本情况!C37,IF(E2="住宅",项目基本情况!D37,IF(E2="工业",项目基本情况!E37,项目基本情况!F37))))</f>
        <v>0</v>
      </c>
      <c r="H2" s="68" t="s">
        <v>1850</v>
      </c>
      <c r="I2" s="69">
        <f>IF(E2="商业",项目基本情况!B38,IF(E2="办公",项目基本情况!C38,IF(E2="住宅",项目基本情况!D38,IF(E2="工业",项目基本情况!E38,项目基本情况!F38))))</f>
        <v>0</v>
      </c>
      <c r="J2" s="1463"/>
      <c r="K2" s="772"/>
      <c r="L2" s="1468" t="s">
        <v>1851</v>
      </c>
      <c r="M2" s="570">
        <f>SUMPRODUCT((区片价!B10:B29=I2)*(区片价!C3:G3=E2)*(区片价!C10:G29))</f>
        <v>0</v>
      </c>
      <c r="N2" s="572">
        <f>SUMPRODUCT((因素修正幅度!B10:B29=I2)*(因素修正幅度!C3:G3=E2)*(因素修正幅度!C10:G29))</f>
        <v>0</v>
      </c>
      <c r="O2" s="772"/>
      <c r="P2" s="772"/>
      <c r="Q2" s="772"/>
      <c r="R2" s="825">
        <v>1</v>
      </c>
      <c r="S2" s="2476">
        <f>ROUND(SUMPRODUCT((B106:B110=R2)*(C105:N105=G2)*(C106:N110)),4)</f>
        <v>0</v>
      </c>
      <c r="T2" s="2476" t="e">
        <f t="shared" ref="T2:T16" si="0">ROUND($C$5*$C$22*$C$23*$C$24*S2*$C$28,0)</f>
        <v>#DIV/0!</v>
      </c>
      <c r="U2" s="826"/>
      <c r="V2" s="2476" t="e">
        <f>ROUND(T2*U2/10000,0)</f>
        <v>#DIV/0!</v>
      </c>
      <c r="W2" s="829"/>
      <c r="X2" s="829"/>
      <c r="Y2" s="829"/>
      <c r="Z2" s="829"/>
      <c r="AA2" s="829"/>
      <c r="AB2" s="829"/>
      <c r="AC2" s="830"/>
      <c r="AD2" s="831"/>
      <c r="AE2" s="831"/>
      <c r="AF2" s="831"/>
      <c r="AG2" s="831"/>
      <c r="AH2" s="831"/>
      <c r="AI2" s="831"/>
      <c r="AJ2" s="832"/>
    </row>
    <row r="3" spans="1:36" ht="15.75">
      <c r="A3" s="98" t="s">
        <v>1852</v>
      </c>
      <c r="B3" s="2589" t="e">
        <f>ROUND(B2*10000/D1,0)</f>
        <v>#DIV/0!</v>
      </c>
      <c r="C3" s="1467" t="s">
        <v>1853</v>
      </c>
      <c r="D3" s="68" t="s">
        <v>1854</v>
      </c>
      <c r="E3" s="2531"/>
      <c r="F3" s="1469"/>
      <c r="G3" s="3004">
        <f>IF(F3="宗地容积率",'数据-汇总表'!I4,IF(F3="估价对象容积率",'数据-汇总表'!I6,'数据-汇总表'!I7))</f>
        <v>0</v>
      </c>
      <c r="H3" s="68" t="s">
        <v>1855</v>
      </c>
      <c r="I3" s="526"/>
      <c r="J3" s="1463" t="s">
        <v>1856</v>
      </c>
      <c r="K3" s="772"/>
      <c r="L3" s="1468" t="s">
        <v>1857</v>
      </c>
      <c r="M3" s="570">
        <f>SUMPRODUCT((区片价!B30:B54=I2)*(区片价!C3:G3=E2)*(区片价!C30:G54))</f>
        <v>0</v>
      </c>
      <c r="N3" s="572">
        <f>SUMPRODUCT((因素修正幅度!B30:B54=I2)*(因素修正幅度!C3:G3=E2)*(因素修正幅度!C30:G54))</f>
        <v>0</v>
      </c>
      <c r="O3" s="772"/>
      <c r="P3" s="772"/>
      <c r="Q3" s="772"/>
      <c r="R3" s="825">
        <v>2</v>
      </c>
      <c r="S3" s="2476">
        <f>ROUND(SUMPRODUCT((B106:B110=R3)*(C105:N105=G2)*(C106:N110)),4)</f>
        <v>0</v>
      </c>
      <c r="T3" s="2476" t="e">
        <f t="shared" si="0"/>
        <v>#DIV/0!</v>
      </c>
      <c r="U3" s="826"/>
      <c r="V3" s="2476" t="e">
        <f t="shared" ref="V3:V16" si="1">ROUND(T3*U3/10000,0)</f>
        <v>#DIV/0!</v>
      </c>
      <c r="W3" s="829"/>
      <c r="X3" s="829"/>
      <c r="Y3" s="829"/>
      <c r="Z3" s="829"/>
      <c r="AA3" s="829"/>
      <c r="AB3" s="829"/>
      <c r="AC3" s="830"/>
      <c r="AD3" s="831"/>
      <c r="AE3" s="831"/>
      <c r="AF3" s="831"/>
      <c r="AG3" s="831"/>
      <c r="AH3" s="831"/>
      <c r="AI3" s="831"/>
      <c r="AJ3" s="832"/>
    </row>
    <row r="4" spans="1:36" ht="15.75">
      <c r="A4" s="3500" t="s">
        <v>3637</v>
      </c>
      <c r="B4" s="3499" t="e">
        <f>ROUND(B2*10000/F1,0)</f>
        <v>#DIV/0!</v>
      </c>
      <c r="C4" s="3498" t="s">
        <v>3638</v>
      </c>
      <c r="D4" s="3499" t="e">
        <f>ROUND(B2/(F1/666.67),0)</f>
        <v>#DIV/0!</v>
      </c>
      <c r="E4" s="3498" t="s">
        <v>3639</v>
      </c>
      <c r="F4" s="3496"/>
      <c r="G4" s="3496"/>
      <c r="H4" s="3496"/>
      <c r="I4" s="3496"/>
      <c r="J4" s="3497"/>
      <c r="K4" s="772"/>
      <c r="L4" s="1468" t="s">
        <v>1858</v>
      </c>
      <c r="M4" s="570">
        <f>SUMPRODUCT((区片价!B55:B86=I2)*(区片价!C3:G3=E2)*(区片价!C55:G86))</f>
        <v>0</v>
      </c>
      <c r="N4" s="572">
        <f>SUMPRODUCT((因素修正幅度!B55:B86=I2)*(因素修正幅度!C3:G3=E2)*(因素修正幅度!C55:G86))</f>
        <v>0</v>
      </c>
      <c r="O4" s="772"/>
      <c r="P4" s="772"/>
      <c r="Q4" s="772"/>
      <c r="R4" s="825">
        <v>3</v>
      </c>
      <c r="S4" s="2476">
        <f>ROUND(SUMPRODUCT((B106:B110=R4)*(C105:N105=G2)*(C106:N110)),4)</f>
        <v>0</v>
      </c>
      <c r="T4" s="2476" t="e">
        <f t="shared" si="0"/>
        <v>#DIV/0!</v>
      </c>
      <c r="U4" s="826"/>
      <c r="V4" s="2476" t="e">
        <f t="shared" si="1"/>
        <v>#DIV/0!</v>
      </c>
      <c r="W4" s="829"/>
      <c r="X4" s="829"/>
      <c r="Y4" s="829"/>
      <c r="Z4" s="829"/>
      <c r="AA4" s="829"/>
      <c r="AB4" s="829"/>
      <c r="AC4" s="830"/>
      <c r="AD4" s="831"/>
      <c r="AE4" s="831"/>
      <c r="AF4" s="831"/>
      <c r="AG4" s="831"/>
      <c r="AH4" s="831"/>
      <c r="AI4" s="831"/>
      <c r="AJ4" s="832"/>
    </row>
    <row r="5" spans="1:36" s="1479" customFormat="1" ht="15.75" thickBot="1">
      <c r="A5" s="1470" t="s">
        <v>356</v>
      </c>
      <c r="B5" s="1471" t="s">
        <v>1859</v>
      </c>
      <c r="C5" s="3005" t="e">
        <f>ROUND(IF(E2="商业",C6*C7*C17+C20,(IF(E2="住宅",C6*C13*C17+C20,IF(E2="办公",C6*C12*C17+C20,C6+C20)))),0)</f>
        <v>#DIV/0!</v>
      </c>
      <c r="D5" s="3006" t="e">
        <f>ROUND(C6*C17+C20,0)</f>
        <v>#DIV/0!</v>
      </c>
      <c r="E5" s="921"/>
      <c r="F5" s="1472"/>
      <c r="G5" s="1473"/>
      <c r="H5" s="1473"/>
      <c r="I5" s="1473"/>
      <c r="J5" s="1474"/>
      <c r="K5" s="1475"/>
      <c r="L5" s="1468" t="s">
        <v>1860</v>
      </c>
      <c r="M5" s="570">
        <f>SUMPRODUCT((区片价!B87:B126=I2)*(区片价!C3:G3=E2)*(区片价!C87:G126))</f>
        <v>0</v>
      </c>
      <c r="N5" s="572">
        <f>SUMPRODUCT((因素修正幅度!B87:B126=I2)*(因素修正幅度!C3:G3=E2)*(因素修正幅度!C87:G126))</f>
        <v>0</v>
      </c>
      <c r="O5" s="772"/>
      <c r="P5" s="772"/>
      <c r="Q5" s="772"/>
      <c r="R5" s="825">
        <v>4</v>
      </c>
      <c r="S5" s="2476">
        <f>ROUND(SUMPRODUCT((B106:B110=R5)*(C105:N105=G2)*(C106:N110)),4)</f>
        <v>0</v>
      </c>
      <c r="T5" s="2476" t="e">
        <f t="shared" si="0"/>
        <v>#DIV/0!</v>
      </c>
      <c r="U5" s="826"/>
      <c r="V5" s="2476" t="e">
        <f t="shared" si="1"/>
        <v>#DIV/0!</v>
      </c>
      <c r="W5" s="829"/>
      <c r="X5" s="829"/>
      <c r="Y5" s="829"/>
      <c r="Z5" s="829"/>
      <c r="AA5" s="829"/>
      <c r="AB5" s="829"/>
      <c r="AC5" s="1476"/>
      <c r="AD5" s="1477"/>
      <c r="AE5" s="1477"/>
      <c r="AF5" s="1477"/>
      <c r="AG5" s="1477"/>
      <c r="AH5" s="1477"/>
      <c r="AI5" s="1477"/>
      <c r="AJ5" s="1478"/>
    </row>
    <row r="6" spans="1:36" ht="15.75" thickBot="1">
      <c r="A6" s="1480" t="s">
        <v>1861</v>
      </c>
      <c r="B6" s="1481" t="s">
        <v>1862</v>
      </c>
      <c r="C6" s="3007">
        <f>SUMIF(L1:L12,G2,M1:M12)</f>
        <v>0</v>
      </c>
      <c r="D6" s="1482"/>
      <c r="E6" s="1483"/>
      <c r="F6" s="1483"/>
      <c r="G6" s="1484"/>
      <c r="H6" s="1484"/>
      <c r="I6" s="1484"/>
      <c r="J6" s="1485"/>
      <c r="K6" s="961"/>
      <c r="L6" s="1468" t="s">
        <v>1863</v>
      </c>
      <c r="M6" s="570">
        <f>SUMPRODUCT((区片价!B127:B189=I2)*(区片价!C3:G3=E2)*(区片价!C127:G189))</f>
        <v>0</v>
      </c>
      <c r="N6" s="572">
        <f>SUMPRODUCT((因素修正幅度!B127:B189=I2)*(因素修正幅度!C3:G3=E2)*(因素修正幅度!C127:G189))</f>
        <v>0</v>
      </c>
      <c r="O6" s="772"/>
      <c r="P6" s="772"/>
      <c r="Q6" s="772"/>
      <c r="R6" s="825">
        <v>5</v>
      </c>
      <c r="S6" s="2476">
        <f>ROUND(SUMPRODUCT((B106:B110=R6)*(C105:N105=G2)*(C106:N110)),4)</f>
        <v>0</v>
      </c>
      <c r="T6" s="2476" t="e">
        <f t="shared" si="0"/>
        <v>#DIV/0!</v>
      </c>
      <c r="U6" s="826"/>
      <c r="V6" s="2476" t="e">
        <f t="shared" si="1"/>
        <v>#DIV/0!</v>
      </c>
      <c r="W6" s="829"/>
      <c r="X6" s="829"/>
      <c r="Y6" s="829"/>
      <c r="Z6" s="829"/>
      <c r="AA6" s="829"/>
      <c r="AB6" s="829"/>
      <c r="AC6" s="1476"/>
      <c r="AD6" s="1477"/>
      <c r="AE6" s="1477"/>
      <c r="AF6" s="1477"/>
      <c r="AG6" s="1477"/>
      <c r="AH6" s="1477"/>
      <c r="AI6" s="1477"/>
      <c r="AJ6" s="1478"/>
    </row>
    <row r="7" spans="1:36" ht="24.75" thickBot="1">
      <c r="A7" s="2431" t="s">
        <v>3122</v>
      </c>
      <c r="B7" s="1486" t="s">
        <v>1864</v>
      </c>
      <c r="C7" s="3009" t="e">
        <f>IF(C8="不临65条商业街",1,ROUND(1+(1.6*E8+1.2*E9+0.8*E10+0.4*E11)*C9,4))</f>
        <v>#DIV/0!</v>
      </c>
      <c r="D7" s="1487" t="s">
        <v>1865</v>
      </c>
      <c r="E7" s="527"/>
      <c r="F7" s="1488"/>
      <c r="G7" s="1489"/>
      <c r="H7" s="1489"/>
      <c r="I7" s="1489"/>
      <c r="J7" s="1490"/>
      <c r="K7" s="961"/>
      <c r="L7" s="1468" t="s">
        <v>1866</v>
      </c>
      <c r="M7" s="570">
        <f>SUMPRODUCT((区片价!B190:B233=I2)*(区片价!C3:G3=E2)*(区片价!C190:G233))</f>
        <v>0</v>
      </c>
      <c r="N7" s="572">
        <f>SUMPRODUCT((因素修正幅度!B190:B233=I2)*(因素修正幅度!C3:G3=E2)*(因素修正幅度!C190:G233))</f>
        <v>0</v>
      </c>
      <c r="O7" s="772"/>
      <c r="P7" s="772"/>
      <c r="Q7" s="772"/>
      <c r="R7" s="825">
        <v>6</v>
      </c>
      <c r="S7" s="2530"/>
      <c r="T7" s="2476" t="e">
        <f t="shared" si="0"/>
        <v>#DIV/0!</v>
      </c>
      <c r="U7" s="826"/>
      <c r="V7" s="2476" t="e">
        <f t="shared" si="1"/>
        <v>#DIV/0!</v>
      </c>
      <c r="W7" s="936" t="s">
        <v>1867</v>
      </c>
      <c r="X7" s="827">
        <f>G2</f>
        <v>0</v>
      </c>
      <c r="Y7" s="827" t="s">
        <v>1868</v>
      </c>
      <c r="Z7" s="828">
        <f>G3</f>
        <v>0</v>
      </c>
      <c r="AA7" s="829"/>
      <c r="AB7" s="829"/>
      <c r="AC7" s="830"/>
      <c r="AD7" s="831"/>
      <c r="AE7" s="831"/>
      <c r="AF7" s="831"/>
      <c r="AG7" s="831"/>
      <c r="AH7" s="831"/>
      <c r="AI7" s="831"/>
      <c r="AJ7" s="832"/>
    </row>
    <row r="8" spans="1:36" ht="15">
      <c r="A8" s="2428"/>
      <c r="B8" s="68" t="s">
        <v>1869</v>
      </c>
      <c r="C8" s="1491"/>
      <c r="D8" s="513" t="s">
        <v>110</v>
      </c>
      <c r="E8" s="514" t="e">
        <f>ROUND(C11/E7,4)</f>
        <v>#DIV/0!</v>
      </c>
      <c r="F8" s="1492" t="s">
        <v>1870</v>
      </c>
      <c r="G8" s="1493"/>
      <c r="H8" s="1493"/>
      <c r="I8" s="1493"/>
      <c r="J8" s="1494"/>
      <c r="K8" s="772"/>
      <c r="L8" s="1468" t="s">
        <v>1871</v>
      </c>
      <c r="M8" s="570">
        <f>SUMPRODUCT((区片价!B234:B276=I2)*(区片价!C3:G3=E2)*(区片价!C234:G276))</f>
        <v>0</v>
      </c>
      <c r="N8" s="572">
        <f>SUMPRODUCT((因素修正幅度!B234:B276=I2)*(因素修正幅度!C3:G3=E2)*(因素修正幅度!C234:G276))</f>
        <v>0</v>
      </c>
      <c r="O8" s="772"/>
      <c r="P8" s="772"/>
      <c r="Q8" s="772"/>
      <c r="R8" s="825">
        <v>7</v>
      </c>
      <c r="S8" s="826"/>
      <c r="T8" s="2476" t="e">
        <f t="shared" si="0"/>
        <v>#DIV/0!</v>
      </c>
      <c r="U8" s="826"/>
      <c r="V8" s="2476" t="e">
        <f t="shared" si="1"/>
        <v>#DIV/0!</v>
      </c>
      <c r="W8" s="4727" t="s">
        <v>1872</v>
      </c>
      <c r="X8" s="4728"/>
      <c r="Y8" s="833" t="s">
        <v>1873</v>
      </c>
      <c r="Z8" s="833" t="s">
        <v>1874</v>
      </c>
      <c r="AA8" s="833" t="s">
        <v>1875</v>
      </c>
      <c r="AB8" s="833" t="s">
        <v>1876</v>
      </c>
      <c r="AC8" s="833" t="s">
        <v>1877</v>
      </c>
      <c r="AD8" s="833" t="s">
        <v>1878</v>
      </c>
      <c r="AE8" s="833" t="s">
        <v>1879</v>
      </c>
      <c r="AF8" s="833" t="s">
        <v>1880</v>
      </c>
      <c r="AG8" s="833" t="s">
        <v>1881</v>
      </c>
      <c r="AH8" s="833" t="s">
        <v>1882</v>
      </c>
      <c r="AI8" s="833" t="s">
        <v>1883</v>
      </c>
      <c r="AJ8" s="833" t="s">
        <v>1884</v>
      </c>
    </row>
    <row r="9" spans="1:36" ht="15">
      <c r="A9" s="2428"/>
      <c r="B9" s="68" t="s">
        <v>1885</v>
      </c>
      <c r="C9" s="515">
        <f>SUMIF(修正!C73:C140,C8,修正!E73:E140)</f>
        <v>0</v>
      </c>
      <c r="D9" s="69" t="s">
        <v>111</v>
      </c>
      <c r="E9" s="69" t="e">
        <f>ROUND(C11/E7,4)</f>
        <v>#DIV/0!</v>
      </c>
      <c r="F9" s="1492" t="s">
        <v>1886</v>
      </c>
      <c r="G9" s="1493"/>
      <c r="H9" s="1493"/>
      <c r="I9" s="1493"/>
      <c r="J9" s="1494"/>
      <c r="K9" s="772"/>
      <c r="L9" s="1468" t="s">
        <v>1887</v>
      </c>
      <c r="M9" s="570">
        <f>SUMPRODUCT((区片价!B277:B326=I2)*(区片价!C3:G3=E2)*(区片价!C277:G326))</f>
        <v>0</v>
      </c>
      <c r="N9" s="572">
        <f>SUMPRODUCT((因素修正幅度!B277:B326=I2)*(因素修正幅度!C3:G3=E2)*(因素修正幅度!C277:G326))</f>
        <v>0</v>
      </c>
      <c r="O9" s="772"/>
      <c r="P9" s="772"/>
      <c r="Q9" s="772"/>
      <c r="R9" s="825">
        <v>8</v>
      </c>
      <c r="S9" s="826"/>
      <c r="T9" s="2476" t="e">
        <f t="shared" si="0"/>
        <v>#DIV/0!</v>
      </c>
      <c r="U9" s="826"/>
      <c r="V9" s="2476" t="e">
        <f t="shared" si="1"/>
        <v>#DIV/0!</v>
      </c>
      <c r="W9" s="4729"/>
      <c r="X9" s="2477" t="s">
        <v>3151</v>
      </c>
      <c r="Y9" s="2478">
        <v>6</v>
      </c>
      <c r="Z9" s="2479">
        <f>$Y$9</f>
        <v>6</v>
      </c>
      <c r="AA9" s="2479">
        <f t="shared" ref="AA9:AJ9" si="2">$Y$9</f>
        <v>6</v>
      </c>
      <c r="AB9" s="2479">
        <f t="shared" si="2"/>
        <v>6</v>
      </c>
      <c r="AC9" s="2479">
        <f t="shared" si="2"/>
        <v>6</v>
      </c>
      <c r="AD9" s="2479">
        <f t="shared" si="2"/>
        <v>6</v>
      </c>
      <c r="AE9" s="2479">
        <f t="shared" si="2"/>
        <v>6</v>
      </c>
      <c r="AF9" s="2479">
        <f t="shared" si="2"/>
        <v>6</v>
      </c>
      <c r="AG9" s="2479">
        <f t="shared" si="2"/>
        <v>6</v>
      </c>
      <c r="AH9" s="2479">
        <f t="shared" si="2"/>
        <v>6</v>
      </c>
      <c r="AI9" s="2479">
        <f t="shared" si="2"/>
        <v>6</v>
      </c>
      <c r="AJ9" s="2479">
        <f t="shared" si="2"/>
        <v>6</v>
      </c>
    </row>
    <row r="10" spans="1:36" ht="15">
      <c r="A10" s="2428"/>
      <c r="B10" s="68" t="s">
        <v>1888</v>
      </c>
      <c r="C10" s="2991">
        <f>SUMIF(修正!C73:C140,C8,修正!F73:F140)</f>
        <v>0</v>
      </c>
      <c r="D10" s="69" t="s">
        <v>112</v>
      </c>
      <c r="E10" s="69" t="e">
        <f>ROUND(C11/E7,4)</f>
        <v>#DIV/0!</v>
      </c>
      <c r="F10" s="1492" t="s">
        <v>1889</v>
      </c>
      <c r="G10" s="1493"/>
      <c r="H10" s="1493"/>
      <c r="I10" s="1493"/>
      <c r="J10" s="1494"/>
      <c r="K10" s="772"/>
      <c r="L10" s="1468" t="s">
        <v>1890</v>
      </c>
      <c r="M10" s="570">
        <f>SUMPRODUCT((区片价!B327:B357=I2)*(区片价!C3:G3=E2)*(区片价!C327:G357))</f>
        <v>0</v>
      </c>
      <c r="N10" s="572">
        <f>SUMPRODUCT((因素修正幅度!B327:B357=I2)*(因素修正幅度!C3:G3=E2)*(因素修正幅度!C327:G357))</f>
        <v>0</v>
      </c>
      <c r="O10" s="772"/>
      <c r="P10" s="772"/>
      <c r="Q10" s="772"/>
      <c r="R10" s="825">
        <v>9</v>
      </c>
      <c r="S10" s="826"/>
      <c r="T10" s="2476" t="e">
        <f t="shared" si="0"/>
        <v>#DIV/0!</v>
      </c>
      <c r="U10" s="826"/>
      <c r="V10" s="2476" t="e">
        <f t="shared" si="1"/>
        <v>#DIV/0!</v>
      </c>
      <c r="W10" s="4729"/>
      <c r="X10" s="2477">
        <v>6</v>
      </c>
      <c r="Y10" s="2480">
        <f>ROUND((-0.5556*(Y9^2)-0.2719*Y9+8944)*(10^(-4)),4)</f>
        <v>0.89219999999999999</v>
      </c>
      <c r="Z10" s="2480">
        <f>ROUND((-0.5556*(Z9^2)-0.2719*Z9+8944)*(10^(-4)),4)</f>
        <v>0.89219999999999999</v>
      </c>
      <c r="AA10" s="2480">
        <f>ROUND((-0.7912*(AA9^2)-11.3794*AA9+8482)*(10^(-4)),4)</f>
        <v>0.83850000000000002</v>
      </c>
      <c r="AB10" s="2480">
        <f>ROUND((-0.7912*(AB9^2)-11.3794*AB9+8482)*(10^(-4)),4)</f>
        <v>0.83850000000000002</v>
      </c>
      <c r="AC10" s="2480">
        <f>ROUND((-0.7912*(AC9^2)-11.3794*AC9+8482)*(10^(-4)),4)</f>
        <v>0.83850000000000002</v>
      </c>
      <c r="AD10" s="2480">
        <f>ROUND((-0.7912*(AD9^2)-11.3794*AD9+8482)*(10^(-4)),4)</f>
        <v>0.83850000000000002</v>
      </c>
      <c r="AE10" s="2480">
        <f>ROUND((-0.7912*(AE9^2)-11.3794*AE9+8482)*(10^(-4)),4)</f>
        <v>0.83850000000000002</v>
      </c>
      <c r="AF10" s="2480">
        <f>ROUND((-0.989*(AF9^2)-63.78*AF9+7771)*(10^(-4)),4)</f>
        <v>0.73529999999999995</v>
      </c>
      <c r="AG10" s="2480">
        <f>ROUND((-0.989*(AG9^2)-63.78*AG9+7771)*(10^(-4)),4)</f>
        <v>0.73529999999999995</v>
      </c>
      <c r="AH10" s="2480">
        <f>ROUND((-0.989*(AH9^2)-63.78*AH9+7771)*(10^(-4)),4)</f>
        <v>0.73529999999999995</v>
      </c>
      <c r="AI10" s="2480">
        <f>ROUND((-0.989*(AI9^2)-63.78*AI9+7771)*(10^(-4)),4)</f>
        <v>0.73529999999999995</v>
      </c>
      <c r="AJ10" s="2480">
        <f>ROUND((-0.989*(AJ9^2)-63.78*AJ9+7771)*(10^(-4)),4)</f>
        <v>0.73529999999999995</v>
      </c>
    </row>
    <row r="11" spans="1:36" ht="15.75" thickBot="1">
      <c r="A11" s="2430"/>
      <c r="B11" s="1495" t="s">
        <v>1891</v>
      </c>
      <c r="C11" s="2996">
        <f>C10/4</f>
        <v>0</v>
      </c>
      <c r="D11" s="516" t="s">
        <v>113</v>
      </c>
      <c r="E11" s="516" t="e">
        <f>ROUND(C11/E7,4)</f>
        <v>#DIV/0!</v>
      </c>
      <c r="F11" s="1496" t="s">
        <v>1892</v>
      </c>
      <c r="G11" s="1497"/>
      <c r="H11" s="1497"/>
      <c r="I11" s="1497"/>
      <c r="J11" s="1498"/>
      <c r="K11" s="772"/>
      <c r="L11" s="1468" t="s">
        <v>1893</v>
      </c>
      <c r="M11" s="570">
        <f>SUMPRODUCT((区片价!B358:B377=I2)*(区片价!C3:G3=E2)*(区片价!C358:G377))</f>
        <v>0</v>
      </c>
      <c r="N11" s="572">
        <f>SUMPRODUCT((因素修正幅度!B358:B377=I2)*(因素修正幅度!C3:G3=E2)*(因素修正幅度!C358:G377))</f>
        <v>0</v>
      </c>
      <c r="O11" s="772"/>
      <c r="P11" s="772"/>
      <c r="Q11" s="772"/>
      <c r="R11" s="825">
        <v>10</v>
      </c>
      <c r="S11" s="826"/>
      <c r="T11" s="2476" t="e">
        <f t="shared" si="0"/>
        <v>#DIV/0!</v>
      </c>
      <c r="U11" s="826"/>
      <c r="V11" s="2476" t="e">
        <f t="shared" si="1"/>
        <v>#DIV/0!</v>
      </c>
      <c r="W11" s="829"/>
      <c r="X11" s="829"/>
      <c r="Y11" s="829"/>
      <c r="Z11" s="829"/>
      <c r="AA11" s="829"/>
      <c r="AB11" s="829"/>
      <c r="AC11" s="830"/>
      <c r="AD11" s="2073"/>
      <c r="AE11" s="2073"/>
      <c r="AF11" s="2073"/>
      <c r="AG11" s="2073"/>
      <c r="AH11" s="2073"/>
      <c r="AI11" s="2073"/>
      <c r="AJ11" s="2074"/>
    </row>
    <row r="12" spans="1:36" ht="25.5" thickBot="1">
      <c r="A12" s="2431" t="s">
        <v>3123</v>
      </c>
      <c r="B12" s="2432" t="s">
        <v>3124</v>
      </c>
      <c r="C12" s="3010"/>
      <c r="D12" s="2433" t="s">
        <v>3125</v>
      </c>
      <c r="E12" s="2434" t="s">
        <v>3126</v>
      </c>
      <c r="F12" s="2435"/>
      <c r="G12" s="2436"/>
      <c r="H12" s="2436"/>
      <c r="I12" s="2436"/>
      <c r="J12" s="2437"/>
      <c r="K12" s="772"/>
      <c r="L12" s="1426" t="s">
        <v>1896</v>
      </c>
      <c r="M12" s="571">
        <f>SUMPRODUCT((区片价!B378:B384=I2)*(区片价!C3:G3=E2)*(区片价!C378:G384))</f>
        <v>0</v>
      </c>
      <c r="N12" s="572">
        <f>SUMPRODUCT((因素修正幅度!B378:B384=I2)*(因素修正幅度!C3:G3=E2)*(因素修正幅度!C378:G384))</f>
        <v>0</v>
      </c>
      <c r="O12" s="772"/>
      <c r="P12" s="772"/>
      <c r="Q12" s="772"/>
      <c r="R12" s="825">
        <v>11</v>
      </c>
      <c r="S12" s="826"/>
      <c r="T12" s="2476" t="e">
        <f t="shared" si="0"/>
        <v>#DIV/0!</v>
      </c>
      <c r="U12" s="826"/>
      <c r="V12" s="2476" t="e">
        <f t="shared" si="1"/>
        <v>#DIV/0!</v>
      </c>
      <c r="W12" s="829"/>
      <c r="X12" s="829"/>
      <c r="Y12" s="829"/>
      <c r="Z12" s="829"/>
      <c r="AA12" s="829"/>
      <c r="AB12" s="829"/>
      <c r="AC12" s="830"/>
      <c r="AD12" s="2073"/>
      <c r="AE12" s="2073"/>
      <c r="AF12" s="2073"/>
      <c r="AG12" s="2073"/>
      <c r="AH12" s="2073"/>
      <c r="AI12" s="2073"/>
      <c r="AJ12" s="2074"/>
    </row>
    <row r="13" spans="1:36" ht="15.75" thickBot="1">
      <c r="A13" s="2431" t="s">
        <v>3127</v>
      </c>
      <c r="B13" s="1499" t="s">
        <v>1894</v>
      </c>
      <c r="C13" s="3008">
        <f>ROUND(C16*D16*E16*F16*G16*H16*I16*J16,4)</f>
        <v>0</v>
      </c>
      <c r="D13" s="1500" t="s">
        <v>1895</v>
      </c>
      <c r="E13" s="1501"/>
      <c r="F13" s="1501"/>
      <c r="G13" s="1502"/>
      <c r="H13" s="1502"/>
      <c r="I13" s="1502"/>
      <c r="J13" s="1503"/>
      <c r="K13" s="772"/>
      <c r="L13" s="3"/>
      <c r="M13" s="4"/>
      <c r="N13" s="2429"/>
      <c r="O13" s="772"/>
      <c r="P13" s="772"/>
      <c r="Q13" s="772"/>
      <c r="R13" s="825">
        <v>12</v>
      </c>
      <c r="S13" s="826"/>
      <c r="T13" s="2476" t="e">
        <f t="shared" si="0"/>
        <v>#DIV/0!</v>
      </c>
      <c r="U13" s="826"/>
      <c r="V13" s="2476" t="e">
        <f t="shared" si="1"/>
        <v>#DIV/0!</v>
      </c>
      <c r="W13" s="829"/>
      <c r="X13" s="829"/>
      <c r="Y13" s="829"/>
      <c r="Z13" s="829"/>
      <c r="AA13" s="829"/>
      <c r="AB13" s="829"/>
      <c r="AC13" s="830"/>
      <c r="AD13" s="2073"/>
      <c r="AE13" s="2073"/>
      <c r="AF13" s="2073"/>
      <c r="AG13" s="2073"/>
      <c r="AH13" s="2073"/>
      <c r="AI13" s="2073"/>
      <c r="AJ13" s="2074"/>
    </row>
    <row r="14" spans="1:36" ht="15">
      <c r="A14" s="2427"/>
      <c r="B14" s="1504" t="s">
        <v>1897</v>
      </c>
      <c r="C14" s="1505" t="s">
        <v>1898</v>
      </c>
      <c r="D14" s="930" t="s">
        <v>1899</v>
      </c>
      <c r="E14" s="18" t="s">
        <v>1900</v>
      </c>
      <c r="F14" s="2438" t="s">
        <v>3128</v>
      </c>
      <c r="G14" s="2438" t="s">
        <v>3128</v>
      </c>
      <c r="H14" s="2438" t="s">
        <v>3128</v>
      </c>
      <c r="I14" s="2438" t="s">
        <v>3128</v>
      </c>
      <c r="J14" s="2438" t="s">
        <v>3128</v>
      </c>
      <c r="K14" s="772"/>
      <c r="L14" s="772"/>
      <c r="M14" s="772"/>
      <c r="N14" s="772"/>
      <c r="O14" s="772"/>
      <c r="P14" s="772"/>
      <c r="Q14" s="772"/>
      <c r="R14" s="825">
        <v>13</v>
      </c>
      <c r="S14" s="826"/>
      <c r="T14" s="2476" t="e">
        <f t="shared" si="0"/>
        <v>#DIV/0!</v>
      </c>
      <c r="U14" s="826"/>
      <c r="V14" s="2476" t="e">
        <f t="shared" si="1"/>
        <v>#DIV/0!</v>
      </c>
      <c r="W14" s="829"/>
      <c r="X14" s="829"/>
      <c r="Y14" s="829"/>
      <c r="Z14" s="829"/>
      <c r="AA14" s="829"/>
      <c r="AB14" s="829"/>
      <c r="AC14" s="830"/>
      <c r="AD14" s="2073"/>
      <c r="AE14" s="2073"/>
      <c r="AF14" s="2073"/>
      <c r="AG14" s="2073"/>
      <c r="AH14" s="2073"/>
      <c r="AI14" s="2073"/>
      <c r="AJ14" s="2074"/>
    </row>
    <row r="15" spans="1:36" ht="15">
      <c r="A15" s="2427"/>
      <c r="B15" s="1506"/>
      <c r="C15" s="1507"/>
      <c r="D15" s="1508"/>
      <c r="E15" s="1509"/>
      <c r="F15" s="1140" t="s">
        <v>3129</v>
      </c>
      <c r="G15" s="1548"/>
      <c r="H15" s="2439"/>
      <c r="I15" s="2440"/>
      <c r="J15" s="2441"/>
      <c r="K15" s="772"/>
      <c r="L15" s="772"/>
      <c r="M15" s="772"/>
      <c r="N15" s="772"/>
      <c r="O15" s="772"/>
      <c r="P15" s="772"/>
      <c r="Q15" s="772"/>
      <c r="R15" s="825">
        <v>14</v>
      </c>
      <c r="S15" s="826"/>
      <c r="T15" s="2476" t="e">
        <f t="shared" si="0"/>
        <v>#DIV/0!</v>
      </c>
      <c r="U15" s="826"/>
      <c r="V15" s="2476" t="e">
        <f t="shared" si="1"/>
        <v>#DIV/0!</v>
      </c>
      <c r="W15" s="829"/>
      <c r="X15" s="829"/>
      <c r="Y15" s="829"/>
      <c r="Z15" s="829"/>
      <c r="AA15" s="829"/>
      <c r="AB15" s="829"/>
      <c r="AC15" s="830"/>
      <c r="AD15" s="2073"/>
      <c r="AE15" s="2073"/>
      <c r="AF15" s="2073"/>
      <c r="AG15" s="2073"/>
      <c r="AH15" s="2073"/>
      <c r="AI15" s="2073"/>
      <c r="AJ15" s="2074"/>
    </row>
    <row r="16" spans="1:36" ht="15.75" thickBot="1">
      <c r="A16" s="2427"/>
      <c r="B16" s="2442" t="s">
        <v>1901</v>
      </c>
      <c r="C16" s="3011"/>
      <c r="D16" s="3011"/>
      <c r="E16" s="3011"/>
      <c r="F16" s="3011">
        <v>1</v>
      </c>
      <c r="G16" s="3011">
        <v>1</v>
      </c>
      <c r="H16" s="3011">
        <v>1</v>
      </c>
      <c r="I16" s="3011">
        <v>1</v>
      </c>
      <c r="J16" s="3012">
        <v>1</v>
      </c>
      <c r="K16" s="772"/>
      <c r="L16" s="1465"/>
      <c r="M16" s="1465"/>
      <c r="N16" s="1465"/>
      <c r="O16" s="1465"/>
      <c r="P16" s="1465"/>
      <c r="Q16" s="772"/>
      <c r="R16" s="825">
        <v>15</v>
      </c>
      <c r="S16" s="826"/>
      <c r="T16" s="2476" t="e">
        <f t="shared" si="0"/>
        <v>#DIV/0!</v>
      </c>
      <c r="U16" s="826"/>
      <c r="V16" s="2476" t="e">
        <f t="shared" si="1"/>
        <v>#DIV/0!</v>
      </c>
      <c r="W16" s="829"/>
      <c r="X16" s="829"/>
      <c r="Y16" s="829"/>
      <c r="Z16" s="829"/>
      <c r="AA16" s="829"/>
      <c r="AB16" s="829"/>
      <c r="AC16" s="830"/>
      <c r="AD16" s="2073"/>
      <c r="AE16" s="2073"/>
      <c r="AF16" s="2073"/>
      <c r="AG16" s="2073"/>
      <c r="AH16" s="2073"/>
      <c r="AI16" s="2073"/>
      <c r="AJ16" s="2074"/>
    </row>
    <row r="17" spans="1:37">
      <c r="A17" s="2450" t="s">
        <v>3130</v>
      </c>
      <c r="B17" s="2443" t="s">
        <v>3131</v>
      </c>
      <c r="C17" s="3013">
        <f>ROUND(IF(OR(E2="工业",E2="公共服务"),1,IF(AND(E18=0,E19=0),1,IF(AND(E18=J24,E19=G19),0.8,IF(E19=0,1+E17*(-0.2),1+E17*G17*(-0.2))))),4)</f>
        <v>1</v>
      </c>
      <c r="D17" s="2444" t="s">
        <v>3132</v>
      </c>
      <c r="E17" s="2451" t="e">
        <f>ROUND(G18/I18,2)</f>
        <v>#DIV/0!</v>
      </c>
      <c r="F17" s="2444" t="s">
        <v>3135</v>
      </c>
      <c r="G17" s="2451" t="e">
        <f>ROUND(E19/G19,2)</f>
        <v>#DIV/0!</v>
      </c>
      <c r="H17" s="2451"/>
      <c r="I17" s="2451"/>
      <c r="J17" s="2452"/>
      <c r="K17" s="772"/>
      <c r="L17" s="1465"/>
      <c r="M17" s="1465"/>
      <c r="N17" s="1465"/>
      <c r="O17" s="1465"/>
      <c r="P17" s="1465"/>
      <c r="Q17" s="772"/>
      <c r="R17" s="772"/>
      <c r="S17" s="772"/>
      <c r="T17" s="772"/>
      <c r="U17" s="772"/>
      <c r="V17" s="772"/>
      <c r="W17" s="772"/>
      <c r="X17" s="772"/>
      <c r="Y17" s="772"/>
      <c r="Z17" s="773"/>
      <c r="AA17" s="773"/>
      <c r="AB17" s="773"/>
      <c r="AC17" s="773"/>
      <c r="AD17" s="773"/>
      <c r="AE17" s="772"/>
      <c r="AF17" s="772"/>
      <c r="AG17" s="1465"/>
      <c r="AH17" s="1465"/>
      <c r="AI17" s="1465"/>
      <c r="AJ17" s="1465"/>
    </row>
    <row r="18" spans="1:37" s="1479" customFormat="1" ht="14.25">
      <c r="A18" s="2453"/>
      <c r="B18" s="1881"/>
      <c r="C18" s="2449"/>
      <c r="D18" s="2445" t="s">
        <v>3133</v>
      </c>
      <c r="E18" s="2658"/>
      <c r="F18" s="2446" t="s">
        <v>3136</v>
      </c>
      <c r="G18" s="2449">
        <f>ROUND(1-(1/(POWER(1+G24,E18))),4)</f>
        <v>0</v>
      </c>
      <c r="H18" s="2446" t="s">
        <v>3138</v>
      </c>
      <c r="I18" s="2449">
        <f>ROUND(1-(1/(POWER(1+G24,J24))),4)</f>
        <v>0</v>
      </c>
      <c r="J18" s="2454"/>
      <c r="K18" s="772"/>
      <c r="L18" s="1465"/>
      <c r="M18" s="1465"/>
      <c r="N18" s="1465"/>
      <c r="O18" s="1465"/>
      <c r="P18" s="1465"/>
      <c r="Q18" s="772"/>
      <c r="R18" s="776"/>
      <c r="S18" s="776"/>
      <c r="T18" s="773"/>
      <c r="U18" s="773"/>
      <c r="V18" s="773"/>
      <c r="W18" s="772"/>
      <c r="X18" s="772"/>
      <c r="Y18" s="772"/>
      <c r="Z18" s="777"/>
      <c r="AA18" s="777"/>
      <c r="AB18" s="777"/>
      <c r="AC18" s="777"/>
      <c r="AD18" s="777"/>
      <c r="AE18" s="773"/>
      <c r="AF18" s="773"/>
      <c r="AG18" s="1598"/>
      <c r="AH18" s="1598"/>
      <c r="AI18" s="1598"/>
      <c r="AJ18" s="2072"/>
    </row>
    <row r="19" spans="1:37" s="1479" customFormat="1" ht="15" thickBot="1">
      <c r="A19" s="2455"/>
      <c r="B19" s="2456"/>
      <c r="C19" s="2457"/>
      <c r="D19" s="2457" t="s">
        <v>3134</v>
      </c>
      <c r="E19" s="3014"/>
      <c r="F19" s="2458" t="s">
        <v>3137</v>
      </c>
      <c r="G19" s="3014"/>
      <c r="H19" s="2457"/>
      <c r="I19" s="2457"/>
      <c r="J19" s="2459"/>
      <c r="K19" s="772"/>
      <c r="L19" s="1465"/>
      <c r="M19" s="1465"/>
      <c r="N19" s="1465"/>
      <c r="O19" s="1465"/>
      <c r="P19" s="1465"/>
      <c r="Q19" s="776"/>
      <c r="R19" s="776"/>
      <c r="S19" s="776"/>
      <c r="T19" s="773"/>
      <c r="U19" s="773"/>
      <c r="V19" s="773"/>
      <c r="W19" s="772"/>
      <c r="X19" s="772"/>
      <c r="Y19" s="772"/>
      <c r="Z19" s="777"/>
      <c r="AA19" s="777"/>
      <c r="AB19" s="777"/>
      <c r="AC19" s="777"/>
      <c r="AD19" s="777"/>
      <c r="AE19" s="777"/>
      <c r="AF19" s="776"/>
      <c r="AG19" s="2075"/>
      <c r="AH19" s="1598"/>
      <c r="AI19" s="2076"/>
      <c r="AJ19" s="2076"/>
      <c r="AK19" s="1520"/>
    </row>
    <row r="20" spans="1:37" s="1479" customFormat="1" ht="14.25">
      <c r="A20" s="4730" t="s">
        <v>3139</v>
      </c>
      <c r="B20" s="66" t="s">
        <v>1906</v>
      </c>
      <c r="C20" s="3015" t="e">
        <f>ROUND(IF(F21="与级别开发程度一致",0,(G21-E21)/C21),0)</f>
        <v>#DIV/0!</v>
      </c>
      <c r="D20" s="2460" t="s">
        <v>1910</v>
      </c>
      <c r="E20" s="2461"/>
      <c r="F20" s="4736" t="s">
        <v>1907</v>
      </c>
      <c r="G20" s="4737"/>
      <c r="H20" s="2447"/>
      <c r="I20" s="2447"/>
      <c r="J20" s="2448"/>
      <c r="K20" s="1510"/>
      <c r="L20" s="1510"/>
      <c r="M20" s="1510"/>
      <c r="N20" s="1510"/>
      <c r="O20" s="1511"/>
      <c r="P20" s="1465"/>
      <c r="Q20" s="776"/>
      <c r="R20" s="776"/>
      <c r="S20" s="776"/>
      <c r="T20" s="773"/>
      <c r="U20" s="773"/>
      <c r="V20" s="773"/>
      <c r="W20" s="772"/>
      <c r="X20" s="772"/>
      <c r="Y20" s="772"/>
      <c r="Z20" s="777"/>
      <c r="AA20" s="777"/>
      <c r="AB20" s="777"/>
      <c r="AC20" s="777"/>
      <c r="AD20" s="777"/>
      <c r="AE20" s="777"/>
      <c r="AF20" s="777"/>
      <c r="AG20" s="2072"/>
      <c r="AH20" s="2072"/>
      <c r="AI20" s="2072"/>
      <c r="AJ20" s="2072"/>
    </row>
    <row r="21" spans="1:37" s="1479" customFormat="1" ht="15" thickBot="1">
      <c r="A21" s="4731"/>
      <c r="B21" s="1619" t="s">
        <v>1909</v>
      </c>
      <c r="C21" s="3016">
        <f>IF(E3="M4科研用地",SUMPRODUCT((修正!A2:A7=E3)*(修正!B1:M1=G2)*(修正!B2:M7)),SUMPRODUCT((修正!A2:A7=E2)*(修正!B1:M1=G2)*(修正!B2:M7)))</f>
        <v>0</v>
      </c>
      <c r="D21" s="82" t="str">
        <f>IF(OR(G2="八级",G2="九级",G2="十级",G2="十一级",G2="十二级"),"五通一平","七通一平")</f>
        <v>七通一平</v>
      </c>
      <c r="E21" s="1611">
        <f>SUMPRODUCT((修正!B1:M1=G2)*(修正!B17:M17))</f>
        <v>0</v>
      </c>
      <c r="F21" s="1612"/>
      <c r="G21" s="1613">
        <f>SUM(H21:O21)</f>
        <v>0</v>
      </c>
      <c r="H21" s="1620">
        <f>SUMPRODUCT((七通一平=H20)*(修正!B1:M1=G2)*(修正!B8:M16))</f>
        <v>0</v>
      </c>
      <c r="I21" s="1620">
        <f>SUMPRODUCT((七通一平=I20)*(修正!B1:M1=G2)*(修正!B8:M16))</f>
        <v>0</v>
      </c>
      <c r="J21" s="1621">
        <f>SUMPRODUCT((七通一平=J20)*(修正!B1:M1=G2)*(修正!B8:M16))</f>
        <v>0</v>
      </c>
      <c r="K21" s="1620">
        <f>SUMPRODUCT((七通一平=K20)*(修正!B1:M1=G2)*(修正!B8:M16))</f>
        <v>0</v>
      </c>
      <c r="L21" s="1620">
        <f>SUMPRODUCT((七通一平=L20)*(修正!B1:M1=G2)*(修正!B8:M16))</f>
        <v>0</v>
      </c>
      <c r="M21" s="1620">
        <f>SUMPRODUCT((七通一平=M20)*(修正!B1:M1=G2)*(修正!B8:M16))</f>
        <v>0</v>
      </c>
      <c r="N21" s="1620">
        <f>SUMPRODUCT((七通一平=N20)*(修正!B1:M1=G2)*(修正!B8:M16))</f>
        <v>0</v>
      </c>
      <c r="O21" s="1622">
        <f>SUMPRODUCT((七通一平=O20)*(修正!B1:M1=G2)*(修正!B8:M16))</f>
        <v>0</v>
      </c>
      <c r="P21" s="1465"/>
      <c r="Q21" s="2072"/>
      <c r="R21" s="776"/>
      <c r="S21" s="776"/>
      <c r="T21" s="773"/>
      <c r="U21" s="773"/>
      <c r="V21" s="773"/>
      <c r="W21" s="772"/>
      <c r="X21" s="772"/>
      <c r="Y21" s="772"/>
      <c r="Z21" s="777"/>
      <c r="AA21" s="777"/>
      <c r="AB21" s="777"/>
      <c r="AC21" s="777"/>
      <c r="AD21" s="777"/>
      <c r="AE21" s="777"/>
      <c r="AF21" s="777"/>
      <c r="AG21" s="2072"/>
      <c r="AH21" s="2072"/>
      <c r="AI21" s="2072"/>
      <c r="AJ21" s="2072"/>
    </row>
    <row r="22" spans="1:37" s="1479" customFormat="1" ht="15.75" thickBot="1">
      <c r="A22" s="1614" t="s">
        <v>357</v>
      </c>
      <c r="B22" s="1615" t="s">
        <v>1912</v>
      </c>
      <c r="C22" s="3017">
        <f>SUMIF(修正!C20:C53,E3,修正!E20:E53)</f>
        <v>0</v>
      </c>
      <c r="D22" s="1616"/>
      <c r="E22" s="1617"/>
      <c r="F22" s="1617"/>
      <c r="G22" s="1617"/>
      <c r="H22" s="1617"/>
      <c r="I22" s="1617"/>
      <c r="J22" s="1618"/>
      <c r="K22" s="777"/>
      <c r="L22" s="2072"/>
      <c r="M22" s="2072"/>
      <c r="N22" s="2072"/>
      <c r="O22" s="775"/>
      <c r="P22" s="775"/>
      <c r="Q22" s="2072"/>
      <c r="R22" s="776"/>
      <c r="S22" s="776"/>
      <c r="T22" s="773"/>
      <c r="U22" s="773"/>
      <c r="V22" s="773"/>
      <c r="W22" s="772"/>
      <c r="X22" s="772"/>
      <c r="Y22" s="772"/>
      <c r="Z22" s="777"/>
      <c r="AA22" s="777"/>
      <c r="AB22" s="777"/>
      <c r="AC22" s="777"/>
      <c r="AD22" s="777"/>
      <c r="AE22" s="777"/>
      <c r="AF22" s="777"/>
      <c r="AG22" s="2072"/>
      <c r="AH22" s="2072"/>
      <c r="AI22" s="2072"/>
      <c r="AJ22" s="2072"/>
    </row>
    <row r="23" spans="1:37" ht="15.75" thickBot="1">
      <c r="A23" s="1513" t="s">
        <v>358</v>
      </c>
      <c r="B23" s="1514" t="s">
        <v>1913</v>
      </c>
      <c r="C23" s="3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17" t="s">
        <v>1914</v>
      </c>
      <c r="E23" s="518">
        <v>44197</v>
      </c>
      <c r="F23" s="1517" t="s">
        <v>1915</v>
      </c>
      <c r="G23" s="519">
        <f>'数据-取费表'!B2</f>
        <v>46049</v>
      </c>
      <c r="H23" s="2462"/>
      <c r="I23" s="2463" t="str">
        <f>IF(H23="季度增幅（自定义）",SUMIF(N25:N28,E2,O25:O28),"")</f>
        <v/>
      </c>
      <c r="J23" s="2548"/>
      <c r="K23" s="777"/>
      <c r="L23" s="1518" t="s">
        <v>1916</v>
      </c>
      <c r="M23" s="912">
        <f>ROUND(SUMIF(地价!B2:G2,E2,地价!B16:G16),0)</f>
        <v>0</v>
      </c>
      <c r="N23" s="1519" t="s">
        <v>1917</v>
      </c>
      <c r="O23" s="520">
        <f>ROUNDDOWN(DATEDIF(E23,G23,"M")/3,0)</f>
        <v>20</v>
      </c>
      <c r="P23" s="773"/>
      <c r="Q23" s="2072"/>
      <c r="R23" s="776"/>
      <c r="S23" s="776"/>
      <c r="T23" s="773"/>
      <c r="U23" s="773"/>
      <c r="V23" s="773"/>
      <c r="W23" s="772"/>
      <c r="X23" s="772"/>
      <c r="Y23" s="772"/>
      <c r="Z23" s="777"/>
      <c r="AA23" s="777"/>
      <c r="AB23" s="777"/>
      <c r="AC23" s="777"/>
      <c r="AD23" s="777"/>
      <c r="AE23" s="773"/>
      <c r="AF23" s="773"/>
      <c r="AG23" s="1598"/>
      <c r="AH23" s="1598"/>
      <c r="AI23" s="1598"/>
      <c r="AJ23" s="1598"/>
      <c r="AK23" s="1516"/>
    </row>
    <row r="24" spans="1:37" s="1479" customFormat="1" ht="24.75" thickBot="1">
      <c r="A24" s="1521" t="s">
        <v>359</v>
      </c>
      <c r="B24" s="1522" t="s">
        <v>1918</v>
      </c>
      <c r="C24" s="521" t="e">
        <f>ROUND(POWER(1+G24,J24-I24)*(POWER(1+G24,I24)-1)/(POWER(1+G24,J24)-1),4)</f>
        <v>#DIV/0!</v>
      </c>
      <c r="D24" s="1523" t="s">
        <v>1919</v>
      </c>
      <c r="E24" s="917">
        <f>存贷款利率!E28/100</f>
        <v>4.3499999999999997E-2</v>
      </c>
      <c r="F24" s="1523" t="s">
        <v>1911</v>
      </c>
      <c r="G24" s="523">
        <f>SUMIF(M30:Q30,E2,M33:Q33)</f>
        <v>0</v>
      </c>
      <c r="H24" s="1523" t="s">
        <v>1920</v>
      </c>
      <c r="I24" s="524" t="e">
        <f>SUMIF('数据-取费表'!C6:C15,E2,'数据-取费表'!F6:F15)/COUNTIF('数据-取费表'!C6:C15,E2)</f>
        <v>#DIV/0!</v>
      </c>
      <c r="J24" s="525">
        <f>IF(E2="住宅",70,IF(E2="商业",40,50))</f>
        <v>50</v>
      </c>
      <c r="K24" s="777"/>
      <c r="L24" s="1524" t="s">
        <v>1921</v>
      </c>
      <c r="M24" s="913">
        <f>ROUND(SUMPRODUCT((地价!A4:A16=YEAR(G23)&amp;"-"&amp;ROUNDUP(MONTH(G23)/3,0))*(地价!B2:G2=E2)*(地价!B4:G16)),0)</f>
        <v>0</v>
      </c>
      <c r="N24" s="1525" t="s">
        <v>1922</v>
      </c>
      <c r="O24" s="1526" t="s">
        <v>1923</v>
      </c>
      <c r="P24" s="1527" t="s">
        <v>1924</v>
      </c>
      <c r="Q24" s="1465"/>
      <c r="R24" s="776"/>
      <c r="S24" s="776"/>
      <c r="T24" s="773"/>
      <c r="U24" s="773"/>
      <c r="V24" s="773"/>
      <c r="W24" s="772"/>
      <c r="X24" s="772"/>
      <c r="Y24" s="772"/>
      <c r="Z24" s="777"/>
      <c r="AA24" s="777"/>
      <c r="AB24" s="777"/>
      <c r="AC24" s="777"/>
      <c r="AD24" s="777"/>
      <c r="AE24" s="777"/>
      <c r="AF24" s="777"/>
      <c r="AG24" s="2072"/>
      <c r="AH24" s="2072"/>
      <c r="AI24" s="2072"/>
      <c r="AJ24" s="2072"/>
    </row>
    <row r="25" spans="1:37" ht="15">
      <c r="A25" s="1528" t="s">
        <v>360</v>
      </c>
      <c r="B25" s="1529"/>
      <c r="C25" s="323">
        <f>IF(B25="容积率修正",IF(G3&lt;10,D26,J26),C27)</f>
        <v>0</v>
      </c>
      <c r="D25" s="1530"/>
      <c r="E25" s="1530"/>
      <c r="F25" s="1530"/>
      <c r="G25" s="1530"/>
      <c r="H25" s="1530"/>
      <c r="I25" s="1530"/>
      <c r="J25" s="1531"/>
      <c r="K25" s="777"/>
      <c r="L25" s="2072"/>
      <c r="M25" s="2072"/>
      <c r="N25" s="1532" t="s">
        <v>1925</v>
      </c>
      <c r="O25" s="794"/>
      <c r="P25" s="795">
        <f>SUMPRODUCT((地价!A3:A40=YEAR(G23)&amp;"-"&amp;ROUNDUP(MONTH(G23)/3,0))*(地价!AD2:AH2=N25)*(地价!AD3:AH40))</f>
        <v>0</v>
      </c>
      <c r="Q25" s="2072"/>
      <c r="R25" s="776"/>
      <c r="S25" s="776"/>
      <c r="T25" s="773"/>
      <c r="U25" s="773"/>
      <c r="V25" s="773"/>
      <c r="W25" s="772"/>
      <c r="X25" s="772"/>
      <c r="Y25" s="772"/>
      <c r="Z25" s="777"/>
      <c r="AA25" s="777"/>
      <c r="AB25" s="777"/>
      <c r="AC25" s="777"/>
      <c r="AD25" s="777"/>
      <c r="AE25" s="773"/>
      <c r="AF25" s="773"/>
      <c r="AG25" s="1598"/>
      <c r="AH25" s="1598"/>
      <c r="AI25" s="1598"/>
      <c r="AJ25" s="1598"/>
    </row>
    <row r="26" spans="1:37" ht="14.25">
      <c r="A26" s="1436" t="s">
        <v>1926</v>
      </c>
      <c r="B26" s="1533" t="s">
        <v>1927</v>
      </c>
      <c r="C26" s="1533" t="s">
        <v>3140</v>
      </c>
      <c r="D26" s="3019">
        <f>IF(E26=G26,F26,IF(G3&lt;10,ROUND(F26+(H26-F26)*(G3-E26)/(G26-E26),4),"——"))</f>
        <v>0</v>
      </c>
      <c r="E26" s="3019">
        <f>ROUNDDOWN(G3,1)</f>
        <v>0</v>
      </c>
      <c r="F26" s="30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19">
        <f>ROUNDUP(G3,1)</f>
        <v>0</v>
      </c>
      <c r="H26" s="30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33" t="s">
        <v>3141</v>
      </c>
      <c r="J26" s="2975" t="str">
        <f>IF(G3&gt;=10,D115,"——")</f>
        <v>——</v>
      </c>
      <c r="K26" s="777"/>
      <c r="L26" s="2072"/>
      <c r="M26" s="2072"/>
      <c r="N26" s="1532" t="s">
        <v>1928</v>
      </c>
      <c r="O26" s="794"/>
      <c r="P26" s="795">
        <f>SUMPRODUCT((地价!A3:A40=YEAR(G23)&amp;"-"&amp;ROUNDUP(MONTH(G23)/3,0))*(地价!AD2:AH2=N26)*(地价!AD3:AH40))</f>
        <v>0</v>
      </c>
      <c r="Q26" s="1465"/>
      <c r="R26" s="776"/>
      <c r="S26" s="776"/>
      <c r="T26" s="773"/>
      <c r="U26" s="773"/>
      <c r="V26" s="773"/>
      <c r="W26" s="772"/>
      <c r="X26" s="772"/>
      <c r="Y26" s="772"/>
      <c r="Z26" s="777"/>
      <c r="AA26" s="777"/>
      <c r="AB26" s="777"/>
      <c r="AC26" s="777"/>
      <c r="AD26" s="777"/>
      <c r="AE26" s="773"/>
      <c r="AF26" s="773"/>
      <c r="AG26" s="1598"/>
      <c r="AH26" s="1598"/>
      <c r="AI26" s="1598"/>
      <c r="AJ26" s="1598"/>
    </row>
    <row r="27" spans="1:37" ht="15.75" thickBot="1">
      <c r="A27" s="1436" t="s">
        <v>1929</v>
      </c>
      <c r="B27" s="1534" t="s">
        <v>1930</v>
      </c>
      <c r="C27" s="3020">
        <f>ROUND(IF(I3&lt;6,SUMPRODUCT((B106:B110=I3)*(C105:N105=G2)*(C106:N110)),SUMIF(C105:N105,G2,C112:N112)),4)</f>
        <v>0</v>
      </c>
      <c r="D27" s="1463"/>
      <c r="E27" s="1463"/>
      <c r="F27" s="1535"/>
      <c r="G27" s="1536"/>
      <c r="H27" s="1537"/>
      <c r="I27" s="1538"/>
      <c r="J27" s="1539"/>
      <c r="K27" s="772"/>
      <c r="L27" s="1465"/>
      <c r="M27" s="1465"/>
      <c r="N27" s="1532" t="s">
        <v>1931</v>
      </c>
      <c r="O27" s="794"/>
      <c r="P27" s="795">
        <f>SUMPRODUCT((地价!A3:A40=YEAR(G23)&amp;"-"&amp;ROUNDUP(MONTH(G23)/3,0))*(地价!AD2:AH2=N27)*(地价!AD3:AH40))</f>
        <v>0</v>
      </c>
      <c r="Q27" s="1465"/>
      <c r="R27" s="776"/>
      <c r="S27" s="776"/>
      <c r="T27" s="773"/>
      <c r="U27" s="773"/>
      <c r="V27" s="773"/>
      <c r="W27" s="772"/>
      <c r="X27" s="772"/>
      <c r="Y27" s="772"/>
      <c r="Z27" s="777"/>
      <c r="AA27" s="777"/>
      <c r="AB27" s="777"/>
      <c r="AC27" s="777"/>
      <c r="AD27" s="777"/>
      <c r="AE27" s="773"/>
      <c r="AF27" s="773"/>
      <c r="AG27" s="1598"/>
      <c r="AH27" s="1598"/>
      <c r="AI27" s="1598"/>
      <c r="AJ27" s="1598"/>
    </row>
    <row r="28" spans="1:37" ht="15.75" thickBot="1">
      <c r="A28" s="1521" t="s">
        <v>361</v>
      </c>
      <c r="B28" s="1514" t="s">
        <v>1932</v>
      </c>
      <c r="C28" s="517">
        <f>SUMIF(A47:A101,E2,B47:B101)</f>
        <v>0</v>
      </c>
      <c r="D28" s="1515"/>
      <c r="E28" s="1540"/>
      <c r="F28" s="1540"/>
      <c r="G28" s="1540"/>
      <c r="H28" s="1540"/>
      <c r="I28" s="1540"/>
      <c r="J28" s="1541"/>
      <c r="K28" s="777"/>
      <c r="L28" s="2072"/>
      <c r="M28" s="2072"/>
      <c r="N28" s="1542" t="s">
        <v>1933</v>
      </c>
      <c r="O28" s="796"/>
      <c r="P28" s="797">
        <f>SUMPRODUCT((地价!A3:A40=YEAR(G23)&amp;"-"&amp;ROUNDUP(MONTH(G23)/3,0))*(地价!AD2:AH2=N28)*(地价!AD3:AH40))</f>
        <v>0</v>
      </c>
      <c r="Q28" s="776"/>
      <c r="R28" s="776"/>
      <c r="S28" s="776"/>
      <c r="T28" s="773"/>
      <c r="U28" s="773"/>
      <c r="V28" s="773"/>
      <c r="W28" s="772"/>
      <c r="X28" s="772"/>
      <c r="Y28" s="772"/>
      <c r="Z28" s="777"/>
      <c r="AA28" s="777"/>
      <c r="AB28" s="777"/>
      <c r="AC28" s="777"/>
      <c r="AD28" s="777"/>
      <c r="AE28" s="773"/>
      <c r="AF28" s="773"/>
      <c r="AG28" s="1598"/>
      <c r="AH28" s="1598"/>
      <c r="AI28" s="1598"/>
      <c r="AJ28" s="1598"/>
    </row>
    <row r="29" spans="1:37" ht="15.75" thickBot="1">
      <c r="A29" s="1521" t="s">
        <v>362</v>
      </c>
      <c r="B29" s="1543" t="s">
        <v>1934</v>
      </c>
      <c r="C29" s="522"/>
      <c r="D29" s="1489"/>
      <c r="E29" s="1489"/>
      <c r="F29" s="1544"/>
      <c r="G29" s="1489"/>
      <c r="H29" s="1489"/>
      <c r="I29" s="1489"/>
      <c r="J29" s="1490"/>
      <c r="K29" s="772"/>
      <c r="L29" s="1465"/>
      <c r="M29" s="1465"/>
      <c r="N29" s="2069" t="s">
        <v>1935</v>
      </c>
      <c r="O29" s="2070"/>
      <c r="P29" s="2071">
        <f>SUMPRODUCT((地价!A3:A40=YEAR(G23)&amp;"-"&amp;ROUNDUP(MONTH(G23)/3,0))*(地价!AD2:AH2=N29)*(地价!AD3:AH40))</f>
        <v>0</v>
      </c>
      <c r="Q29" s="776"/>
      <c r="R29" s="776"/>
      <c r="S29" s="776"/>
      <c r="T29" s="773"/>
      <c r="U29" s="773"/>
      <c r="V29" s="773"/>
      <c r="W29" s="772"/>
      <c r="X29" s="772"/>
      <c r="Y29" s="772"/>
      <c r="Z29" s="777"/>
      <c r="AA29" s="777"/>
      <c r="AB29" s="777"/>
      <c r="AC29" s="777"/>
      <c r="AD29" s="777"/>
      <c r="AE29" s="772"/>
      <c r="AF29" s="772"/>
      <c r="AG29" s="1465"/>
      <c r="AH29" s="1465"/>
      <c r="AI29" s="1465"/>
      <c r="AJ29" s="1465"/>
    </row>
    <row r="30" spans="1:37" ht="15">
      <c r="A30" s="1545"/>
      <c r="B30" s="1533" t="s">
        <v>1936</v>
      </c>
      <c r="C30" s="3024" t="e">
        <f>IF(B25="容积率修正",E33+SUM(I37:I42),SUM(V2:V16)+SUM(I37:I42))</f>
        <v>#DIV/0!</v>
      </c>
      <c r="D30" s="3964" t="s">
        <v>3798</v>
      </c>
      <c r="E30" s="1463"/>
      <c r="F30" s="1546"/>
      <c r="G30" s="1463"/>
      <c r="H30" s="1463"/>
      <c r="I30" s="1463"/>
      <c r="J30" s="1547"/>
      <c r="K30" s="772"/>
      <c r="L30" s="2468" t="s">
        <v>1848</v>
      </c>
      <c r="M30" s="2469" t="s">
        <v>1902</v>
      </c>
      <c r="N30" s="2469" t="s">
        <v>1903</v>
      </c>
      <c r="O30" s="2469" t="s">
        <v>1904</v>
      </c>
      <c r="P30" s="2469" t="s">
        <v>1905</v>
      </c>
      <c r="Q30" s="2472" t="s">
        <v>3145</v>
      </c>
      <c r="R30" s="776"/>
      <c r="S30" s="776"/>
      <c r="T30" s="773"/>
      <c r="U30" s="773"/>
      <c r="V30" s="773"/>
      <c r="W30" s="772"/>
      <c r="X30" s="772"/>
      <c r="Y30" s="772"/>
      <c r="Z30" s="777"/>
      <c r="AA30" s="777"/>
      <c r="AB30" s="777"/>
      <c r="AC30" s="777"/>
      <c r="AD30" s="777"/>
      <c r="AE30" s="772"/>
      <c r="AF30" s="772"/>
      <c r="AG30" s="1465"/>
      <c r="AH30" s="1465"/>
      <c r="AI30" s="1465"/>
      <c r="AJ30" s="1465"/>
    </row>
    <row r="31" spans="1:37" ht="15.75" thickBot="1">
      <c r="A31" s="1545"/>
      <c r="B31" s="1548" t="s">
        <v>1937</v>
      </c>
      <c r="C31" s="3021" t="e">
        <f>E34+SUM(I37:I42)</f>
        <v>#DIV/0!</v>
      </c>
      <c r="D31" s="1549"/>
      <c r="E31" s="1550"/>
      <c r="F31" s="1551"/>
      <c r="G31" s="1550"/>
      <c r="H31" s="1550"/>
      <c r="I31" s="1550"/>
      <c r="J31" s="1552"/>
      <c r="K31" s="772"/>
      <c r="L31" s="2470" t="s">
        <v>1908</v>
      </c>
      <c r="M31" s="2657">
        <v>0.25</v>
      </c>
      <c r="N31" s="2657">
        <v>0.2</v>
      </c>
      <c r="O31" s="2657">
        <v>0.15</v>
      </c>
      <c r="P31" s="2657">
        <v>0.1</v>
      </c>
      <c r="Q31" s="3031">
        <v>0.15</v>
      </c>
      <c r="R31" s="776"/>
      <c r="S31" s="776"/>
      <c r="T31" s="773"/>
      <c r="U31" s="773"/>
      <c r="V31" s="773"/>
      <c r="W31" s="772"/>
      <c r="X31" s="772"/>
      <c r="Y31" s="772"/>
      <c r="Z31" s="777"/>
      <c r="AA31" s="777"/>
      <c r="AB31" s="777"/>
      <c r="AC31" s="777"/>
      <c r="AD31" s="777"/>
      <c r="AE31" s="772"/>
      <c r="AF31" s="772"/>
      <c r="AG31" s="1465"/>
      <c r="AH31" s="1465"/>
      <c r="AI31" s="1465"/>
      <c r="AJ31" s="1465"/>
    </row>
    <row r="32" spans="1:37" ht="15.75" thickBot="1">
      <c r="A32" s="1553"/>
      <c r="B32" s="1554" t="s">
        <v>1938</v>
      </c>
      <c r="C32" s="1555" t="s">
        <v>1939</v>
      </c>
      <c r="D32" s="1555" t="s">
        <v>1940</v>
      </c>
      <c r="E32" s="1556" t="s">
        <v>1941</v>
      </c>
      <c r="F32" s="1557"/>
      <c r="G32" s="1502"/>
      <c r="H32" s="1502"/>
      <c r="I32" s="1502"/>
      <c r="J32" s="1503"/>
      <c r="K32" s="772"/>
      <c r="L32" s="2471" t="s">
        <v>1911</v>
      </c>
      <c r="M32" s="1907">
        <f>ROUND($E$24*(1+M31),3)</f>
        <v>5.3999999999999999E-2</v>
      </c>
      <c r="N32" s="1907">
        <f>ROUND($E$24*(1+N31),3)</f>
        <v>5.1999999999999998E-2</v>
      </c>
      <c r="O32" s="1907">
        <f>ROUND($E$24*(1+O31),3)</f>
        <v>0.05</v>
      </c>
      <c r="P32" s="1907">
        <f>ROUND($E$24*(1+P31),3)</f>
        <v>4.8000000000000001E-2</v>
      </c>
      <c r="Q32" s="2473">
        <f>ROUND($E$24*(1+Q31),3)</f>
        <v>0.05</v>
      </c>
      <c r="R32" s="776"/>
      <c r="S32" s="776"/>
      <c r="T32" s="773"/>
      <c r="U32" s="773"/>
      <c r="V32" s="773"/>
      <c r="W32" s="772"/>
      <c r="X32" s="772"/>
      <c r="Y32" s="772"/>
      <c r="Z32" s="777"/>
      <c r="AA32" s="777"/>
      <c r="AB32" s="777"/>
      <c r="AC32" s="777"/>
      <c r="AD32" s="777"/>
      <c r="AE32" s="772"/>
      <c r="AF32" s="772"/>
      <c r="AG32" s="1465"/>
      <c r="AH32" s="1465"/>
      <c r="AI32" s="1465"/>
      <c r="AJ32" s="1465"/>
    </row>
    <row r="33" spans="1:37" ht="14.25">
      <c r="A33" s="1558"/>
      <c r="B33" s="1559" t="s">
        <v>1942</v>
      </c>
      <c r="C33" s="3024" t="e">
        <f>ROUND(C5*C22*C23*C24*C25*C28,0)</f>
        <v>#DIV/0!</v>
      </c>
      <c r="D33" s="3027"/>
      <c r="E33" s="3029" t="e">
        <f>ROUND(C33*D33/10000,0)</f>
        <v>#DIV/0!</v>
      </c>
      <c r="F33" s="2464" t="s">
        <v>3143</v>
      </c>
      <c r="G33" s="1560"/>
      <c r="H33" s="1560"/>
      <c r="I33" s="1560"/>
      <c r="J33" s="1561"/>
      <c r="K33" s="772"/>
      <c r="L33" s="2467" t="s">
        <v>3146</v>
      </c>
      <c r="M33" s="3032">
        <v>5.5E-2</v>
      </c>
      <c r="N33" s="3032">
        <v>5.5E-2</v>
      </c>
      <c r="O33" s="3032">
        <v>0.05</v>
      </c>
      <c r="P33" s="3032">
        <v>0.05</v>
      </c>
      <c r="Q33" s="3032">
        <v>0.05</v>
      </c>
      <c r="R33" s="776"/>
      <c r="S33" s="776"/>
      <c r="T33" s="773"/>
      <c r="U33" s="773"/>
      <c r="V33" s="773"/>
      <c r="W33" s="772"/>
      <c r="X33" s="772"/>
      <c r="Y33" s="772"/>
      <c r="Z33" s="777"/>
      <c r="AA33" s="777"/>
      <c r="AB33" s="777"/>
      <c r="AC33" s="777"/>
      <c r="AD33" s="777"/>
      <c r="AE33" s="773"/>
      <c r="AF33" s="773"/>
      <c r="AG33" s="1598"/>
      <c r="AH33" s="1598"/>
      <c r="AI33" s="1598"/>
      <c r="AJ33" s="1598"/>
    </row>
    <row r="34" spans="1:37" ht="25.5" thickBot="1">
      <c r="A34" s="1562"/>
      <c r="B34" s="1563" t="s">
        <v>1943</v>
      </c>
      <c r="C34" s="3025" t="e">
        <f>ROUND(IF(E2="工业",C33*M42,IF(B25="楼层修正",SUM(V2:V16)*M41*10000/D34,C33*M41)),0)</f>
        <v>#DIV/0!</v>
      </c>
      <c r="D34" s="3028"/>
      <c r="E34" s="3029" t="e">
        <f>ROUND(IF(B25="楼层修正",SUM(V2:V16)*M40,C34*D34/10000),0)</f>
        <v>#DIV/0!</v>
      </c>
      <c r="F34" s="1564" t="s">
        <v>1944</v>
      </c>
      <c r="G34" s="1565"/>
      <c r="H34" s="1565"/>
      <c r="I34" s="1565"/>
      <c r="J34" s="1566"/>
      <c r="K34" s="772"/>
      <c r="L34" s="2467" t="s">
        <v>3147</v>
      </c>
      <c r="M34" s="3032">
        <v>6.5000000000000002E-2</v>
      </c>
      <c r="N34" s="3032">
        <v>6.5000000000000002E-2</v>
      </c>
      <c r="O34" s="3032">
        <v>0.06</v>
      </c>
      <c r="P34" s="3032">
        <v>0.06</v>
      </c>
      <c r="Q34" s="3032">
        <v>0.06</v>
      </c>
      <c r="R34" s="776"/>
      <c r="S34" s="776"/>
      <c r="T34" s="773"/>
      <c r="U34" s="773"/>
      <c r="V34" s="773"/>
      <c r="W34" s="772"/>
      <c r="X34" s="772"/>
      <c r="Y34" s="772"/>
      <c r="Z34" s="777"/>
      <c r="AA34" s="777"/>
      <c r="AB34" s="777"/>
      <c r="AC34" s="777"/>
      <c r="AD34" s="777"/>
      <c r="AE34" s="773"/>
      <c r="AF34" s="773"/>
      <c r="AG34" s="1598"/>
      <c r="AH34" s="1598"/>
      <c r="AI34" s="1598"/>
      <c r="AJ34" s="1598"/>
    </row>
    <row r="35" spans="1:37">
      <c r="A35" s="1567"/>
      <c r="B35" s="1568" t="s">
        <v>1945</v>
      </c>
      <c r="C35" s="2465" t="s">
        <v>3144</v>
      </c>
      <c r="D35" s="1502"/>
      <c r="E35" s="1569"/>
      <c r="F35" s="1569"/>
      <c r="G35" s="1500" t="s">
        <v>1946</v>
      </c>
      <c r="H35" s="1502"/>
      <c r="I35" s="1570"/>
      <c r="J35" s="1503"/>
      <c r="K35" s="772"/>
      <c r="L35" s="772"/>
      <c r="M35" s="772"/>
      <c r="N35" s="772"/>
      <c r="O35" s="775"/>
      <c r="P35" s="775"/>
      <c r="Q35" s="776"/>
      <c r="R35" s="772"/>
      <c r="S35" s="772"/>
      <c r="T35" s="772"/>
      <c r="U35" s="772"/>
      <c r="V35" s="772"/>
      <c r="W35" s="772"/>
      <c r="X35" s="772"/>
      <c r="Y35" s="772"/>
      <c r="Z35" s="773"/>
      <c r="AA35" s="773"/>
      <c r="AB35" s="773"/>
      <c r="AC35" s="773"/>
      <c r="AD35" s="773"/>
      <c r="AE35" s="773"/>
      <c r="AF35" s="773"/>
      <c r="AG35" s="1598"/>
      <c r="AH35" s="1598"/>
      <c r="AI35" s="1598"/>
      <c r="AJ35" s="1598"/>
    </row>
    <row r="36" spans="1:37" ht="24.75" thickBot="1">
      <c r="A36" s="1558"/>
      <c r="B36" s="1571"/>
      <c r="C36" s="300" t="s">
        <v>1939</v>
      </c>
      <c r="D36" s="297" t="s">
        <v>1940</v>
      </c>
      <c r="E36" s="297" t="s">
        <v>1941</v>
      </c>
      <c r="F36" s="224" t="s">
        <v>1947</v>
      </c>
      <c r="G36" s="1572" t="s">
        <v>1939</v>
      </c>
      <c r="H36" s="1572" t="s">
        <v>1940</v>
      </c>
      <c r="I36" s="1572" t="s">
        <v>1941</v>
      </c>
      <c r="J36" s="138"/>
      <c r="K36" s="1582" t="s">
        <v>3148</v>
      </c>
      <c r="L36" s="2549">
        <f ca="1">'数据-取费表'!B41</f>
        <v>3.1300000000000001E-2</v>
      </c>
      <c r="M36" s="3033">
        <f ca="1">ROUND($L$36*(1+M31),3)</f>
        <v>3.9E-2</v>
      </c>
      <c r="N36" s="3033">
        <f ca="1">ROUND($L$36*(1+N31),3)</f>
        <v>3.7999999999999999E-2</v>
      </c>
      <c r="O36" s="3033">
        <f ca="1">ROUND($L$36*(1+O31),3)</f>
        <v>3.5999999999999997E-2</v>
      </c>
      <c r="P36" s="3033">
        <f ca="1">ROUND($L$36*(1+P31),3)</f>
        <v>3.4000000000000002E-2</v>
      </c>
      <c r="Q36" s="3033">
        <f ca="1">ROUND($L$36*(1+Q31),3)</f>
        <v>3.5999999999999997E-2</v>
      </c>
      <c r="R36" s="772"/>
      <c r="S36" s="772"/>
      <c r="T36" s="772"/>
      <c r="U36" s="772"/>
      <c r="V36" s="772"/>
      <c r="W36" s="772"/>
      <c r="X36" s="772"/>
      <c r="Y36" s="772"/>
      <c r="Z36" s="773"/>
      <c r="AA36" s="773"/>
      <c r="AB36" s="773"/>
      <c r="AC36" s="773"/>
      <c r="AD36" s="773"/>
      <c r="AE36" s="773"/>
      <c r="AF36" s="773"/>
      <c r="AG36" s="1598"/>
      <c r="AH36" s="1598"/>
      <c r="AI36" s="1598"/>
      <c r="AJ36" s="1598"/>
    </row>
    <row r="37" spans="1:37" ht="24.75" thickBot="1">
      <c r="A37" s="4734"/>
      <c r="B37" s="1573" t="s">
        <v>1948</v>
      </c>
      <c r="C37" s="3024" t="e">
        <f>ROUND(D5*C22*C23*C24*C28*F37,0)</f>
        <v>#DIV/0!</v>
      </c>
      <c r="D37" s="3027"/>
      <c r="E37" s="3026" t="e">
        <f>ROUND(C37*D37/10000,0)</f>
        <v>#DIV/0!</v>
      </c>
      <c r="F37" s="2991">
        <f>SUMIF(修正!A59:A70,G2,修正!B59:B70)</f>
        <v>0</v>
      </c>
      <c r="G37" s="3026" t="e">
        <f>ROUND(IF(E2="工业",C37*$M$42,C37*$M$41),0)</f>
        <v>#DIV/0!</v>
      </c>
      <c r="H37" s="2991">
        <f>D37</f>
        <v>0</v>
      </c>
      <c r="I37" s="3026" t="e">
        <f>ROUND(G37*H37/10000,0)</f>
        <v>#DIV/0!</v>
      </c>
      <c r="J37" s="2218"/>
      <c r="K37" s="2474" t="s">
        <v>3149</v>
      </c>
      <c r="L37" s="3034">
        <f ca="1">L36+K38</f>
        <v>3.6299999999999999E-2</v>
      </c>
      <c r="M37" s="3033">
        <f ca="1">ROUND($L$37*(1+M31),3)</f>
        <v>4.4999999999999998E-2</v>
      </c>
      <c r="N37" s="3033">
        <f t="shared" ref="N37:Q37" ca="1" si="3">ROUND($L$37*(1+N31),3)</f>
        <v>4.3999999999999997E-2</v>
      </c>
      <c r="O37" s="3033">
        <f t="shared" ca="1" si="3"/>
        <v>4.2000000000000003E-2</v>
      </c>
      <c r="P37" s="3033">
        <f t="shared" ca="1" si="3"/>
        <v>0.04</v>
      </c>
      <c r="Q37" s="3033">
        <f t="shared" ca="1" si="3"/>
        <v>4.2000000000000003E-2</v>
      </c>
      <c r="R37" s="772"/>
      <c r="S37" s="772"/>
      <c r="T37" s="772"/>
      <c r="U37" s="772"/>
      <c r="V37" s="772"/>
      <c r="W37" s="772"/>
      <c r="X37" s="772"/>
      <c r="Y37" s="772"/>
      <c r="Z37" s="773"/>
      <c r="AA37" s="773"/>
      <c r="AB37" s="773"/>
      <c r="AC37" s="773"/>
      <c r="AD37" s="773"/>
      <c r="AE37" s="773"/>
      <c r="AF37" s="773"/>
      <c r="AG37" s="1598"/>
      <c r="AH37" s="1598"/>
      <c r="AI37" s="1598"/>
      <c r="AJ37" s="1598"/>
    </row>
    <row r="38" spans="1:37">
      <c r="A38" s="4735"/>
      <c r="B38" s="1505" t="s">
        <v>1949</v>
      </c>
      <c r="C38" s="3024" t="e">
        <f>ROUND(D5*C22*C23*C24*C28*F38,0)</f>
        <v>#DIV/0!</v>
      </c>
      <c r="D38" s="3027"/>
      <c r="E38" s="3026" t="e">
        <f t="shared" ref="E38:E42" si="4">ROUND(C38*D38/10000,0)</f>
        <v>#DIV/0!</v>
      </c>
      <c r="F38" s="2991">
        <f>SUMIF(修正!A59:A70,G2,修正!C59:C70)</f>
        <v>0</v>
      </c>
      <c r="G38" s="3026" t="e">
        <f>ROUND(IF(E2="工业",C38*$M$42,C38*$M$41),0)</f>
        <v>#DIV/0!</v>
      </c>
      <c r="H38" s="2991">
        <f t="shared" ref="H38:H42" si="5">D38</f>
        <v>0</v>
      </c>
      <c r="I38" s="3026" t="e">
        <f t="shared" ref="I38:I42" si="6">ROUND(G38*H38/10000,0)</f>
        <v>#DIV/0!</v>
      </c>
      <c r="J38" s="2217"/>
      <c r="K38" s="1582">
        <v>5.0000000000000001E-3</v>
      </c>
      <c r="L38" s="1582"/>
      <c r="M38" s="1582"/>
      <c r="N38" s="1582"/>
      <c r="O38" s="1582"/>
      <c r="P38" s="1582"/>
      <c r="Q38" s="1582"/>
      <c r="R38" s="772"/>
      <c r="S38" s="772"/>
      <c r="T38" s="772"/>
      <c r="U38" s="772"/>
      <c r="V38" s="772"/>
      <c r="W38" s="772"/>
      <c r="X38" s="772"/>
      <c r="Y38" s="772"/>
      <c r="Z38" s="773"/>
      <c r="AA38" s="773"/>
      <c r="AB38" s="773"/>
      <c r="AC38" s="773"/>
      <c r="AD38" s="773"/>
    </row>
    <row r="39" spans="1:37" ht="13.5" thickBot="1">
      <c r="A39" s="4735"/>
      <c r="B39" s="1505" t="s">
        <v>3142</v>
      </c>
      <c r="C39" s="3024" t="e">
        <f>ROUND(D5*C22*C23*C24*C28*F39,0)</f>
        <v>#DIV/0!</v>
      </c>
      <c r="D39" s="3027"/>
      <c r="E39" s="3026" t="e">
        <f t="shared" si="4"/>
        <v>#DIV/0!</v>
      </c>
      <c r="F39" s="2991">
        <f>SUMIF(修正!A59:A70,G2,修正!D59:D70)</f>
        <v>0</v>
      </c>
      <c r="G39" s="3026" t="e">
        <f>ROUND(IF(E2="工业",C39*$M$42,C39*$M$41),0)</f>
        <v>#DIV/0!</v>
      </c>
      <c r="H39" s="2991">
        <f t="shared" si="5"/>
        <v>0</v>
      </c>
      <c r="I39" s="3026" t="e">
        <f t="shared" si="6"/>
        <v>#DIV/0!</v>
      </c>
      <c r="J39" s="2217"/>
      <c r="K39" s="772"/>
      <c r="L39" s="772"/>
      <c r="M39" s="772"/>
      <c r="N39" s="772"/>
      <c r="O39" s="772"/>
      <c r="P39" s="772"/>
      <c r="Q39" s="772"/>
      <c r="R39" s="772"/>
      <c r="S39" s="772"/>
      <c r="T39" s="772"/>
      <c r="U39" s="772"/>
      <c r="V39" s="772"/>
      <c r="W39" s="772"/>
      <c r="X39" s="772"/>
      <c r="Y39" s="772"/>
      <c r="Z39" s="773"/>
      <c r="AA39" s="773"/>
      <c r="AB39" s="773"/>
      <c r="AC39" s="773"/>
      <c r="AD39" s="773"/>
    </row>
    <row r="40" spans="1:37" s="772" customFormat="1">
      <c r="A40" s="1574"/>
      <c r="B40" s="1505" t="s">
        <v>1950</v>
      </c>
      <c r="C40" s="3026" t="e">
        <f>ROUND(D5*C22*C23*C24*C28*F40,0)</f>
        <v>#DIV/0!</v>
      </c>
      <c r="D40" s="3027"/>
      <c r="E40" s="3026" t="e">
        <f t="shared" si="4"/>
        <v>#DIV/0!</v>
      </c>
      <c r="F40" s="3022">
        <f>SUMIF(修正!A59:A70,G2,修正!E59:E70)</f>
        <v>0</v>
      </c>
      <c r="G40" s="3026" t="e">
        <f>ROUND(IF(E2="工业",C40*$M$42,C40*$M$41),0)</f>
        <v>#DIV/0!</v>
      </c>
      <c r="H40" s="2991">
        <f t="shared" si="5"/>
        <v>0</v>
      </c>
      <c r="I40" s="3026" t="e">
        <f t="shared" si="6"/>
        <v>#DIV/0!</v>
      </c>
      <c r="J40" s="683"/>
      <c r="L40" s="1575" t="s">
        <v>1951</v>
      </c>
      <c r="M40" s="1576"/>
      <c r="Z40" s="773"/>
      <c r="AA40" s="773"/>
      <c r="AB40" s="773"/>
      <c r="AC40" s="773"/>
      <c r="AD40" s="773"/>
      <c r="AE40" s="773"/>
      <c r="AF40" s="773"/>
      <c r="AG40" s="773"/>
      <c r="AH40" s="773"/>
      <c r="AI40" s="773"/>
      <c r="AJ40" s="773"/>
    </row>
    <row r="41" spans="1:37" s="772" customFormat="1">
      <c r="A41" s="1574"/>
      <c r="B41" s="1505" t="s">
        <v>1952</v>
      </c>
      <c r="C41" s="3026" t="e">
        <f>ROUND(D5*C22*C23*C44*C28*F41,0)</f>
        <v>#DIV/0!</v>
      </c>
      <c r="D41" s="3027"/>
      <c r="E41" s="3026" t="e">
        <f t="shared" si="4"/>
        <v>#DIV/0!</v>
      </c>
      <c r="F41" s="3022">
        <f>SUMIF(修正!A59:A70,G2,修正!F59:F70)</f>
        <v>0</v>
      </c>
      <c r="G41" s="3026" t="e">
        <f>ROUND(IF(E2="工业",C41*$M$42,C41*$M$41),0)</f>
        <v>#DIV/0!</v>
      </c>
      <c r="H41" s="2991">
        <f t="shared" si="5"/>
        <v>0</v>
      </c>
      <c r="I41" s="3026" t="e">
        <f t="shared" si="6"/>
        <v>#DIV/0!</v>
      </c>
      <c r="J41" s="683"/>
      <c r="L41" s="2475" t="s">
        <v>3150</v>
      </c>
      <c r="M41" s="1577">
        <v>0.25</v>
      </c>
      <c r="Z41" s="773"/>
      <c r="AA41" s="773"/>
      <c r="AB41" s="773"/>
      <c r="AC41" s="773"/>
      <c r="AD41" s="773"/>
      <c r="AE41" s="773"/>
      <c r="AF41" s="773"/>
      <c r="AG41" s="773"/>
      <c r="AH41" s="773"/>
      <c r="AI41" s="773"/>
      <c r="AJ41" s="773"/>
    </row>
    <row r="42" spans="1:37" s="772" customFormat="1" ht="13.5" thickBot="1">
      <c r="A42" s="1562"/>
      <c r="B42" s="1578" t="s">
        <v>1953</v>
      </c>
      <c r="C42" s="3025" t="e">
        <f>ROUND(D5*C22*C23*C44*C28*F42,0)</f>
        <v>#DIV/0!</v>
      </c>
      <c r="D42" s="3028"/>
      <c r="E42" s="3025" t="e">
        <f t="shared" si="4"/>
        <v>#DIV/0!</v>
      </c>
      <c r="F42" s="3030">
        <f>SUMIF(修正!A59:A70,G2,修正!G59:G70)</f>
        <v>0</v>
      </c>
      <c r="G42" s="3025" t="e">
        <f>ROUND(IF(E2="工业",C42*$M$42,C42*$M$41),0)</f>
        <v>#DIV/0!</v>
      </c>
      <c r="H42" s="3023">
        <f t="shared" si="5"/>
        <v>0</v>
      </c>
      <c r="I42" s="3025" t="e">
        <f t="shared" si="6"/>
        <v>#DIV/0!</v>
      </c>
      <c r="J42" s="1579"/>
      <c r="L42" s="1580" t="s">
        <v>1905</v>
      </c>
      <c r="M42" s="1581">
        <v>0.15</v>
      </c>
      <c r="Z42" s="773"/>
      <c r="AA42" s="773"/>
      <c r="AB42" s="773"/>
      <c r="AC42" s="773"/>
      <c r="AD42" s="773"/>
      <c r="AE42" s="773"/>
      <c r="AF42" s="773"/>
      <c r="AG42" s="773"/>
      <c r="AH42" s="773"/>
      <c r="AI42" s="773"/>
      <c r="AJ42" s="773"/>
    </row>
    <row r="43" spans="1:37" s="772" customFormat="1">
      <c r="Z43" s="773"/>
      <c r="AA43" s="773"/>
      <c r="AB43" s="773"/>
      <c r="AC43" s="773"/>
      <c r="AD43" s="773"/>
      <c r="AE43" s="773"/>
      <c r="AF43" s="773"/>
      <c r="AG43" s="773"/>
      <c r="AH43" s="773"/>
      <c r="AI43" s="773"/>
      <c r="AJ43" s="773"/>
    </row>
    <row r="44" spans="1:37" s="772" customFormat="1">
      <c r="A44" s="773"/>
      <c r="B44" s="1610" t="s">
        <v>2031</v>
      </c>
      <c r="C44" s="224" t="e">
        <f>ROUND(POWER(1+E44,H44-G44)*(POWER(1+E44,G44)-1)/(POWER(1+E44,H44)-1),4)</f>
        <v>#DIV/0!</v>
      </c>
      <c r="D44" s="69" t="s">
        <v>1911</v>
      </c>
      <c r="E44" s="1609">
        <f>G24</f>
        <v>0</v>
      </c>
      <c r="F44" s="69" t="s">
        <v>1920</v>
      </c>
      <c r="G44" s="78"/>
      <c r="H44" s="69">
        <v>50</v>
      </c>
      <c r="Z44" s="773"/>
      <c r="AA44" s="773"/>
      <c r="AB44" s="773"/>
      <c r="AC44" s="773"/>
      <c r="AD44" s="773"/>
      <c r="AE44" s="773"/>
      <c r="AF44" s="773"/>
      <c r="AG44" s="773"/>
      <c r="AH44" s="773"/>
      <c r="AI44" s="773"/>
      <c r="AJ44" s="773"/>
    </row>
    <row r="45" spans="1:37" s="772" customFormat="1">
      <c r="A45" s="773"/>
      <c r="B45" s="1582"/>
      <c r="Z45" s="773"/>
      <c r="AA45" s="773"/>
      <c r="AB45" s="773"/>
      <c r="AC45" s="773"/>
      <c r="AD45" s="773"/>
      <c r="AE45" s="773"/>
      <c r="AF45" s="773"/>
      <c r="AG45" s="773"/>
      <c r="AH45" s="773"/>
      <c r="AI45" s="773"/>
      <c r="AJ45" s="773"/>
    </row>
    <row r="46" spans="1:37" s="772" customFormat="1">
      <c r="A46" s="773"/>
      <c r="B46" s="1582"/>
      <c r="AA46" s="773"/>
      <c r="AB46" s="773"/>
      <c r="AC46" s="773"/>
      <c r="AD46" s="773"/>
      <c r="AE46" s="773"/>
      <c r="AF46" s="773"/>
      <c r="AG46" s="773"/>
      <c r="AH46" s="773"/>
      <c r="AI46" s="773"/>
      <c r="AJ46" s="773"/>
      <c r="AK46" s="773"/>
    </row>
    <row r="47" spans="1:37" s="772" customFormat="1" ht="15.75" thickBot="1">
      <c r="A47" s="1583" t="s">
        <v>1954</v>
      </c>
      <c r="B47" s="1584"/>
      <c r="C47" s="4"/>
      <c r="D47" s="4"/>
      <c r="E47" s="4"/>
      <c r="F47" s="3"/>
      <c r="G47" s="3"/>
      <c r="H47" s="3"/>
      <c r="I47" s="1333"/>
      <c r="J47" s="1333"/>
      <c r="K47" s="1333"/>
      <c r="L47" s="1333"/>
      <c r="M47" s="1333"/>
      <c r="AA47" s="773"/>
      <c r="AB47" s="773"/>
      <c r="AC47" s="773"/>
      <c r="AD47" s="773"/>
      <c r="AE47" s="773"/>
      <c r="AF47" s="773"/>
      <c r="AG47" s="773"/>
      <c r="AH47" s="773"/>
      <c r="AI47" s="773"/>
      <c r="AJ47" s="773"/>
      <c r="AK47" s="773"/>
    </row>
    <row r="48" spans="1:37" s="772" customFormat="1" ht="15">
      <c r="A48" s="1585" t="s">
        <v>1955</v>
      </c>
      <c r="B48" s="1586">
        <f>1+E50</f>
        <v>1</v>
      </c>
      <c r="C48" s="1370"/>
      <c r="D48" s="504"/>
      <c r="E48" s="505"/>
      <c r="F48" s="1587"/>
      <c r="G48" s="3"/>
      <c r="H48" s="4"/>
      <c r="I48" s="1333"/>
      <c r="J48" s="1333"/>
      <c r="K48" s="1333"/>
      <c r="L48" s="1333"/>
      <c r="M48" s="1333"/>
      <c r="AA48" s="773"/>
      <c r="AB48" s="773"/>
      <c r="AC48" s="773"/>
      <c r="AD48" s="773"/>
      <c r="AE48" s="773"/>
      <c r="AF48" s="773"/>
      <c r="AG48" s="773"/>
      <c r="AH48" s="773"/>
      <c r="AI48" s="773"/>
      <c r="AJ48" s="773"/>
      <c r="AK48" s="773"/>
    </row>
    <row r="49" spans="1:37" s="772" customFormat="1" ht="24.75">
      <c r="A49" s="1588" t="s">
        <v>1956</v>
      </c>
      <c r="B49" s="931" t="s">
        <v>1957</v>
      </c>
      <c r="C49" s="931" t="s">
        <v>1958</v>
      </c>
      <c r="D49" s="931" t="s">
        <v>1959</v>
      </c>
      <c r="E49" s="506" t="s">
        <v>1960</v>
      </c>
      <c r="F49" s="1589" t="s">
        <v>1961</v>
      </c>
      <c r="G49" s="931" t="s">
        <v>308</v>
      </c>
      <c r="H49" s="1590" t="s">
        <v>1962</v>
      </c>
      <c r="I49" s="931" t="s">
        <v>1963</v>
      </c>
      <c r="J49" s="389" t="s">
        <v>1633</v>
      </c>
      <c r="K49" s="389" t="s">
        <v>1634</v>
      </c>
      <c r="L49" s="389" t="s">
        <v>1635</v>
      </c>
      <c r="M49" s="389" t="s">
        <v>1636</v>
      </c>
      <c r="N49" s="389" t="s">
        <v>1637</v>
      </c>
      <c r="AA49" s="773"/>
      <c r="AB49" s="773"/>
      <c r="AC49" s="773"/>
      <c r="AD49" s="773"/>
      <c r="AE49" s="773"/>
      <c r="AF49" s="773"/>
      <c r="AG49" s="773"/>
      <c r="AH49" s="773"/>
      <c r="AI49" s="773"/>
      <c r="AJ49" s="773"/>
      <c r="AK49" s="773"/>
    </row>
    <row r="50" spans="1:37" s="772" customFormat="1" ht="24.75">
      <c r="A50" s="1588" t="s">
        <v>1964</v>
      </c>
      <c r="B50" s="1591">
        <f>估价对象房地状况!C4</f>
        <v>0</v>
      </c>
      <c r="C50" s="1508"/>
      <c r="D50" s="725">
        <f t="shared" ref="D50:D58" si="7">SUMIF($J$49:$N$49,C50,J50:N50)</f>
        <v>0</v>
      </c>
      <c r="E50" s="507">
        <f>ROUND(SUM(D50:D58),4)</f>
        <v>0</v>
      </c>
      <c r="F50" s="1327" t="str">
        <f>IF(E2="商业",SUMIF(L1:L12,G2,N1:N12),"——")</f>
        <v>——</v>
      </c>
      <c r="G50" s="723"/>
      <c r="H50" s="726" t="str">
        <f t="shared" ref="H50:H58" si="8">IFERROR(ROUNDDOWN($F$50*I50/2,4),"——")</f>
        <v>——</v>
      </c>
      <c r="I50" s="2481">
        <v>0.3</v>
      </c>
      <c r="J50" s="724">
        <f t="shared" ref="J50:J58" si="9">K50+$G50</f>
        <v>0</v>
      </c>
      <c r="K50" s="724">
        <f t="shared" ref="K50:K58" si="10">$L50+$G50</f>
        <v>0</v>
      </c>
      <c r="L50" s="724">
        <v>0</v>
      </c>
      <c r="M50" s="724">
        <f t="shared" ref="M50:N58" si="11">L50-$G50</f>
        <v>0</v>
      </c>
      <c r="N50" s="724">
        <f t="shared" si="11"/>
        <v>0</v>
      </c>
      <c r="AA50" s="773"/>
      <c r="AB50" s="773"/>
      <c r="AC50" s="773"/>
      <c r="AD50" s="773"/>
      <c r="AE50" s="773"/>
      <c r="AF50" s="773"/>
      <c r="AG50" s="773"/>
      <c r="AH50" s="773"/>
      <c r="AI50" s="773"/>
      <c r="AJ50" s="773"/>
      <c r="AK50" s="773"/>
    </row>
    <row r="51" spans="1:37" s="772" customFormat="1" ht="14.25">
      <c r="A51" s="1588" t="s">
        <v>1965</v>
      </c>
      <c r="B51" s="931">
        <f>估价对象房地状况!C18</f>
        <v>0</v>
      </c>
      <c r="C51" s="1508"/>
      <c r="D51" s="725">
        <f t="shared" si="7"/>
        <v>0</v>
      </c>
      <c r="E51" s="508"/>
      <c r="F51" s="1327"/>
      <c r="G51" s="723"/>
      <c r="H51" s="726" t="str">
        <f t="shared" si="8"/>
        <v>——</v>
      </c>
      <c r="I51" s="2481">
        <v>0.22</v>
      </c>
      <c r="J51" s="724">
        <f t="shared" si="9"/>
        <v>0</v>
      </c>
      <c r="K51" s="724">
        <f t="shared" si="10"/>
        <v>0</v>
      </c>
      <c r="L51" s="724">
        <v>0</v>
      </c>
      <c r="M51" s="724">
        <f t="shared" si="11"/>
        <v>0</v>
      </c>
      <c r="N51" s="724">
        <f t="shared" si="11"/>
        <v>0</v>
      </c>
      <c r="AA51" s="773"/>
      <c r="AB51" s="773"/>
      <c r="AC51" s="773"/>
      <c r="AD51" s="773"/>
      <c r="AE51" s="773"/>
      <c r="AF51" s="773"/>
      <c r="AG51" s="773"/>
      <c r="AH51" s="773"/>
      <c r="AI51" s="773"/>
      <c r="AJ51" s="773"/>
      <c r="AK51" s="773"/>
    </row>
    <row r="52" spans="1:37" s="772" customFormat="1" ht="36">
      <c r="A52" s="2483" t="s">
        <v>3152</v>
      </c>
      <c r="B52" s="931">
        <f>估价对象房地状况!C19</f>
        <v>0</v>
      </c>
      <c r="C52" s="1508"/>
      <c r="D52" s="725">
        <f t="shared" si="7"/>
        <v>0</v>
      </c>
      <c r="E52" s="508"/>
      <c r="F52" s="1327"/>
      <c r="G52" s="723"/>
      <c r="H52" s="726" t="str">
        <f t="shared" si="8"/>
        <v>——</v>
      </c>
      <c r="I52" s="2481">
        <v>0.12</v>
      </c>
      <c r="J52" s="724">
        <f t="shared" si="9"/>
        <v>0</v>
      </c>
      <c r="K52" s="724">
        <f t="shared" si="10"/>
        <v>0</v>
      </c>
      <c r="L52" s="724">
        <v>0</v>
      </c>
      <c r="M52" s="724">
        <f t="shared" si="11"/>
        <v>0</v>
      </c>
      <c r="N52" s="724">
        <f t="shared" si="11"/>
        <v>0</v>
      </c>
      <c r="AA52" s="773"/>
      <c r="AB52" s="773"/>
      <c r="AC52" s="773"/>
      <c r="AD52" s="773"/>
      <c r="AE52" s="773"/>
      <c r="AF52" s="773"/>
      <c r="AG52" s="773"/>
      <c r="AH52" s="773"/>
      <c r="AI52" s="773"/>
      <c r="AJ52" s="773"/>
      <c r="AK52" s="773"/>
    </row>
    <row r="53" spans="1:37" s="772" customFormat="1" ht="36.75">
      <c r="A53" s="1588" t="s">
        <v>1966</v>
      </c>
      <c r="B53" s="1592" t="s">
        <v>1967</v>
      </c>
      <c r="C53" s="1508"/>
      <c r="D53" s="725">
        <f t="shared" si="7"/>
        <v>0</v>
      </c>
      <c r="E53" s="508"/>
      <c r="F53" s="1327"/>
      <c r="G53" s="723"/>
      <c r="H53" s="726" t="str">
        <f t="shared" si="8"/>
        <v>——</v>
      </c>
      <c r="I53" s="2481">
        <v>0.05</v>
      </c>
      <c r="J53" s="724">
        <f t="shared" si="9"/>
        <v>0</v>
      </c>
      <c r="K53" s="724">
        <f t="shared" si="10"/>
        <v>0</v>
      </c>
      <c r="L53" s="724">
        <v>0</v>
      </c>
      <c r="M53" s="724">
        <f t="shared" si="11"/>
        <v>0</v>
      </c>
      <c r="N53" s="724">
        <f t="shared" si="11"/>
        <v>0</v>
      </c>
      <c r="AA53" s="773"/>
      <c r="AB53" s="773"/>
      <c r="AC53" s="773"/>
      <c r="AD53" s="773"/>
      <c r="AE53" s="773"/>
      <c r="AF53" s="773"/>
      <c r="AG53" s="773"/>
      <c r="AH53" s="773"/>
      <c r="AI53" s="773"/>
      <c r="AJ53" s="773"/>
      <c r="AK53" s="773"/>
    </row>
    <row r="54" spans="1:37" s="772" customFormat="1" ht="24">
      <c r="A54" s="1588" t="s">
        <v>1968</v>
      </c>
      <c r="B54" s="931">
        <f>估价对象房地状况!C24</f>
        <v>0</v>
      </c>
      <c r="C54" s="1508"/>
      <c r="D54" s="725">
        <f t="shared" si="7"/>
        <v>0</v>
      </c>
      <c r="E54" s="508"/>
      <c r="F54" s="1327"/>
      <c r="G54" s="723"/>
      <c r="H54" s="726" t="str">
        <f t="shared" si="8"/>
        <v>——</v>
      </c>
      <c r="I54" s="2481">
        <v>0.08</v>
      </c>
      <c r="J54" s="724">
        <f t="shared" si="9"/>
        <v>0</v>
      </c>
      <c r="K54" s="724">
        <f t="shared" si="10"/>
        <v>0</v>
      </c>
      <c r="L54" s="724">
        <v>0</v>
      </c>
      <c r="M54" s="724">
        <f t="shared" si="11"/>
        <v>0</v>
      </c>
      <c r="N54" s="724">
        <f t="shared" si="11"/>
        <v>0</v>
      </c>
      <c r="AA54" s="773"/>
      <c r="AB54" s="773"/>
      <c r="AC54" s="773"/>
      <c r="AD54" s="773"/>
      <c r="AE54" s="773"/>
      <c r="AF54" s="773"/>
      <c r="AG54" s="773"/>
      <c r="AH54" s="773"/>
      <c r="AI54" s="773"/>
      <c r="AJ54" s="773"/>
      <c r="AK54" s="773"/>
    </row>
    <row r="55" spans="1:37" s="772" customFormat="1" ht="24">
      <c r="A55" s="1588" t="s">
        <v>1969</v>
      </c>
      <c r="B55" s="1593" t="s">
        <v>1970</v>
      </c>
      <c r="C55" s="1508"/>
      <c r="D55" s="725">
        <f t="shared" si="7"/>
        <v>0</v>
      </c>
      <c r="E55" s="508"/>
      <c r="F55" s="1327"/>
      <c r="G55" s="723"/>
      <c r="H55" s="726" t="str">
        <f t="shared" si="8"/>
        <v>——</v>
      </c>
      <c r="I55" s="2481">
        <v>0.05</v>
      </c>
      <c r="J55" s="724">
        <f t="shared" si="9"/>
        <v>0</v>
      </c>
      <c r="K55" s="724">
        <f t="shared" si="10"/>
        <v>0</v>
      </c>
      <c r="L55" s="724">
        <v>0</v>
      </c>
      <c r="M55" s="724">
        <f t="shared" si="11"/>
        <v>0</v>
      </c>
      <c r="N55" s="724">
        <f t="shared" si="11"/>
        <v>0</v>
      </c>
      <c r="AA55" s="773"/>
      <c r="AB55" s="773"/>
      <c r="AC55" s="773"/>
      <c r="AD55" s="773"/>
      <c r="AE55" s="773"/>
      <c r="AF55" s="773"/>
      <c r="AG55" s="773"/>
      <c r="AH55" s="773"/>
      <c r="AI55" s="773"/>
      <c r="AJ55" s="773"/>
      <c r="AK55" s="773"/>
    </row>
    <row r="56" spans="1:37" s="772" customFormat="1" ht="24">
      <c r="A56" s="1594" t="s">
        <v>1971</v>
      </c>
      <c r="B56" s="911">
        <f>估价对象房地状况!C21</f>
        <v>0</v>
      </c>
      <c r="C56" s="1508"/>
      <c r="D56" s="725">
        <f t="shared" si="7"/>
        <v>0</v>
      </c>
      <c r="E56" s="508"/>
      <c r="F56" s="1327"/>
      <c r="G56" s="723"/>
      <c r="H56" s="726" t="str">
        <f t="shared" si="8"/>
        <v>——</v>
      </c>
      <c r="I56" s="2481">
        <v>0.05</v>
      </c>
      <c r="J56" s="724">
        <f t="shared" si="9"/>
        <v>0</v>
      </c>
      <c r="K56" s="724">
        <f t="shared" si="10"/>
        <v>0</v>
      </c>
      <c r="L56" s="724">
        <v>0</v>
      </c>
      <c r="M56" s="724">
        <f t="shared" si="11"/>
        <v>0</v>
      </c>
      <c r="N56" s="724">
        <f t="shared" si="11"/>
        <v>0</v>
      </c>
      <c r="AA56" s="773"/>
      <c r="AB56" s="773"/>
      <c r="AC56" s="773"/>
      <c r="AD56" s="773"/>
      <c r="AE56" s="773"/>
      <c r="AF56" s="773"/>
      <c r="AG56" s="773"/>
      <c r="AH56" s="773"/>
      <c r="AI56" s="773"/>
      <c r="AJ56" s="773"/>
      <c r="AK56" s="773"/>
    </row>
    <row r="57" spans="1:37" s="772" customFormat="1" ht="24">
      <c r="A57" s="1594" t="s">
        <v>1972</v>
      </c>
      <c r="B57" s="931">
        <f>估价对象房地状况!C22</f>
        <v>0</v>
      </c>
      <c r="C57" s="1508"/>
      <c r="D57" s="725">
        <f t="shared" si="7"/>
        <v>0</v>
      </c>
      <c r="E57" s="508"/>
      <c r="F57" s="1327"/>
      <c r="G57" s="723"/>
      <c r="H57" s="726" t="str">
        <f t="shared" si="8"/>
        <v>——</v>
      </c>
      <c r="I57" s="2481">
        <v>0.08</v>
      </c>
      <c r="J57" s="724">
        <f t="shared" si="9"/>
        <v>0</v>
      </c>
      <c r="K57" s="724">
        <f t="shared" si="10"/>
        <v>0</v>
      </c>
      <c r="L57" s="724">
        <v>0</v>
      </c>
      <c r="M57" s="724">
        <f t="shared" si="11"/>
        <v>0</v>
      </c>
      <c r="N57" s="724">
        <f t="shared" si="11"/>
        <v>0</v>
      </c>
      <c r="AA57" s="773"/>
      <c r="AB57" s="773"/>
      <c r="AC57" s="773"/>
      <c r="AD57" s="773"/>
      <c r="AE57" s="773"/>
      <c r="AF57" s="773"/>
      <c r="AG57" s="773"/>
      <c r="AH57" s="773"/>
      <c r="AI57" s="773"/>
      <c r="AJ57" s="773"/>
      <c r="AK57" s="773"/>
    </row>
    <row r="58" spans="1:37" s="772" customFormat="1" ht="24.75" thickBot="1">
      <c r="A58" s="1595" t="s">
        <v>1973</v>
      </c>
      <c r="B58" s="1596">
        <f>估价对象房地状况!C20</f>
        <v>0</v>
      </c>
      <c r="C58" s="1508"/>
      <c r="D58" s="725">
        <f t="shared" si="7"/>
        <v>0</v>
      </c>
      <c r="E58" s="509"/>
      <c r="F58" s="1327"/>
      <c r="G58" s="723"/>
      <c r="H58" s="726" t="str">
        <f t="shared" si="8"/>
        <v>——</v>
      </c>
      <c r="I58" s="2482">
        <v>0.05</v>
      </c>
      <c r="J58" s="724">
        <f t="shared" si="9"/>
        <v>0</v>
      </c>
      <c r="K58" s="724">
        <f t="shared" si="10"/>
        <v>0</v>
      </c>
      <c r="L58" s="724">
        <v>0</v>
      </c>
      <c r="M58" s="724">
        <f t="shared" si="11"/>
        <v>0</v>
      </c>
      <c r="N58" s="724">
        <f t="shared" si="11"/>
        <v>0</v>
      </c>
      <c r="AA58" s="773"/>
      <c r="AB58" s="773"/>
      <c r="AC58" s="773"/>
      <c r="AD58" s="773"/>
      <c r="AE58" s="773"/>
      <c r="AF58" s="773"/>
      <c r="AG58" s="773"/>
      <c r="AH58" s="773"/>
      <c r="AI58" s="773"/>
      <c r="AJ58" s="773"/>
      <c r="AK58" s="773"/>
    </row>
    <row r="59" spans="1:37" s="772" customFormat="1" ht="15">
      <c r="A59" s="1585" t="s">
        <v>1974</v>
      </c>
      <c r="B59" s="1586">
        <f>1+E61</f>
        <v>1</v>
      </c>
      <c r="C59" s="504"/>
      <c r="D59" s="504"/>
      <c r="E59" s="505"/>
      <c r="F59" s="1587"/>
      <c r="G59" s="3"/>
      <c r="H59" s="3"/>
      <c r="I59" s="3"/>
      <c r="J59" s="4"/>
      <c r="K59" s="4"/>
      <c r="L59" s="4"/>
      <c r="M59" s="4"/>
      <c r="N59" s="4"/>
      <c r="AA59" s="773"/>
      <c r="AB59" s="773"/>
      <c r="AC59" s="773"/>
      <c r="AD59" s="773"/>
      <c r="AE59" s="773"/>
      <c r="AF59" s="773"/>
      <c r="AG59" s="773"/>
      <c r="AH59" s="773"/>
      <c r="AI59" s="773"/>
      <c r="AJ59" s="773"/>
      <c r="AK59" s="773"/>
    </row>
    <row r="60" spans="1:37" s="772" customFormat="1" ht="24.75">
      <c r="A60" s="1588" t="s">
        <v>1956</v>
      </c>
      <c r="B60" s="931"/>
      <c r="C60" s="931" t="s">
        <v>1958</v>
      </c>
      <c r="D60" s="931" t="s">
        <v>1959</v>
      </c>
      <c r="E60" s="506" t="s">
        <v>1960</v>
      </c>
      <c r="F60" s="1589" t="s">
        <v>1975</v>
      </c>
      <c r="G60" s="931" t="s">
        <v>308</v>
      </c>
      <c r="H60" s="1590" t="s">
        <v>1962</v>
      </c>
      <c r="I60" s="931" t="s">
        <v>1963</v>
      </c>
      <c r="J60" s="389" t="s">
        <v>1633</v>
      </c>
      <c r="K60" s="389" t="s">
        <v>1634</v>
      </c>
      <c r="L60" s="389" t="s">
        <v>1635</v>
      </c>
      <c r="M60" s="389" t="s">
        <v>1636</v>
      </c>
      <c r="N60" s="389" t="s">
        <v>1637</v>
      </c>
      <c r="AA60" s="773"/>
      <c r="AB60" s="773"/>
      <c r="AC60" s="773"/>
      <c r="AD60" s="773"/>
      <c r="AE60" s="773"/>
      <c r="AF60" s="773"/>
      <c r="AG60" s="773"/>
      <c r="AH60" s="773"/>
      <c r="AI60" s="773"/>
      <c r="AJ60" s="773"/>
      <c r="AK60" s="773"/>
    </row>
    <row r="61" spans="1:37" s="772" customFormat="1" ht="24">
      <c r="A61" s="1588" t="s">
        <v>1976</v>
      </c>
      <c r="B61" s="1591">
        <f>估价对象房地状况!C17</f>
        <v>0</v>
      </c>
      <c r="C61" s="1508"/>
      <c r="D61" s="725">
        <f t="shared" ref="D61:D69" si="12">SUMIF($J$60:$N$60,C61,J61:N61)</f>
        <v>0</v>
      </c>
      <c r="E61" s="507">
        <f>ROUND(SUM(D61:D69),4)</f>
        <v>0</v>
      </c>
      <c r="F61" s="1327" t="str">
        <f>IF(E2="办公",SUMIF(L1:L12,G2,N1:N12),"——")</f>
        <v>——</v>
      </c>
      <c r="G61" s="723"/>
      <c r="H61" s="726" t="str">
        <f t="shared" ref="H61:H69" si="13">IFERROR(ROUNDDOWN($F$61*I61/2,4),"——")</f>
        <v>——</v>
      </c>
      <c r="I61" s="2481">
        <v>0.25</v>
      </c>
      <c r="J61" s="724">
        <f t="shared" ref="J61:J69" si="14">K61+$G61</f>
        <v>0</v>
      </c>
      <c r="K61" s="724">
        <f t="shared" ref="K61:K69" si="15">$L61+$G61</f>
        <v>0</v>
      </c>
      <c r="L61" s="724">
        <v>0</v>
      </c>
      <c r="M61" s="724">
        <f t="shared" ref="M61:N69" si="16">L61-$G61</f>
        <v>0</v>
      </c>
      <c r="N61" s="724">
        <f t="shared" si="16"/>
        <v>0</v>
      </c>
      <c r="AA61" s="773"/>
      <c r="AB61" s="773"/>
      <c r="AC61" s="773"/>
      <c r="AD61" s="773"/>
      <c r="AE61" s="773"/>
      <c r="AF61" s="773"/>
      <c r="AG61" s="773"/>
      <c r="AH61" s="773"/>
      <c r="AI61" s="773"/>
      <c r="AJ61" s="773"/>
      <c r="AK61" s="773"/>
    </row>
    <row r="62" spans="1:37" s="772" customFormat="1" ht="14.25">
      <c r="A62" s="1588" t="s">
        <v>1965</v>
      </c>
      <c r="B62" s="931">
        <f>估价对象房地状况!C18</f>
        <v>0</v>
      </c>
      <c r="C62" s="1508"/>
      <c r="D62" s="725">
        <f t="shared" si="12"/>
        <v>0</v>
      </c>
      <c r="E62" s="508"/>
      <c r="F62" s="1327"/>
      <c r="G62" s="723"/>
      <c r="H62" s="726" t="str">
        <f t="shared" si="13"/>
        <v>——</v>
      </c>
      <c r="I62" s="2481">
        <v>0.26</v>
      </c>
      <c r="J62" s="724">
        <f t="shared" si="14"/>
        <v>0</v>
      </c>
      <c r="K62" s="724">
        <f t="shared" si="15"/>
        <v>0</v>
      </c>
      <c r="L62" s="724">
        <v>0</v>
      </c>
      <c r="M62" s="724">
        <f t="shared" si="16"/>
        <v>0</v>
      </c>
      <c r="N62" s="724">
        <f t="shared" si="16"/>
        <v>0</v>
      </c>
      <c r="AA62" s="773"/>
      <c r="AB62" s="773"/>
      <c r="AC62" s="773"/>
      <c r="AD62" s="773"/>
      <c r="AE62" s="773"/>
      <c r="AF62" s="773"/>
      <c r="AG62" s="773"/>
      <c r="AH62" s="773"/>
      <c r="AI62" s="773"/>
      <c r="AJ62" s="773"/>
      <c r="AK62" s="773"/>
    </row>
    <row r="63" spans="1:37" s="772" customFormat="1" ht="36">
      <c r="A63" s="2483" t="s">
        <v>3152</v>
      </c>
      <c r="B63" s="931">
        <f>估价对象房地状况!C19</f>
        <v>0</v>
      </c>
      <c r="C63" s="1508"/>
      <c r="D63" s="725">
        <f t="shared" si="12"/>
        <v>0</v>
      </c>
      <c r="E63" s="508"/>
      <c r="F63" s="1327"/>
      <c r="G63" s="723"/>
      <c r="H63" s="726" t="str">
        <f t="shared" si="13"/>
        <v>——</v>
      </c>
      <c r="I63" s="2481">
        <v>0.11</v>
      </c>
      <c r="J63" s="724">
        <f t="shared" si="14"/>
        <v>0</v>
      </c>
      <c r="K63" s="724">
        <f t="shared" si="15"/>
        <v>0</v>
      </c>
      <c r="L63" s="724">
        <v>0</v>
      </c>
      <c r="M63" s="724">
        <f t="shared" si="16"/>
        <v>0</v>
      </c>
      <c r="N63" s="724">
        <f t="shared" si="16"/>
        <v>0</v>
      </c>
      <c r="AA63" s="773"/>
      <c r="AB63" s="773"/>
      <c r="AC63" s="773"/>
      <c r="AD63" s="773"/>
      <c r="AE63" s="773"/>
      <c r="AF63" s="773"/>
      <c r="AG63" s="773"/>
      <c r="AH63" s="773"/>
      <c r="AI63" s="773"/>
      <c r="AJ63" s="773"/>
      <c r="AK63" s="773"/>
    </row>
    <row r="64" spans="1:37" s="772" customFormat="1" ht="36.75">
      <c r="A64" s="1588" t="s">
        <v>1966</v>
      </c>
      <c r="B64" s="1592" t="s">
        <v>1967</v>
      </c>
      <c r="C64" s="1508"/>
      <c r="D64" s="725">
        <f t="shared" si="12"/>
        <v>0</v>
      </c>
      <c r="E64" s="508"/>
      <c r="F64" s="1327"/>
      <c r="G64" s="723"/>
      <c r="H64" s="726" t="str">
        <f t="shared" si="13"/>
        <v>——</v>
      </c>
      <c r="I64" s="2481">
        <v>0.05</v>
      </c>
      <c r="J64" s="724">
        <f t="shared" si="14"/>
        <v>0</v>
      </c>
      <c r="K64" s="724">
        <f t="shared" si="15"/>
        <v>0</v>
      </c>
      <c r="L64" s="724">
        <v>0</v>
      </c>
      <c r="M64" s="724">
        <f t="shared" si="16"/>
        <v>0</v>
      </c>
      <c r="N64" s="724">
        <f t="shared" si="16"/>
        <v>0</v>
      </c>
      <c r="AA64" s="773"/>
      <c r="AB64" s="773"/>
      <c r="AC64" s="773"/>
      <c r="AD64" s="773"/>
      <c r="AE64" s="773"/>
      <c r="AF64" s="773"/>
      <c r="AG64" s="773"/>
      <c r="AH64" s="773"/>
      <c r="AI64" s="773"/>
      <c r="AJ64" s="773"/>
      <c r="AK64" s="773"/>
    </row>
    <row r="65" spans="1:37" s="772" customFormat="1" ht="24">
      <c r="A65" s="1588" t="s">
        <v>1968</v>
      </c>
      <c r="B65" s="931">
        <f>估价对象房地状况!C24</f>
        <v>0</v>
      </c>
      <c r="C65" s="1508"/>
      <c r="D65" s="725">
        <f t="shared" si="12"/>
        <v>0</v>
      </c>
      <c r="E65" s="508"/>
      <c r="F65" s="1327"/>
      <c r="G65" s="723"/>
      <c r="H65" s="726" t="str">
        <f t="shared" si="13"/>
        <v>——</v>
      </c>
      <c r="I65" s="2481">
        <v>0.05</v>
      </c>
      <c r="J65" s="724">
        <f t="shared" si="14"/>
        <v>0</v>
      </c>
      <c r="K65" s="724">
        <f t="shared" si="15"/>
        <v>0</v>
      </c>
      <c r="L65" s="724">
        <v>0</v>
      </c>
      <c r="M65" s="724">
        <f t="shared" si="16"/>
        <v>0</v>
      </c>
      <c r="N65" s="724">
        <f t="shared" si="16"/>
        <v>0</v>
      </c>
      <c r="AA65" s="773"/>
      <c r="AB65" s="773"/>
      <c r="AC65" s="773"/>
      <c r="AD65" s="773"/>
      <c r="AE65" s="773"/>
      <c r="AF65" s="773"/>
      <c r="AG65" s="773"/>
      <c r="AH65" s="773"/>
      <c r="AI65" s="773"/>
      <c r="AJ65" s="773"/>
      <c r="AK65" s="773"/>
    </row>
    <row r="66" spans="1:37" s="772" customFormat="1" ht="24">
      <c r="A66" s="1588" t="s">
        <v>1969</v>
      </c>
      <c r="B66" s="1593" t="s">
        <v>1970</v>
      </c>
      <c r="C66" s="1508"/>
      <c r="D66" s="725">
        <f t="shared" si="12"/>
        <v>0</v>
      </c>
      <c r="E66" s="508"/>
      <c r="F66" s="1327"/>
      <c r="G66" s="723"/>
      <c r="H66" s="726" t="str">
        <f t="shared" si="13"/>
        <v>——</v>
      </c>
      <c r="I66" s="2481">
        <v>0.06</v>
      </c>
      <c r="J66" s="724">
        <f t="shared" si="14"/>
        <v>0</v>
      </c>
      <c r="K66" s="724">
        <f t="shared" si="15"/>
        <v>0</v>
      </c>
      <c r="L66" s="724">
        <v>0</v>
      </c>
      <c r="M66" s="724">
        <f t="shared" si="16"/>
        <v>0</v>
      </c>
      <c r="N66" s="724">
        <f t="shared" si="16"/>
        <v>0</v>
      </c>
      <c r="AA66" s="773"/>
      <c r="AB66" s="773"/>
      <c r="AC66" s="773"/>
      <c r="AD66" s="773"/>
      <c r="AE66" s="773"/>
      <c r="AF66" s="773"/>
      <c r="AG66" s="773"/>
      <c r="AH66" s="773"/>
      <c r="AI66" s="773"/>
      <c r="AJ66" s="773"/>
      <c r="AK66" s="773"/>
    </row>
    <row r="67" spans="1:37" s="772" customFormat="1" ht="24">
      <c r="A67" s="1588" t="s">
        <v>1971</v>
      </c>
      <c r="B67" s="911">
        <f>估价对象房地状况!C21</f>
        <v>0</v>
      </c>
      <c r="C67" s="1508"/>
      <c r="D67" s="725">
        <f t="shared" si="12"/>
        <v>0</v>
      </c>
      <c r="E67" s="508"/>
      <c r="F67" s="1327"/>
      <c r="G67" s="723"/>
      <c r="H67" s="726" t="str">
        <f t="shared" si="13"/>
        <v>——</v>
      </c>
      <c r="I67" s="2481">
        <v>0.06</v>
      </c>
      <c r="J67" s="724">
        <f t="shared" si="14"/>
        <v>0</v>
      </c>
      <c r="K67" s="724">
        <f t="shared" si="15"/>
        <v>0</v>
      </c>
      <c r="L67" s="724">
        <v>0</v>
      </c>
      <c r="M67" s="724">
        <f t="shared" si="16"/>
        <v>0</v>
      </c>
      <c r="N67" s="724">
        <f t="shared" si="16"/>
        <v>0</v>
      </c>
      <c r="AA67" s="773"/>
      <c r="AB67" s="773"/>
      <c r="AC67" s="773"/>
      <c r="AD67" s="773"/>
      <c r="AE67" s="773"/>
      <c r="AF67" s="773"/>
      <c r="AG67" s="773"/>
      <c r="AH67" s="773"/>
      <c r="AI67" s="773"/>
      <c r="AJ67" s="773"/>
      <c r="AK67" s="773"/>
    </row>
    <row r="68" spans="1:37" s="772" customFormat="1" ht="24">
      <c r="A68" s="1588" t="s">
        <v>1972</v>
      </c>
      <c r="B68" s="911">
        <f>估价对象房地状况!C22</f>
        <v>0</v>
      </c>
      <c r="C68" s="1508"/>
      <c r="D68" s="725">
        <f t="shared" si="12"/>
        <v>0</v>
      </c>
      <c r="E68" s="508"/>
      <c r="F68" s="1327"/>
      <c r="G68" s="723"/>
      <c r="H68" s="726" t="str">
        <f t="shared" si="13"/>
        <v>——</v>
      </c>
      <c r="I68" s="2481">
        <v>0.09</v>
      </c>
      <c r="J68" s="724">
        <f t="shared" si="14"/>
        <v>0</v>
      </c>
      <c r="K68" s="724">
        <f t="shared" si="15"/>
        <v>0</v>
      </c>
      <c r="L68" s="724">
        <v>0</v>
      </c>
      <c r="M68" s="724">
        <f t="shared" si="16"/>
        <v>0</v>
      </c>
      <c r="N68" s="724">
        <f t="shared" si="16"/>
        <v>0</v>
      </c>
      <c r="AA68" s="773"/>
      <c r="AB68" s="773"/>
      <c r="AC68" s="773"/>
      <c r="AD68" s="773"/>
      <c r="AE68" s="773"/>
      <c r="AF68" s="773"/>
      <c r="AG68" s="773"/>
      <c r="AH68" s="773"/>
      <c r="AI68" s="773"/>
      <c r="AJ68" s="773"/>
      <c r="AK68" s="773"/>
    </row>
    <row r="69" spans="1:37" s="772" customFormat="1" ht="24.75" thickBot="1">
      <c r="A69" s="1595" t="s">
        <v>1973</v>
      </c>
      <c r="B69" s="1597">
        <f>估价对象房地状况!C20</f>
        <v>0</v>
      </c>
      <c r="C69" s="1508"/>
      <c r="D69" s="725">
        <f t="shared" si="12"/>
        <v>0</v>
      </c>
      <c r="E69" s="509"/>
      <c r="F69" s="1327"/>
      <c r="G69" s="723"/>
      <c r="H69" s="726" t="str">
        <f t="shared" si="13"/>
        <v>——</v>
      </c>
      <c r="I69" s="2482">
        <v>7.0000000000000007E-2</v>
      </c>
      <c r="J69" s="724">
        <f t="shared" si="14"/>
        <v>0</v>
      </c>
      <c r="K69" s="724">
        <f t="shared" si="15"/>
        <v>0</v>
      </c>
      <c r="L69" s="724">
        <v>0</v>
      </c>
      <c r="M69" s="724">
        <f t="shared" si="16"/>
        <v>0</v>
      </c>
      <c r="N69" s="724">
        <f t="shared" si="16"/>
        <v>0</v>
      </c>
      <c r="AA69" s="773"/>
      <c r="AB69" s="773"/>
      <c r="AC69" s="773"/>
      <c r="AD69" s="773"/>
      <c r="AE69" s="773"/>
      <c r="AF69" s="773"/>
      <c r="AG69" s="773"/>
      <c r="AH69" s="773"/>
      <c r="AI69" s="773"/>
      <c r="AJ69" s="773"/>
      <c r="AK69" s="773"/>
    </row>
    <row r="70" spans="1:37" s="772" customFormat="1" ht="15">
      <c r="A70" s="1585" t="s">
        <v>1977</v>
      </c>
      <c r="B70" s="1586">
        <f>1+E72</f>
        <v>1</v>
      </c>
      <c r="C70" s="504"/>
      <c r="D70" s="504"/>
      <c r="E70" s="505"/>
      <c r="F70" s="1587"/>
      <c r="G70" s="3"/>
      <c r="H70" s="3"/>
      <c r="I70" s="3"/>
      <c r="J70" s="4"/>
      <c r="K70" s="4"/>
      <c r="L70" s="4"/>
      <c r="M70" s="4"/>
      <c r="N70" s="4"/>
      <c r="AA70" s="773"/>
      <c r="AB70" s="773"/>
      <c r="AC70" s="773"/>
      <c r="AD70" s="773"/>
      <c r="AE70" s="773"/>
      <c r="AF70" s="773"/>
      <c r="AG70" s="773"/>
      <c r="AH70" s="773"/>
      <c r="AI70" s="773"/>
      <c r="AJ70" s="773"/>
      <c r="AK70" s="773"/>
    </row>
    <row r="71" spans="1:37" s="772" customFormat="1" ht="24.75">
      <c r="A71" s="1588" t="s">
        <v>1956</v>
      </c>
      <c r="B71" s="931"/>
      <c r="C71" s="931" t="s">
        <v>1958</v>
      </c>
      <c r="D71" s="931" t="s">
        <v>1959</v>
      </c>
      <c r="E71" s="506" t="s">
        <v>1960</v>
      </c>
      <c r="F71" s="1589" t="s">
        <v>1975</v>
      </c>
      <c r="G71" s="931" t="s">
        <v>308</v>
      </c>
      <c r="H71" s="1590" t="s">
        <v>1962</v>
      </c>
      <c r="I71" s="931" t="s">
        <v>1963</v>
      </c>
      <c r="J71" s="389" t="s">
        <v>1633</v>
      </c>
      <c r="K71" s="389" t="s">
        <v>1634</v>
      </c>
      <c r="L71" s="389" t="s">
        <v>1635</v>
      </c>
      <c r="M71" s="389" t="s">
        <v>1636</v>
      </c>
      <c r="N71" s="389" t="s">
        <v>1637</v>
      </c>
      <c r="AA71" s="773"/>
      <c r="AB71" s="773"/>
      <c r="AC71" s="773"/>
      <c r="AD71" s="773"/>
      <c r="AE71" s="773"/>
      <c r="AF71" s="773"/>
      <c r="AG71" s="773"/>
      <c r="AH71" s="773"/>
      <c r="AI71" s="773"/>
      <c r="AJ71" s="773"/>
      <c r="AK71" s="773"/>
    </row>
    <row r="72" spans="1:37" s="772" customFormat="1" ht="24">
      <c r="A72" s="1588" t="s">
        <v>1978</v>
      </c>
      <c r="B72" s="1591">
        <f>估价对象房地状况!C15</f>
        <v>0</v>
      </c>
      <c r="C72" s="1508"/>
      <c r="D72" s="725">
        <f t="shared" ref="D72:D80" si="17">SUMIF($J$71:$N$71,C72,J72:N72)</f>
        <v>0</v>
      </c>
      <c r="E72" s="507">
        <f>ROUND(SUM(D72:D80),4)</f>
        <v>0</v>
      </c>
      <c r="F72" s="1327" t="str">
        <f>IF(E2="住宅",SUMIF(L1:L12,G2,N1:N12),"——")</f>
        <v>——</v>
      </c>
      <c r="G72" s="723"/>
      <c r="H72" s="726" t="str">
        <f t="shared" ref="H72:H80" si="18">IFERROR(ROUNDDOWN($F$72*I72/2,4),"——")</f>
        <v>——</v>
      </c>
      <c r="I72" s="2481">
        <v>0.2</v>
      </c>
      <c r="J72" s="724">
        <f t="shared" ref="J72:J80" si="19">K72+$G72</f>
        <v>0</v>
      </c>
      <c r="K72" s="724">
        <f t="shared" ref="K72:K80" si="20">$L72+$G72</f>
        <v>0</v>
      </c>
      <c r="L72" s="724">
        <v>0</v>
      </c>
      <c r="M72" s="724">
        <f t="shared" ref="M72:N80" si="21">L72-$G72</f>
        <v>0</v>
      </c>
      <c r="N72" s="724">
        <f t="shared" si="21"/>
        <v>0</v>
      </c>
      <c r="AA72" s="773"/>
      <c r="AB72" s="773"/>
      <c r="AC72" s="773"/>
      <c r="AD72" s="773"/>
      <c r="AE72" s="773"/>
      <c r="AF72" s="773"/>
      <c r="AG72" s="773"/>
      <c r="AH72" s="773"/>
      <c r="AI72" s="773"/>
      <c r="AJ72" s="773"/>
      <c r="AK72" s="773"/>
    </row>
    <row r="73" spans="1:37" s="772" customFormat="1" ht="14.25">
      <c r="A73" s="1588" t="s">
        <v>1965</v>
      </c>
      <c r="B73" s="931">
        <f>估价对象房地状况!C18</f>
        <v>0</v>
      </c>
      <c r="C73" s="1508"/>
      <c r="D73" s="725">
        <f t="shared" si="17"/>
        <v>0</v>
      </c>
      <c r="E73" s="510"/>
      <c r="F73" s="1327"/>
      <c r="G73" s="723"/>
      <c r="H73" s="726" t="str">
        <f t="shared" si="18"/>
        <v>——</v>
      </c>
      <c r="I73" s="2481">
        <v>0.26</v>
      </c>
      <c r="J73" s="724">
        <f t="shared" si="19"/>
        <v>0</v>
      </c>
      <c r="K73" s="724">
        <f t="shared" si="20"/>
        <v>0</v>
      </c>
      <c r="L73" s="724">
        <v>0</v>
      </c>
      <c r="M73" s="724">
        <f t="shared" si="21"/>
        <v>0</v>
      </c>
      <c r="N73" s="724">
        <f t="shared" si="21"/>
        <v>0</v>
      </c>
      <c r="AA73" s="773"/>
      <c r="AB73" s="773"/>
      <c r="AC73" s="773"/>
      <c r="AD73" s="773"/>
      <c r="AE73" s="773"/>
      <c r="AF73" s="773"/>
      <c r="AG73" s="773"/>
      <c r="AH73" s="773"/>
      <c r="AI73" s="773"/>
      <c r="AJ73" s="773"/>
      <c r="AK73" s="773"/>
    </row>
    <row r="74" spans="1:37" s="1465" customFormat="1" ht="36">
      <c r="A74" s="2483" t="s">
        <v>3152</v>
      </c>
      <c r="B74" s="931">
        <f>估价对象房地状况!C19</f>
        <v>0</v>
      </c>
      <c r="C74" s="1508"/>
      <c r="D74" s="725">
        <f t="shared" si="17"/>
        <v>0</v>
      </c>
      <c r="E74" s="510"/>
      <c r="F74" s="1327"/>
      <c r="G74" s="723"/>
      <c r="H74" s="726" t="str">
        <f t="shared" si="18"/>
        <v>——</v>
      </c>
      <c r="I74" s="2481">
        <v>0.1</v>
      </c>
      <c r="J74" s="724">
        <f t="shared" si="19"/>
        <v>0</v>
      </c>
      <c r="K74" s="724">
        <f t="shared" si="20"/>
        <v>0</v>
      </c>
      <c r="L74" s="724">
        <v>0</v>
      </c>
      <c r="M74" s="724">
        <f t="shared" si="21"/>
        <v>0</v>
      </c>
      <c r="N74" s="724">
        <f t="shared" si="21"/>
        <v>0</v>
      </c>
      <c r="O74" s="772"/>
      <c r="P74" s="772"/>
      <c r="Q74" s="772"/>
      <c r="AA74" s="1598"/>
      <c r="AB74" s="773"/>
      <c r="AC74" s="773"/>
      <c r="AD74" s="773"/>
      <c r="AE74" s="773"/>
      <c r="AF74" s="773"/>
      <c r="AG74" s="773"/>
      <c r="AH74" s="1598"/>
      <c r="AI74" s="1598"/>
      <c r="AJ74" s="1598"/>
      <c r="AK74" s="1598"/>
    </row>
    <row r="75" spans="1:37" ht="14.25">
      <c r="A75" s="1588" t="s">
        <v>1979</v>
      </c>
      <c r="B75" s="931">
        <f>估价对象房地状况!C24</f>
        <v>0</v>
      </c>
      <c r="C75" s="1508"/>
      <c r="D75" s="725">
        <f t="shared" si="17"/>
        <v>0</v>
      </c>
      <c r="E75" s="510"/>
      <c r="F75" s="1327"/>
      <c r="G75" s="723"/>
      <c r="H75" s="726" t="str">
        <f t="shared" si="18"/>
        <v>——</v>
      </c>
      <c r="I75" s="2481">
        <v>0.05</v>
      </c>
      <c r="J75" s="724">
        <f t="shared" si="19"/>
        <v>0</v>
      </c>
      <c r="K75" s="724">
        <f t="shared" si="20"/>
        <v>0</v>
      </c>
      <c r="L75" s="724">
        <v>0</v>
      </c>
      <c r="M75" s="724">
        <f t="shared" si="21"/>
        <v>0</v>
      </c>
      <c r="N75" s="724">
        <f t="shared" si="21"/>
        <v>0</v>
      </c>
      <c r="O75" s="772"/>
      <c r="P75" s="772"/>
      <c r="Q75" s="1465"/>
      <c r="Z75" s="1466"/>
      <c r="AA75" s="1516"/>
      <c r="AG75" s="774"/>
      <c r="AK75" s="1516"/>
    </row>
    <row r="76" spans="1:37" ht="24">
      <c r="A76" s="1588" t="s">
        <v>1971</v>
      </c>
      <c r="B76" s="911">
        <f>估价对象房地状况!C21</f>
        <v>0</v>
      </c>
      <c r="C76" s="1508"/>
      <c r="D76" s="725">
        <f t="shared" si="17"/>
        <v>0</v>
      </c>
      <c r="E76" s="510"/>
      <c r="F76" s="1327"/>
      <c r="G76" s="723"/>
      <c r="H76" s="726" t="str">
        <f t="shared" si="18"/>
        <v>——</v>
      </c>
      <c r="I76" s="2481">
        <v>0.08</v>
      </c>
      <c r="J76" s="724">
        <f t="shared" si="19"/>
        <v>0</v>
      </c>
      <c r="K76" s="724">
        <f t="shared" si="20"/>
        <v>0</v>
      </c>
      <c r="L76" s="724">
        <v>0</v>
      </c>
      <c r="M76" s="724">
        <f t="shared" si="21"/>
        <v>0</v>
      </c>
      <c r="N76" s="724">
        <f t="shared" si="21"/>
        <v>0</v>
      </c>
      <c r="O76" s="772"/>
      <c r="P76" s="772"/>
      <c r="Z76" s="1466"/>
      <c r="AA76" s="1516"/>
      <c r="AG76" s="774"/>
      <c r="AK76" s="1516"/>
    </row>
    <row r="77" spans="1:37" ht="24">
      <c r="A77" s="1588" t="s">
        <v>1972</v>
      </c>
      <c r="B77" s="911">
        <f>估价对象房地状况!C22</f>
        <v>0</v>
      </c>
      <c r="C77" s="1508"/>
      <c r="D77" s="725">
        <f t="shared" si="17"/>
        <v>0</v>
      </c>
      <c r="E77" s="510"/>
      <c r="F77" s="1327"/>
      <c r="G77" s="723"/>
      <c r="H77" s="726" t="str">
        <f t="shared" si="18"/>
        <v>——</v>
      </c>
      <c r="I77" s="2481">
        <v>0.09</v>
      </c>
      <c r="J77" s="724">
        <f t="shared" si="19"/>
        <v>0</v>
      </c>
      <c r="K77" s="724">
        <f t="shared" si="20"/>
        <v>0</v>
      </c>
      <c r="L77" s="724">
        <v>0</v>
      </c>
      <c r="M77" s="724">
        <f t="shared" si="21"/>
        <v>0</v>
      </c>
      <c r="N77" s="724">
        <f t="shared" si="21"/>
        <v>0</v>
      </c>
      <c r="O77" s="772"/>
      <c r="P77" s="772"/>
      <c r="Z77" s="1466"/>
      <c r="AA77" s="1516"/>
      <c r="AG77" s="774"/>
      <c r="AK77" s="1516"/>
    </row>
    <row r="78" spans="1:37" ht="24">
      <c r="A78" s="1588" t="s">
        <v>1969</v>
      </c>
      <c r="B78" s="1593" t="s">
        <v>1970</v>
      </c>
      <c r="C78" s="1508"/>
      <c r="D78" s="725">
        <f t="shared" si="17"/>
        <v>0</v>
      </c>
      <c r="E78" s="510"/>
      <c r="F78" s="1327"/>
      <c r="G78" s="723"/>
      <c r="H78" s="726" t="str">
        <f t="shared" si="18"/>
        <v>——</v>
      </c>
      <c r="I78" s="2481">
        <v>0.05</v>
      </c>
      <c r="J78" s="724">
        <f t="shared" si="19"/>
        <v>0</v>
      </c>
      <c r="K78" s="724">
        <f t="shared" si="20"/>
        <v>0</v>
      </c>
      <c r="L78" s="724">
        <v>0</v>
      </c>
      <c r="M78" s="724">
        <f t="shared" si="21"/>
        <v>0</v>
      </c>
      <c r="N78" s="724">
        <f t="shared" si="21"/>
        <v>0</v>
      </c>
      <c r="O78" s="1465"/>
      <c r="P78" s="1465"/>
      <c r="Z78" s="1466"/>
      <c r="AA78" s="1516"/>
      <c r="AG78" s="774"/>
      <c r="AK78" s="1516"/>
    </row>
    <row r="79" spans="1:37" ht="24">
      <c r="A79" s="1588" t="s">
        <v>1973</v>
      </c>
      <c r="B79" s="1591">
        <f>估价对象房地状况!C20</f>
        <v>0</v>
      </c>
      <c r="C79" s="1508"/>
      <c r="D79" s="725">
        <f t="shared" si="17"/>
        <v>0</v>
      </c>
      <c r="E79" s="510"/>
      <c r="F79" s="1327"/>
      <c r="G79" s="723"/>
      <c r="H79" s="726" t="str">
        <f t="shared" si="18"/>
        <v>——</v>
      </c>
      <c r="I79" s="2481">
        <v>0.12</v>
      </c>
      <c r="J79" s="724">
        <f t="shared" si="19"/>
        <v>0</v>
      </c>
      <c r="K79" s="724">
        <f t="shared" si="20"/>
        <v>0</v>
      </c>
      <c r="L79" s="724">
        <v>0</v>
      </c>
      <c r="M79" s="724">
        <f t="shared" si="21"/>
        <v>0</v>
      </c>
      <c r="N79" s="724">
        <f t="shared" si="21"/>
        <v>0</v>
      </c>
      <c r="Z79" s="1466"/>
      <c r="AA79" s="1516"/>
      <c r="AG79" s="774"/>
      <c r="AK79" s="1516"/>
    </row>
    <row r="80" spans="1:37" ht="24.75" thickBot="1">
      <c r="A80" s="1595" t="s">
        <v>1980</v>
      </c>
      <c r="B80" s="1599"/>
      <c r="C80" s="1508"/>
      <c r="D80" s="725">
        <f t="shared" si="17"/>
        <v>0</v>
      </c>
      <c r="E80" s="511"/>
      <c r="F80" s="1327"/>
      <c r="G80" s="723"/>
      <c r="H80" s="726" t="str">
        <f t="shared" si="18"/>
        <v>——</v>
      </c>
      <c r="I80" s="2482">
        <v>0.05</v>
      </c>
      <c r="J80" s="724">
        <f t="shared" si="19"/>
        <v>0</v>
      </c>
      <c r="K80" s="724">
        <f t="shared" si="20"/>
        <v>0</v>
      </c>
      <c r="L80" s="724">
        <v>0</v>
      </c>
      <c r="M80" s="724">
        <f t="shared" si="21"/>
        <v>0</v>
      </c>
      <c r="N80" s="724">
        <f t="shared" si="21"/>
        <v>0</v>
      </c>
      <c r="Z80" s="1466"/>
      <c r="AA80" s="1516"/>
      <c r="AG80" s="774"/>
      <c r="AK80" s="1516"/>
    </row>
    <row r="81" spans="1:37" ht="15">
      <c r="A81" s="1585" t="s">
        <v>1981</v>
      </c>
      <c r="B81" s="1586">
        <f>1+E83</f>
        <v>1</v>
      </c>
      <c r="C81" s="504"/>
      <c r="D81" s="504"/>
      <c r="E81" s="505"/>
      <c r="F81" s="1587"/>
      <c r="G81" s="3"/>
      <c r="H81" s="3"/>
      <c r="I81" s="3"/>
      <c r="J81" s="4"/>
      <c r="K81" s="4"/>
      <c r="L81" s="4"/>
      <c r="M81" s="4"/>
      <c r="N81" s="4"/>
      <c r="Z81" s="1466"/>
      <c r="AA81" s="1516"/>
      <c r="AG81" s="774"/>
      <c r="AK81" s="1516"/>
    </row>
    <row r="82" spans="1:37" ht="24.75">
      <c r="A82" s="1588" t="s">
        <v>1956</v>
      </c>
      <c r="B82" s="931"/>
      <c r="C82" s="931" t="s">
        <v>1958</v>
      </c>
      <c r="D82" s="931" t="s">
        <v>1959</v>
      </c>
      <c r="E82" s="506" t="s">
        <v>1960</v>
      </c>
      <c r="F82" s="1589" t="s">
        <v>1975</v>
      </c>
      <c r="G82" s="931" t="s">
        <v>308</v>
      </c>
      <c r="H82" s="1590" t="s">
        <v>1962</v>
      </c>
      <c r="I82" s="931" t="s">
        <v>1963</v>
      </c>
      <c r="J82" s="389" t="s">
        <v>1633</v>
      </c>
      <c r="K82" s="389" t="s">
        <v>1634</v>
      </c>
      <c r="L82" s="389" t="s">
        <v>1635</v>
      </c>
      <c r="M82" s="389" t="s">
        <v>1636</v>
      </c>
      <c r="N82" s="389" t="s">
        <v>1637</v>
      </c>
      <c r="Z82" s="1466"/>
      <c r="AA82" s="1516"/>
      <c r="AG82" s="774"/>
      <c r="AK82" s="1516"/>
    </row>
    <row r="83" spans="1:37" ht="24">
      <c r="A83" s="1588" t="s">
        <v>1982</v>
      </c>
      <c r="B83" s="931">
        <f>估价对象房地状况!G15</f>
        <v>0</v>
      </c>
      <c r="C83" s="1508"/>
      <c r="D83" s="725">
        <f t="shared" ref="D83:D90" si="22">SUMIF($J$82:$N$82,C83,J83:N83)</f>
        <v>0</v>
      </c>
      <c r="E83" s="507">
        <f>ROUND(SUM(D83:D90),4)</f>
        <v>0</v>
      </c>
      <c r="F83" s="1327" t="str">
        <f>IF(E2="工业",SUMIF(L1:L12,G2,N1:N12),"——")</f>
        <v>——</v>
      </c>
      <c r="G83" s="723"/>
      <c r="H83" s="726" t="str">
        <f t="shared" ref="H83:H90" si="23">IFERROR(ROUNDDOWN($F$83*I83/2,4),"——")</f>
        <v>——</v>
      </c>
      <c r="I83" s="2481">
        <v>0.26</v>
      </c>
      <c r="J83" s="724">
        <f t="shared" ref="J83:J90" si="24">K83+$G83</f>
        <v>0</v>
      </c>
      <c r="K83" s="724">
        <f t="shared" ref="K83:K90" si="25">$L83+$G83</f>
        <v>0</v>
      </c>
      <c r="L83" s="724">
        <v>0</v>
      </c>
      <c r="M83" s="724">
        <f t="shared" ref="M83:N90" si="26">L83-$G83</f>
        <v>0</v>
      </c>
      <c r="N83" s="724">
        <f t="shared" si="26"/>
        <v>0</v>
      </c>
      <c r="Z83" s="1466"/>
      <c r="AA83" s="1516"/>
      <c r="AG83" s="774"/>
      <c r="AK83" s="1516"/>
    </row>
    <row r="84" spans="1:37" ht="14.25">
      <c r="A84" s="1588" t="s">
        <v>1965</v>
      </c>
      <c r="B84" s="931">
        <f>估价对象房地状况!G16</f>
        <v>0</v>
      </c>
      <c r="C84" s="1508"/>
      <c r="D84" s="725">
        <f t="shared" si="22"/>
        <v>0</v>
      </c>
      <c r="E84" s="510"/>
      <c r="F84" s="1327"/>
      <c r="G84" s="723"/>
      <c r="H84" s="726" t="str">
        <f t="shared" si="23"/>
        <v>——</v>
      </c>
      <c r="I84" s="2481">
        <v>0.3</v>
      </c>
      <c r="J84" s="724">
        <f t="shared" si="24"/>
        <v>0</v>
      </c>
      <c r="K84" s="724">
        <f t="shared" si="25"/>
        <v>0</v>
      </c>
      <c r="L84" s="724">
        <v>0</v>
      </c>
      <c r="M84" s="724">
        <f t="shared" si="26"/>
        <v>0</v>
      </c>
      <c r="N84" s="724">
        <f t="shared" si="26"/>
        <v>0</v>
      </c>
      <c r="Z84" s="1466"/>
      <c r="AA84" s="1516"/>
      <c r="AG84" s="774"/>
      <c r="AK84" s="1516"/>
    </row>
    <row r="85" spans="1:37" ht="36">
      <c r="A85" s="2483" t="s">
        <v>3153</v>
      </c>
      <c r="B85" s="931">
        <f>估价对象房地状况!G17</f>
        <v>0</v>
      </c>
      <c r="C85" s="1508"/>
      <c r="D85" s="725">
        <f t="shared" si="22"/>
        <v>0</v>
      </c>
      <c r="E85" s="510"/>
      <c r="F85" s="1327"/>
      <c r="G85" s="723"/>
      <c r="H85" s="726" t="str">
        <f t="shared" si="23"/>
        <v>——</v>
      </c>
      <c r="I85" s="2481">
        <v>0.1</v>
      </c>
      <c r="J85" s="724">
        <f t="shared" si="24"/>
        <v>0</v>
      </c>
      <c r="K85" s="724">
        <f t="shared" si="25"/>
        <v>0</v>
      </c>
      <c r="L85" s="724">
        <v>0</v>
      </c>
      <c r="M85" s="724">
        <f t="shared" si="26"/>
        <v>0</v>
      </c>
      <c r="N85" s="724">
        <f t="shared" si="26"/>
        <v>0</v>
      </c>
      <c r="Z85" s="1466"/>
      <c r="AA85" s="1516"/>
      <c r="AG85" s="774"/>
      <c r="AK85" s="1516"/>
    </row>
    <row r="86" spans="1:37" ht="14.25">
      <c r="A86" s="1588" t="s">
        <v>1979</v>
      </c>
      <c r="B86" s="931">
        <f>估价对象房地状况!G22</f>
        <v>0</v>
      </c>
      <c r="C86" s="1508"/>
      <c r="D86" s="725">
        <f t="shared" si="22"/>
        <v>0</v>
      </c>
      <c r="E86" s="510"/>
      <c r="F86" s="1327"/>
      <c r="G86" s="723"/>
      <c r="H86" s="726" t="str">
        <f t="shared" si="23"/>
        <v>——</v>
      </c>
      <c r="I86" s="2481">
        <v>0.05</v>
      </c>
      <c r="J86" s="724">
        <f t="shared" si="24"/>
        <v>0</v>
      </c>
      <c r="K86" s="724">
        <f t="shared" si="25"/>
        <v>0</v>
      </c>
      <c r="L86" s="724">
        <v>0</v>
      </c>
      <c r="M86" s="724">
        <f t="shared" si="26"/>
        <v>0</v>
      </c>
      <c r="N86" s="724">
        <f t="shared" si="26"/>
        <v>0</v>
      </c>
      <c r="Z86" s="1466"/>
      <c r="AA86" s="1516"/>
      <c r="AG86" s="774"/>
      <c r="AK86" s="1516"/>
    </row>
    <row r="87" spans="1:37" ht="24">
      <c r="A87" s="1588" t="s">
        <v>1971</v>
      </c>
      <c r="B87" s="911">
        <f>估价对象房地状况!G19</f>
        <v>0</v>
      </c>
      <c r="C87" s="1508"/>
      <c r="D87" s="725">
        <f t="shared" si="22"/>
        <v>0</v>
      </c>
      <c r="E87" s="510"/>
      <c r="F87" s="1327"/>
      <c r="G87" s="723"/>
      <c r="H87" s="726" t="str">
        <f t="shared" si="23"/>
        <v>——</v>
      </c>
      <c r="I87" s="2481">
        <v>0.06</v>
      </c>
      <c r="J87" s="724">
        <f t="shared" si="24"/>
        <v>0</v>
      </c>
      <c r="K87" s="724">
        <f t="shared" si="25"/>
        <v>0</v>
      </c>
      <c r="L87" s="724">
        <v>0</v>
      </c>
      <c r="M87" s="724">
        <f t="shared" si="26"/>
        <v>0</v>
      </c>
      <c r="N87" s="724">
        <f t="shared" si="26"/>
        <v>0</v>
      </c>
    </row>
    <row r="88" spans="1:37" ht="24">
      <c r="A88" s="1588" t="s">
        <v>1972</v>
      </c>
      <c r="B88" s="911">
        <f>估价对象房地状况!G20</f>
        <v>0</v>
      </c>
      <c r="C88" s="1508"/>
      <c r="D88" s="725">
        <f t="shared" si="22"/>
        <v>0</v>
      </c>
      <c r="E88" s="510"/>
      <c r="F88" s="1327"/>
      <c r="G88" s="723"/>
      <c r="H88" s="726" t="str">
        <f t="shared" si="23"/>
        <v>——</v>
      </c>
      <c r="I88" s="2481">
        <v>0.12</v>
      </c>
      <c r="J88" s="724">
        <f t="shared" si="24"/>
        <v>0</v>
      </c>
      <c r="K88" s="724">
        <f t="shared" si="25"/>
        <v>0</v>
      </c>
      <c r="L88" s="724">
        <v>0</v>
      </c>
      <c r="M88" s="724">
        <f t="shared" si="26"/>
        <v>0</v>
      </c>
      <c r="N88" s="724">
        <f t="shared" si="26"/>
        <v>0</v>
      </c>
    </row>
    <row r="89" spans="1:37" ht="24">
      <c r="A89" s="1588" t="s">
        <v>1969</v>
      </c>
      <c r="B89" s="1593" t="s">
        <v>1983</v>
      </c>
      <c r="C89" s="1508"/>
      <c r="D89" s="725">
        <f t="shared" si="22"/>
        <v>0</v>
      </c>
      <c r="E89" s="510"/>
      <c r="F89" s="1327"/>
      <c r="G89" s="723"/>
      <c r="H89" s="726" t="str">
        <f t="shared" si="23"/>
        <v>——</v>
      </c>
      <c r="I89" s="2481">
        <v>0.06</v>
      </c>
      <c r="J89" s="724">
        <f t="shared" si="24"/>
        <v>0</v>
      </c>
      <c r="K89" s="724">
        <f t="shared" si="25"/>
        <v>0</v>
      </c>
      <c r="L89" s="724">
        <v>0</v>
      </c>
      <c r="M89" s="724">
        <f t="shared" si="26"/>
        <v>0</v>
      </c>
      <c r="N89" s="724">
        <f t="shared" si="26"/>
        <v>0</v>
      </c>
    </row>
    <row r="90" spans="1:37" ht="15" thickBot="1">
      <c r="A90" s="1595" t="s">
        <v>1984</v>
      </c>
      <c r="B90" s="1600">
        <f>估价对象房地状况!G18</f>
        <v>0</v>
      </c>
      <c r="C90" s="1508"/>
      <c r="D90" s="725">
        <f t="shared" si="22"/>
        <v>0</v>
      </c>
      <c r="E90" s="511"/>
      <c r="F90" s="1327"/>
      <c r="G90" s="723"/>
      <c r="H90" s="726" t="str">
        <f t="shared" si="23"/>
        <v>——</v>
      </c>
      <c r="I90" s="2482">
        <v>0.05</v>
      </c>
      <c r="J90" s="724">
        <f t="shared" si="24"/>
        <v>0</v>
      </c>
      <c r="K90" s="724">
        <f t="shared" si="25"/>
        <v>0</v>
      </c>
      <c r="L90" s="724">
        <v>0</v>
      </c>
      <c r="M90" s="724">
        <f t="shared" si="26"/>
        <v>0</v>
      </c>
      <c r="N90" s="724">
        <f t="shared" si="26"/>
        <v>0</v>
      </c>
    </row>
    <row r="91" spans="1:37" ht="15">
      <c r="A91" s="2491" t="s">
        <v>2497</v>
      </c>
      <c r="B91" s="2492">
        <f>1+E93</f>
        <v>1</v>
      </c>
      <c r="C91" s="2485"/>
      <c r="D91" s="2486"/>
      <c r="E91" s="1327"/>
      <c r="F91" s="1327"/>
      <c r="G91" s="2487"/>
      <c r="H91" s="2488"/>
      <c r="I91" s="2489"/>
      <c r="J91" s="2490"/>
      <c r="K91" s="2490"/>
      <c r="L91" s="2490"/>
      <c r="M91" s="2490"/>
      <c r="N91" s="2490"/>
    </row>
    <row r="92" spans="1:37" ht="24.75">
      <c r="A92" s="2493" t="s">
        <v>3154</v>
      </c>
      <c r="B92" s="1881"/>
      <c r="C92" s="1881" t="s">
        <v>3163</v>
      </c>
      <c r="D92" s="1881" t="s">
        <v>3164</v>
      </c>
      <c r="E92" s="2466" t="s">
        <v>3165</v>
      </c>
      <c r="F92" s="2495" t="s">
        <v>3166</v>
      </c>
      <c r="G92" s="1881" t="s">
        <v>3167</v>
      </c>
      <c r="H92" s="2502" t="s">
        <v>3170</v>
      </c>
      <c r="I92" s="1881" t="s">
        <v>3171</v>
      </c>
      <c r="J92" s="1731" t="s">
        <v>3172</v>
      </c>
      <c r="K92" s="1731" t="s">
        <v>3173</v>
      </c>
      <c r="L92" s="1731" t="s">
        <v>3174</v>
      </c>
      <c r="M92" s="1731" t="s">
        <v>3175</v>
      </c>
      <c r="N92" s="1731" t="s">
        <v>3176</v>
      </c>
    </row>
    <row r="93" spans="1:37" ht="24">
      <c r="A93" s="2483" t="s">
        <v>3155</v>
      </c>
      <c r="B93" s="902"/>
      <c r="C93" s="1508"/>
      <c r="D93" s="1881">
        <f>SUMIF($J$92:$N$92,C93,J93:N93)</f>
        <v>0</v>
      </c>
      <c r="E93" s="2496">
        <f>ROUND(SUM(D93:D101),4)</f>
        <v>0</v>
      </c>
      <c r="F93" s="1327" t="str">
        <f>IF(E2="公共服务",SUMIF(L1:L12,G2,N1:N12),"——")</f>
        <v>——</v>
      </c>
      <c r="G93" s="2487"/>
      <c r="H93" s="2532" t="str">
        <f>IFERROR(ROUNDDOWN($F$93*I93/2,4),"——")</f>
        <v>——</v>
      </c>
      <c r="I93" s="2481">
        <v>0.25</v>
      </c>
      <c r="J93" s="1533">
        <f t="shared" ref="J93:J101" si="27">K93+$G93</f>
        <v>0</v>
      </c>
      <c r="K93" s="1533">
        <f t="shared" ref="K93:K101" si="28">$L93+$G93</f>
        <v>0</v>
      </c>
      <c r="L93" s="1533">
        <v>0</v>
      </c>
      <c r="M93" s="1533">
        <f t="shared" ref="M93:N101" si="29">L93-$G93</f>
        <v>0</v>
      </c>
      <c r="N93" s="1533">
        <f t="shared" si="29"/>
        <v>0</v>
      </c>
    </row>
    <row r="94" spans="1:37" ht="14.25">
      <c r="A94" s="2493" t="s">
        <v>3156</v>
      </c>
      <c r="B94" s="2484">
        <f>估价对象房地状况!C18</f>
        <v>0</v>
      </c>
      <c r="C94" s="1508"/>
      <c r="D94" s="1881">
        <f t="shared" ref="D94:D101" si="30">SUMIF($J$60:$N$60,C94,J94:N94)</f>
        <v>0</v>
      </c>
      <c r="E94" s="2497"/>
      <c r="F94" s="1327"/>
      <c r="G94" s="2487"/>
      <c r="H94" s="2532" t="str">
        <f>IFERROR(ROUNDDOWN($F$93*I94/2,4),"——")</f>
        <v>——</v>
      </c>
      <c r="I94" s="2481">
        <v>0.26</v>
      </c>
      <c r="J94" s="1533">
        <f t="shared" si="27"/>
        <v>0</v>
      </c>
      <c r="K94" s="1533">
        <f t="shared" si="28"/>
        <v>0</v>
      </c>
      <c r="L94" s="1533">
        <v>0</v>
      </c>
      <c r="M94" s="1533">
        <f t="shared" si="29"/>
        <v>0</v>
      </c>
      <c r="N94" s="1533">
        <f t="shared" si="29"/>
        <v>0</v>
      </c>
    </row>
    <row r="95" spans="1:37" ht="36">
      <c r="A95" s="2483" t="s">
        <v>3152</v>
      </c>
      <c r="B95" s="2484">
        <f>估价对象房地状况!C19</f>
        <v>0</v>
      </c>
      <c r="C95" s="1508"/>
      <c r="D95" s="1881">
        <f t="shared" si="30"/>
        <v>0</v>
      </c>
      <c r="E95" s="2497"/>
      <c r="F95" s="1327"/>
      <c r="G95" s="2487"/>
      <c r="H95" s="2532" t="str">
        <f t="shared" ref="H95:H101" si="31">IFERROR(ROUNDDOWN($F$93*I95/2,4),"——")</f>
        <v>——</v>
      </c>
      <c r="I95" s="2481">
        <v>0.11</v>
      </c>
      <c r="J95" s="1533">
        <f t="shared" si="27"/>
        <v>0</v>
      </c>
      <c r="K95" s="1533">
        <f t="shared" si="28"/>
        <v>0</v>
      </c>
      <c r="L95" s="1533">
        <v>0</v>
      </c>
      <c r="M95" s="1533">
        <f t="shared" si="29"/>
        <v>0</v>
      </c>
      <c r="N95" s="1533">
        <f t="shared" si="29"/>
        <v>0</v>
      </c>
    </row>
    <row r="96" spans="1:37" ht="36.75">
      <c r="A96" s="2493" t="s">
        <v>3157</v>
      </c>
      <c r="B96" s="2499" t="s">
        <v>3168</v>
      </c>
      <c r="C96" s="1508"/>
      <c r="D96" s="1881">
        <f t="shared" si="30"/>
        <v>0</v>
      </c>
      <c r="E96" s="2497"/>
      <c r="F96" s="1327"/>
      <c r="G96" s="2487"/>
      <c r="H96" s="2532" t="str">
        <f t="shared" si="31"/>
        <v>——</v>
      </c>
      <c r="I96" s="2481">
        <v>0.05</v>
      </c>
      <c r="J96" s="1533">
        <f t="shared" si="27"/>
        <v>0</v>
      </c>
      <c r="K96" s="1533">
        <f t="shared" si="28"/>
        <v>0</v>
      </c>
      <c r="L96" s="1533">
        <v>0</v>
      </c>
      <c r="M96" s="1533">
        <f t="shared" si="29"/>
        <v>0</v>
      </c>
      <c r="N96" s="1533">
        <f t="shared" si="29"/>
        <v>0</v>
      </c>
    </row>
    <row r="97" spans="1:14" ht="24">
      <c r="A97" s="2493" t="s">
        <v>3158</v>
      </c>
      <c r="B97" s="2484">
        <f>估价对象房地状况!C24</f>
        <v>0</v>
      </c>
      <c r="C97" s="1508"/>
      <c r="D97" s="1881">
        <f t="shared" si="30"/>
        <v>0</v>
      </c>
      <c r="E97" s="2497"/>
      <c r="F97" s="1327"/>
      <c r="G97" s="2487"/>
      <c r="H97" s="2532" t="str">
        <f t="shared" si="31"/>
        <v>——</v>
      </c>
      <c r="I97" s="2481">
        <v>0.05</v>
      </c>
      <c r="J97" s="1533">
        <f t="shared" si="27"/>
        <v>0</v>
      </c>
      <c r="K97" s="1533">
        <f t="shared" si="28"/>
        <v>0</v>
      </c>
      <c r="L97" s="1533">
        <v>0</v>
      </c>
      <c r="M97" s="1533">
        <f t="shared" si="29"/>
        <v>0</v>
      </c>
      <c r="N97" s="1533">
        <f t="shared" si="29"/>
        <v>0</v>
      </c>
    </row>
    <row r="98" spans="1:14" ht="24">
      <c r="A98" s="2493" t="s">
        <v>3159</v>
      </c>
      <c r="B98" s="2500" t="s">
        <v>3169</v>
      </c>
      <c r="C98" s="1508"/>
      <c r="D98" s="1881">
        <f t="shared" si="30"/>
        <v>0</v>
      </c>
      <c r="E98" s="2497"/>
      <c r="F98" s="1327"/>
      <c r="G98" s="2487"/>
      <c r="H98" s="2532" t="str">
        <f t="shared" si="31"/>
        <v>——</v>
      </c>
      <c r="I98" s="2481">
        <v>0.06</v>
      </c>
      <c r="J98" s="1533">
        <f t="shared" si="27"/>
        <v>0</v>
      </c>
      <c r="K98" s="1533">
        <f t="shared" si="28"/>
        <v>0</v>
      </c>
      <c r="L98" s="1533">
        <v>0</v>
      </c>
      <c r="M98" s="1533">
        <f t="shared" si="29"/>
        <v>0</v>
      </c>
      <c r="N98" s="1533">
        <f t="shared" si="29"/>
        <v>0</v>
      </c>
    </row>
    <row r="99" spans="1:14" ht="24">
      <c r="A99" s="2493" t="s">
        <v>3160</v>
      </c>
      <c r="B99" s="2484">
        <f>估价对象房地状况!C21</f>
        <v>0</v>
      </c>
      <c r="C99" s="1508"/>
      <c r="D99" s="1881">
        <f t="shared" si="30"/>
        <v>0</v>
      </c>
      <c r="E99" s="2497"/>
      <c r="F99" s="1327"/>
      <c r="G99" s="2487"/>
      <c r="H99" s="2532" t="str">
        <f t="shared" si="31"/>
        <v>——</v>
      </c>
      <c r="I99" s="2481">
        <v>0.06</v>
      </c>
      <c r="J99" s="1533">
        <f t="shared" si="27"/>
        <v>0</v>
      </c>
      <c r="K99" s="1533">
        <f t="shared" si="28"/>
        <v>0</v>
      </c>
      <c r="L99" s="1533">
        <v>0</v>
      </c>
      <c r="M99" s="1533">
        <f t="shared" si="29"/>
        <v>0</v>
      </c>
      <c r="N99" s="1533">
        <f t="shared" si="29"/>
        <v>0</v>
      </c>
    </row>
    <row r="100" spans="1:14" ht="24">
      <c r="A100" s="2493" t="s">
        <v>3161</v>
      </c>
      <c r="B100" s="2484">
        <f>估价对象房地状况!C22</f>
        <v>0</v>
      </c>
      <c r="C100" s="1508"/>
      <c r="D100" s="1881">
        <f t="shared" si="30"/>
        <v>0</v>
      </c>
      <c r="E100" s="2497"/>
      <c r="F100" s="1327"/>
      <c r="G100" s="2487"/>
      <c r="H100" s="2532" t="str">
        <f t="shared" si="31"/>
        <v>——</v>
      </c>
      <c r="I100" s="2481">
        <v>0.09</v>
      </c>
      <c r="J100" s="1533">
        <f t="shared" si="27"/>
        <v>0</v>
      </c>
      <c r="K100" s="1533">
        <f t="shared" si="28"/>
        <v>0</v>
      </c>
      <c r="L100" s="1533">
        <v>0</v>
      </c>
      <c r="M100" s="1533">
        <f t="shared" si="29"/>
        <v>0</v>
      </c>
      <c r="N100" s="1533">
        <f t="shared" si="29"/>
        <v>0</v>
      </c>
    </row>
    <row r="101" spans="1:14" ht="24.75" thickBot="1">
      <c r="A101" s="2494" t="s">
        <v>3162</v>
      </c>
      <c r="B101" s="2501">
        <f>估价对象房地状况!C20</f>
        <v>0</v>
      </c>
      <c r="C101" s="1508"/>
      <c r="D101" s="1881">
        <f t="shared" si="30"/>
        <v>0</v>
      </c>
      <c r="E101" s="2498"/>
      <c r="F101" s="1327"/>
      <c r="G101" s="2487"/>
      <c r="H101" s="2532" t="str">
        <f t="shared" si="31"/>
        <v>——</v>
      </c>
      <c r="I101" s="2482">
        <v>7.0000000000000007E-2</v>
      </c>
      <c r="J101" s="1533">
        <f t="shared" si="27"/>
        <v>0</v>
      </c>
      <c r="K101" s="1533">
        <f t="shared" si="28"/>
        <v>0</v>
      </c>
      <c r="L101" s="1533">
        <v>0</v>
      </c>
      <c r="M101" s="1533">
        <f t="shared" si="29"/>
        <v>0</v>
      </c>
      <c r="N101" s="1533">
        <f t="shared" si="29"/>
        <v>0</v>
      </c>
    </row>
    <row r="103" spans="1:14">
      <c r="A103" s="4732" t="s">
        <v>3177</v>
      </c>
      <c r="B103" s="4732"/>
      <c r="C103" s="4732"/>
      <c r="D103" s="4732"/>
      <c r="E103" s="4732"/>
      <c r="F103" s="4732"/>
      <c r="G103" s="4732"/>
      <c r="H103" s="4732"/>
      <c r="I103" s="4732"/>
      <c r="J103" s="4732"/>
      <c r="K103" s="1319"/>
      <c r="L103" s="1319"/>
      <c r="M103" s="1319"/>
      <c r="N103" s="1319"/>
    </row>
    <row r="104" spans="1:14">
      <c r="A104" s="4733" t="s">
        <v>3178</v>
      </c>
      <c r="B104" s="4733" t="s">
        <v>3179</v>
      </c>
      <c r="C104" s="2503" t="s">
        <v>3180</v>
      </c>
      <c r="D104" s="2504"/>
      <c r="E104" s="2504"/>
      <c r="F104" s="2504"/>
      <c r="G104" s="2504"/>
      <c r="H104" s="2504"/>
      <c r="I104" s="2504"/>
      <c r="J104" s="2505"/>
      <c r="K104" s="2506"/>
      <c r="L104" s="2506"/>
      <c r="M104" s="2506"/>
      <c r="N104" s="2506"/>
    </row>
    <row r="105" spans="1:14">
      <c r="A105" s="4733"/>
      <c r="B105" s="4733"/>
      <c r="C105" s="2507" t="s">
        <v>3181</v>
      </c>
      <c r="D105" s="2507" t="s">
        <v>3182</v>
      </c>
      <c r="E105" s="2507" t="s">
        <v>3183</v>
      </c>
      <c r="F105" s="2507" t="s">
        <v>3184</v>
      </c>
      <c r="G105" s="2507" t="s">
        <v>3185</v>
      </c>
      <c r="H105" s="2507" t="s">
        <v>3186</v>
      </c>
      <c r="I105" s="2507" t="s">
        <v>3187</v>
      </c>
      <c r="J105" s="2507" t="s">
        <v>3188</v>
      </c>
      <c r="K105" s="2507" t="s">
        <v>3189</v>
      </c>
      <c r="L105" s="2507" t="s">
        <v>3190</v>
      </c>
      <c r="M105" s="2507" t="s">
        <v>3191</v>
      </c>
      <c r="N105" s="2507" t="s">
        <v>3192</v>
      </c>
    </row>
    <row r="106" spans="1:14">
      <c r="A106" s="4723" t="s">
        <v>3193</v>
      </c>
      <c r="B106" s="2507">
        <v>1</v>
      </c>
      <c r="C106" s="2507">
        <v>1.5206</v>
      </c>
      <c r="D106" s="2507">
        <v>1.5206</v>
      </c>
      <c r="E106" s="2507">
        <v>1.5019</v>
      </c>
      <c r="F106" s="2507">
        <v>1.5019</v>
      </c>
      <c r="G106" s="2507">
        <v>1.5019</v>
      </c>
      <c r="H106" s="2507">
        <v>1.5019</v>
      </c>
      <c r="I106" s="2507">
        <v>1.5019</v>
      </c>
      <c r="J106" s="2507">
        <v>1.5418000000000001</v>
      </c>
      <c r="K106" s="2507">
        <v>1.5418000000000001</v>
      </c>
      <c r="L106" s="2507">
        <v>1.5418000000000001</v>
      </c>
      <c r="M106" s="2507">
        <v>1.5418000000000001</v>
      </c>
      <c r="N106" s="2507">
        <v>1.5418000000000001</v>
      </c>
    </row>
    <row r="107" spans="1:14">
      <c r="A107" s="4724"/>
      <c r="B107" s="2507">
        <v>2</v>
      </c>
      <c r="C107" s="2507">
        <v>1.2072000000000001</v>
      </c>
      <c r="D107" s="2507">
        <v>1.2072000000000001</v>
      </c>
      <c r="E107" s="2507">
        <v>1.1838</v>
      </c>
      <c r="F107" s="2507">
        <v>1.1838</v>
      </c>
      <c r="G107" s="2507">
        <v>1.1838</v>
      </c>
      <c r="H107" s="2507">
        <v>1.1838</v>
      </c>
      <c r="I107" s="2507">
        <v>1.1838</v>
      </c>
      <c r="J107" s="2507">
        <v>1.1883999999999999</v>
      </c>
      <c r="K107" s="2507">
        <v>1.1883999999999999</v>
      </c>
      <c r="L107" s="2507">
        <v>1.1883999999999999</v>
      </c>
      <c r="M107" s="2507">
        <v>1.1883999999999999</v>
      </c>
      <c r="N107" s="2507">
        <v>1.1883999999999999</v>
      </c>
    </row>
    <row r="108" spans="1:14">
      <c r="A108" s="4724"/>
      <c r="B108" s="2507">
        <v>3</v>
      </c>
      <c r="C108" s="2507">
        <v>1.0430999999999999</v>
      </c>
      <c r="D108" s="2507">
        <v>1.0430999999999999</v>
      </c>
      <c r="E108" s="2507">
        <v>1.0004999999999999</v>
      </c>
      <c r="F108" s="2507">
        <v>1.0004999999999999</v>
      </c>
      <c r="G108" s="2507">
        <v>1.0004999999999999</v>
      </c>
      <c r="H108" s="2507">
        <v>1.0004999999999999</v>
      </c>
      <c r="I108" s="2507">
        <v>1.0004999999999999</v>
      </c>
      <c r="J108" s="2507">
        <v>0.96940000000000004</v>
      </c>
      <c r="K108" s="2507">
        <v>0.96940000000000004</v>
      </c>
      <c r="L108" s="2507">
        <v>0.96940000000000004</v>
      </c>
      <c r="M108" s="2507">
        <v>0.96940000000000004</v>
      </c>
      <c r="N108" s="2507">
        <v>0.96940000000000004</v>
      </c>
    </row>
    <row r="109" spans="1:14">
      <c r="A109" s="4724"/>
      <c r="B109" s="2507">
        <v>4</v>
      </c>
      <c r="C109" s="2507">
        <v>0.94389999999999996</v>
      </c>
      <c r="D109" s="2507">
        <v>0.94389999999999996</v>
      </c>
      <c r="E109" s="2507">
        <v>0.88239999999999996</v>
      </c>
      <c r="F109" s="2507">
        <v>0.88239999999999996</v>
      </c>
      <c r="G109" s="2507">
        <v>0.88239999999999996</v>
      </c>
      <c r="H109" s="2507">
        <v>0.88239999999999996</v>
      </c>
      <c r="I109" s="2507">
        <v>0.88239999999999996</v>
      </c>
      <c r="J109" s="2507">
        <v>0.82299999999999995</v>
      </c>
      <c r="K109" s="2507">
        <v>0.82299999999999995</v>
      </c>
      <c r="L109" s="2507">
        <v>0.82299999999999995</v>
      </c>
      <c r="M109" s="2507">
        <v>0.82299999999999995</v>
      </c>
      <c r="N109" s="2507">
        <v>0.82299999999999995</v>
      </c>
    </row>
    <row r="110" spans="1:14">
      <c r="A110" s="4724"/>
      <c r="B110" s="2507">
        <v>5</v>
      </c>
      <c r="C110" s="2507">
        <v>0.89959999999999996</v>
      </c>
      <c r="D110" s="2507">
        <v>0.89959999999999996</v>
      </c>
      <c r="E110" s="2507">
        <v>0.84799999999999998</v>
      </c>
      <c r="F110" s="2507">
        <v>0.84799999999999998</v>
      </c>
      <c r="G110" s="2507">
        <v>0.84799999999999998</v>
      </c>
      <c r="H110" s="2507">
        <v>0.84799999999999998</v>
      </c>
      <c r="I110" s="2507">
        <v>0.84799999999999998</v>
      </c>
      <c r="J110" s="2507">
        <v>0.74980000000000002</v>
      </c>
      <c r="K110" s="2507">
        <v>0.74980000000000002</v>
      </c>
      <c r="L110" s="2507">
        <v>0.74980000000000002</v>
      </c>
      <c r="M110" s="2507">
        <v>0.74980000000000002</v>
      </c>
      <c r="N110" s="2507">
        <v>0.74980000000000002</v>
      </c>
    </row>
    <row r="111" spans="1:14">
      <c r="A111" s="4724"/>
      <c r="B111" s="2507" t="s">
        <v>3151</v>
      </c>
      <c r="C111" s="2508">
        <f>$I$3</f>
        <v>0</v>
      </c>
      <c r="D111" s="2508">
        <f t="shared" ref="D111:M111" si="32">$I$3</f>
        <v>0</v>
      </c>
      <c r="E111" s="2508">
        <f t="shared" si="32"/>
        <v>0</v>
      </c>
      <c r="F111" s="2508">
        <f t="shared" si="32"/>
        <v>0</v>
      </c>
      <c r="G111" s="2508">
        <f t="shared" si="32"/>
        <v>0</v>
      </c>
      <c r="H111" s="2508">
        <f t="shared" si="32"/>
        <v>0</v>
      </c>
      <c r="I111" s="2508">
        <f t="shared" si="32"/>
        <v>0</v>
      </c>
      <c r="J111" s="2508">
        <f t="shared" si="32"/>
        <v>0</v>
      </c>
      <c r="K111" s="2508">
        <f t="shared" si="32"/>
        <v>0</v>
      </c>
      <c r="L111" s="2508">
        <f t="shared" si="32"/>
        <v>0</v>
      </c>
      <c r="M111" s="2508">
        <f t="shared" si="32"/>
        <v>0</v>
      </c>
      <c r="N111" s="2508">
        <f>$I$3</f>
        <v>0</v>
      </c>
    </row>
    <row r="112" spans="1:14">
      <c r="A112" s="4725"/>
      <c r="B112" s="2507">
        <v>6</v>
      </c>
      <c r="C112" s="2502">
        <f>(-0.5556*(C111^2)-0.2719*C111+8944)*(10^(-4))</f>
        <v>0.89440000000000008</v>
      </c>
      <c r="D112" s="2502">
        <f>(-0.5556*(D111^2)-0.2719*D111+8944)*(10^(-4))</f>
        <v>0.89440000000000008</v>
      </c>
      <c r="E112" s="2502">
        <f>(-0.7912*(E111^2)-11.3794*E111+8482)*(10^(-4))</f>
        <v>0.84820000000000007</v>
      </c>
      <c r="F112" s="2502">
        <f t="shared" ref="F112:I112" si="33">(-0.7912*(F111^2)-11.3794*F111+8482)*(10^(-4))</f>
        <v>0.84820000000000007</v>
      </c>
      <c r="G112" s="2502">
        <f t="shared" si="33"/>
        <v>0.84820000000000007</v>
      </c>
      <c r="H112" s="2502">
        <f t="shared" si="33"/>
        <v>0.84820000000000007</v>
      </c>
      <c r="I112" s="2502">
        <f t="shared" si="33"/>
        <v>0.84820000000000007</v>
      </c>
      <c r="J112" s="2502">
        <f>(-0.989*(J111^2)-63.78*J111+7771)*(10^(-4))</f>
        <v>0.77710000000000001</v>
      </c>
      <c r="K112" s="2502">
        <f t="shared" ref="K112:N112" si="34">(-0.989*(K111^2)-63.78*K111+7771)*(10^(-4))</f>
        <v>0.77710000000000001</v>
      </c>
      <c r="L112" s="2502">
        <f t="shared" si="34"/>
        <v>0.77710000000000001</v>
      </c>
      <c r="M112" s="2502">
        <f t="shared" si="34"/>
        <v>0.77710000000000001</v>
      </c>
      <c r="N112" s="2502">
        <f t="shared" si="34"/>
        <v>0.77710000000000001</v>
      </c>
    </row>
    <row r="113" spans="1:14">
      <c r="A113" s="4726" t="s">
        <v>3194</v>
      </c>
      <c r="B113" s="4726"/>
      <c r="C113" s="4726"/>
      <c r="D113" s="4726"/>
      <c r="E113" s="4726"/>
      <c r="F113" s="4726"/>
      <c r="G113" s="4726"/>
      <c r="H113" s="4726"/>
      <c r="I113" s="4726"/>
      <c r="J113" s="4726"/>
      <c r="K113" s="2509"/>
      <c r="L113" s="2509"/>
      <c r="M113" s="2509"/>
      <c r="N113" s="2509"/>
    </row>
    <row r="114" spans="1:14">
      <c r="A114" s="2510"/>
      <c r="B114" s="2510"/>
      <c r="C114" s="2510"/>
      <c r="D114" s="2510"/>
      <c r="E114" s="2510"/>
      <c r="F114" s="2510"/>
      <c r="G114" s="2510"/>
      <c r="H114" s="2510"/>
      <c r="I114" s="2510"/>
      <c r="J114" s="2510"/>
      <c r="K114" s="1582"/>
      <c r="L114" s="2510"/>
      <c r="M114" s="2510"/>
      <c r="N114" s="2510"/>
    </row>
    <row r="115" spans="1:14" ht="13.5" thickBot="1">
      <c r="A115" s="2510"/>
      <c r="B115" s="2510"/>
      <c r="C115" s="2510"/>
      <c r="D115" s="2510"/>
      <c r="E115" s="2510"/>
      <c r="F115" s="2510"/>
      <c r="G115" s="2510"/>
      <c r="H115" s="2510"/>
      <c r="I115" s="2510"/>
      <c r="J115" s="2510"/>
      <c r="K115" s="1582"/>
      <c r="L115" s="2510"/>
      <c r="M115" s="2510"/>
      <c r="N115" s="2510"/>
    </row>
    <row r="116" spans="1:14" ht="25.5" thickBot="1">
      <c r="A116" s="2511" t="s">
        <v>3195</v>
      </c>
      <c r="B116" s="2527">
        <f>G3</f>
        <v>0</v>
      </c>
      <c r="C116" s="2512" t="s">
        <v>3196</v>
      </c>
      <c r="D116" s="2513">
        <f>SUMPRODUCT((A118:A122=F116)*(B117:M117=H116)*B118:M122)</f>
        <v>0</v>
      </c>
      <c r="E116" s="68" t="s">
        <v>3197</v>
      </c>
      <c r="F116" s="2514">
        <f>E2</f>
        <v>0</v>
      </c>
      <c r="G116" s="68" t="s">
        <v>3198</v>
      </c>
      <c r="H116" s="2514">
        <f>G2</f>
        <v>0</v>
      </c>
      <c r="I116" s="68"/>
      <c r="J116" s="2515"/>
      <c r="K116" s="2515"/>
      <c r="L116" s="2515"/>
      <c r="M116" s="2515"/>
      <c r="N116" s="2510"/>
    </row>
    <row r="117" spans="1:14">
      <c r="A117" s="2516"/>
      <c r="B117" s="2517" t="s">
        <v>3199</v>
      </c>
      <c r="C117" s="2517" t="s">
        <v>3200</v>
      </c>
      <c r="D117" s="2517" t="s">
        <v>3201</v>
      </c>
      <c r="E117" s="2518" t="s">
        <v>3202</v>
      </c>
      <c r="F117" s="2518" t="s">
        <v>3203</v>
      </c>
      <c r="G117" s="2518" t="s">
        <v>3204</v>
      </c>
      <c r="H117" s="2519" t="s">
        <v>3205</v>
      </c>
      <c r="I117" s="2519" t="s">
        <v>3206</v>
      </c>
      <c r="J117" s="2520" t="s">
        <v>3207</v>
      </c>
      <c r="K117" s="2520" t="s">
        <v>3208</v>
      </c>
      <c r="L117" s="2520" t="s">
        <v>3209</v>
      </c>
      <c r="M117" s="2521" t="s">
        <v>3210</v>
      </c>
      <c r="N117" s="2510"/>
    </row>
    <row r="118" spans="1:14">
      <c r="A118" s="2470" t="s">
        <v>3211</v>
      </c>
      <c r="B118" s="2502">
        <f>ROUND(0.9968-0.011*B116,4)</f>
        <v>0.99680000000000002</v>
      </c>
      <c r="C118" s="2502">
        <f>B118</f>
        <v>0.99680000000000002</v>
      </c>
      <c r="D118" s="2502">
        <f>ROUND(0.949-0.014*B116,4)</f>
        <v>0.94899999999999995</v>
      </c>
      <c r="E118" s="2502">
        <f>D118</f>
        <v>0.94899999999999995</v>
      </c>
      <c r="F118" s="2502">
        <f>E118</f>
        <v>0.94899999999999995</v>
      </c>
      <c r="G118" s="2502">
        <f>F118</f>
        <v>0.94899999999999995</v>
      </c>
      <c r="H118" s="2502">
        <f>G118</f>
        <v>0.94899999999999995</v>
      </c>
      <c r="I118" s="2502">
        <f>ROUND(0.8486-0.018*B116,4)</f>
        <v>0.84860000000000002</v>
      </c>
      <c r="J118" s="2502">
        <f t="shared" ref="J118:M122" si="35">I118</f>
        <v>0.84860000000000002</v>
      </c>
      <c r="K118" s="2502">
        <f t="shared" si="35"/>
        <v>0.84860000000000002</v>
      </c>
      <c r="L118" s="2502">
        <f t="shared" si="35"/>
        <v>0.84860000000000002</v>
      </c>
      <c r="M118" s="2522">
        <f t="shared" si="35"/>
        <v>0.84860000000000002</v>
      </c>
      <c r="N118" s="2510"/>
    </row>
    <row r="119" spans="1:14">
      <c r="A119" s="2470" t="s">
        <v>3212</v>
      </c>
      <c r="B119" s="2502">
        <f>ROUND(0.993-0.0112*B116,4)</f>
        <v>0.99299999999999999</v>
      </c>
      <c r="C119" s="2502">
        <f>B119</f>
        <v>0.99299999999999999</v>
      </c>
      <c r="D119" s="2502">
        <f>ROUND(0.9415-0.0142*B116,4)</f>
        <v>0.9415</v>
      </c>
      <c r="E119" s="2502">
        <f t="shared" ref="E119:H120" si="36">D119</f>
        <v>0.9415</v>
      </c>
      <c r="F119" s="2502">
        <f t="shared" si="36"/>
        <v>0.9415</v>
      </c>
      <c r="G119" s="2502">
        <f t="shared" si="36"/>
        <v>0.9415</v>
      </c>
      <c r="H119" s="2502">
        <f t="shared" si="36"/>
        <v>0.9415</v>
      </c>
      <c r="I119" s="2502">
        <f>ROUND(0.838-0.0182*B116,4)</f>
        <v>0.83799999999999997</v>
      </c>
      <c r="J119" s="2502">
        <f t="shared" si="35"/>
        <v>0.83799999999999997</v>
      </c>
      <c r="K119" s="2502">
        <f t="shared" si="35"/>
        <v>0.83799999999999997</v>
      </c>
      <c r="L119" s="2502">
        <f t="shared" si="35"/>
        <v>0.83799999999999997</v>
      </c>
      <c r="M119" s="2522">
        <f t="shared" si="35"/>
        <v>0.83799999999999997</v>
      </c>
      <c r="N119" s="2510"/>
    </row>
    <row r="120" spans="1:14">
      <c r="A120" s="2470" t="s">
        <v>3213</v>
      </c>
      <c r="B120" s="2502">
        <f>ROUND(0.9448-0.0115*B116,4)</f>
        <v>0.94479999999999997</v>
      </c>
      <c r="C120" s="2502">
        <f>B120</f>
        <v>0.94479999999999997</v>
      </c>
      <c r="D120" s="2502">
        <f>ROUND(0.937-0.0145*B116,4)</f>
        <v>0.93700000000000006</v>
      </c>
      <c r="E120" s="2502">
        <f t="shared" si="36"/>
        <v>0.93700000000000006</v>
      </c>
      <c r="F120" s="2502">
        <f t="shared" si="36"/>
        <v>0.93700000000000006</v>
      </c>
      <c r="G120" s="2502">
        <f t="shared" si="36"/>
        <v>0.93700000000000006</v>
      </c>
      <c r="H120" s="2502">
        <f t="shared" si="36"/>
        <v>0.93700000000000006</v>
      </c>
      <c r="I120" s="2502">
        <f>ROUND(0.7965-0.0185*B116,4)</f>
        <v>0.79649999999999999</v>
      </c>
      <c r="J120" s="2502">
        <f t="shared" si="35"/>
        <v>0.79649999999999999</v>
      </c>
      <c r="K120" s="2502">
        <f t="shared" si="35"/>
        <v>0.79649999999999999</v>
      </c>
      <c r="L120" s="2502">
        <f t="shared" si="35"/>
        <v>0.79649999999999999</v>
      </c>
      <c r="M120" s="2522">
        <f t="shared" si="35"/>
        <v>0.79649999999999999</v>
      </c>
      <c r="N120" s="2510"/>
    </row>
    <row r="121" spans="1:14" ht="13.5" thickBot="1">
      <c r="A121" s="2523" t="s">
        <v>3214</v>
      </c>
      <c r="B121" s="2524">
        <f>ROUND(0.7836-0.012*B116,4)</f>
        <v>0.78359999999999996</v>
      </c>
      <c r="C121" s="2524">
        <f>B121</f>
        <v>0.78359999999999996</v>
      </c>
      <c r="D121" s="2524">
        <f>ROUND(0.753-0.015*B116,4)</f>
        <v>0.753</v>
      </c>
      <c r="E121" s="2524">
        <f>D121</f>
        <v>0.753</v>
      </c>
      <c r="F121" s="2524">
        <f>E121</f>
        <v>0.753</v>
      </c>
      <c r="G121" s="2524">
        <f>ROUND(0.6612-0.018*B116,4)</f>
        <v>0.66120000000000001</v>
      </c>
      <c r="H121" s="2524">
        <f>G121</f>
        <v>0.66120000000000001</v>
      </c>
      <c r="I121" s="2524">
        <f>ROUND(0.5905-0.019*B116,4)</f>
        <v>0.59050000000000002</v>
      </c>
      <c r="J121" s="2524">
        <f t="shared" si="35"/>
        <v>0.59050000000000002</v>
      </c>
      <c r="K121" s="2524">
        <f t="shared" si="35"/>
        <v>0.59050000000000002</v>
      </c>
      <c r="L121" s="2524">
        <f t="shared" si="35"/>
        <v>0.59050000000000002</v>
      </c>
      <c r="M121" s="2525">
        <f t="shared" si="35"/>
        <v>0.59050000000000002</v>
      </c>
      <c r="N121" s="2510"/>
    </row>
    <row r="122" spans="1:14">
      <c r="A122" s="2526" t="s">
        <v>2497</v>
      </c>
      <c r="B122" s="2502">
        <f>ROUND(0.9404-0.0106*B116,4)</f>
        <v>0.94040000000000001</v>
      </c>
      <c r="C122" s="2502">
        <f>B122</f>
        <v>0.94040000000000001</v>
      </c>
      <c r="D122" s="2502">
        <f>ROUND(0.8955-0.0135*B116,4)</f>
        <v>0.89549999999999996</v>
      </c>
      <c r="E122" s="2502">
        <f t="shared" ref="E122:H122" si="37">D122</f>
        <v>0.89549999999999996</v>
      </c>
      <c r="F122" s="2502">
        <f t="shared" si="37"/>
        <v>0.89549999999999996</v>
      </c>
      <c r="G122" s="2502">
        <f t="shared" si="37"/>
        <v>0.89549999999999996</v>
      </c>
      <c r="H122" s="2502">
        <f t="shared" si="37"/>
        <v>0.89549999999999996</v>
      </c>
      <c r="I122" s="2502">
        <f>ROUND(0.7632-0.0166*B116,4)</f>
        <v>0.76319999999999999</v>
      </c>
      <c r="J122" s="2502">
        <f t="shared" si="35"/>
        <v>0.76319999999999999</v>
      </c>
      <c r="K122" s="2502">
        <f t="shared" si="35"/>
        <v>0.76319999999999999</v>
      </c>
      <c r="L122" s="2502">
        <f t="shared" si="35"/>
        <v>0.76319999999999999</v>
      </c>
      <c r="M122" s="2522">
        <f t="shared" si="35"/>
        <v>0.76319999999999999</v>
      </c>
      <c r="N122" s="251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I8" sqref="H7:I8"/>
    </sheetView>
  </sheetViews>
  <sheetFormatPr defaultColWidth="6.625" defaultRowHeight="12.75"/>
  <cols>
    <col min="1" max="1" width="9.25" style="496" customWidth="1"/>
    <col min="2" max="2" width="31.625" style="532" customWidth="1"/>
    <col min="3" max="3" width="13" style="550" customWidth="1"/>
    <col min="4" max="4" width="9.875" style="532" customWidth="1"/>
    <col min="5" max="5" width="9.5" style="496" customWidth="1"/>
    <col min="6" max="6" width="10.125" style="532" customWidth="1"/>
    <col min="7" max="7" width="10.75" style="532" customWidth="1"/>
    <col min="8" max="8" width="10" style="532" customWidth="1"/>
    <col min="9" max="11" width="9.5" style="532" customWidth="1"/>
    <col min="12" max="12" width="9" style="532" customWidth="1"/>
    <col min="13" max="13" width="10.5" style="532" bestFit="1" customWidth="1"/>
    <col min="14" max="254" width="9" style="532" customWidth="1"/>
    <col min="255" max="16384" width="6.625" style="532"/>
  </cols>
  <sheetData>
    <row r="1" spans="1:33" ht="20.25">
      <c r="A1" s="3322" t="s">
        <v>3519</v>
      </c>
      <c r="B1" s="47"/>
      <c r="C1" s="807"/>
      <c r="D1" s="806"/>
      <c r="E1" s="2078"/>
      <c r="F1" s="2078"/>
      <c r="G1" s="1971"/>
      <c r="H1" s="2078"/>
      <c r="I1" s="2078"/>
      <c r="J1" s="2078"/>
      <c r="K1" s="2079">
        <f>MATCH(C1,'数据-取费表'!A6:A16,0)+5</f>
        <v>10</v>
      </c>
    </row>
    <row r="2" spans="1:33" ht="18" customHeight="1">
      <c r="A2" s="96" t="s">
        <v>1433</v>
      </c>
      <c r="B2" s="2589">
        <f ca="1">C34</f>
        <v>-36491</v>
      </c>
      <c r="C2" s="171" t="s">
        <v>1536</v>
      </c>
      <c r="D2" s="171"/>
      <c r="E2" s="2078"/>
      <c r="F2" s="2078"/>
      <c r="G2" s="2078"/>
      <c r="H2" s="2078"/>
      <c r="I2" s="2078"/>
      <c r="J2" s="2078"/>
      <c r="K2" s="2078"/>
    </row>
    <row r="3" spans="1:33" ht="18" customHeight="1">
      <c r="A3" s="98" t="s">
        <v>1435</v>
      </c>
      <c r="B3" s="2589">
        <f ca="1">ROUND(B2*10000/IF(C1="",'数据-汇总表'!E3,INDIRECT("'数据-取费表'!K"&amp;$K$1)),0)</f>
        <v>-6356</v>
      </c>
      <c r="C3" s="171" t="s">
        <v>1537</v>
      </c>
      <c r="D3" s="171"/>
      <c r="E3" s="2078"/>
      <c r="F3" s="2078"/>
      <c r="G3" s="2078"/>
      <c r="H3" s="2078"/>
      <c r="I3" s="2078"/>
      <c r="J3" s="2078"/>
      <c r="K3" s="2078"/>
    </row>
    <row r="4" spans="1:33" ht="18" customHeight="1">
      <c r="A4" s="3492" t="s">
        <v>3634</v>
      </c>
      <c r="B4" s="2588">
        <f ca="1">ROUND(B2*10000/IF(C1="",'数据-汇总表'!D3,INDIRECT("'数据-取费表'!R"&amp;$K$1)),0)</f>
        <v>-22186</v>
      </c>
      <c r="C4" s="1362" t="s">
        <v>3636</v>
      </c>
      <c r="D4" s="171"/>
      <c r="E4" s="2078"/>
      <c r="F4" s="2078"/>
      <c r="G4" s="2078"/>
      <c r="H4" s="2078"/>
      <c r="I4" s="2078"/>
      <c r="J4" s="2078"/>
      <c r="K4" s="2078"/>
    </row>
    <row r="5" spans="1:33" ht="18" customHeight="1" thickBot="1">
      <c r="A5" s="94"/>
      <c r="B5" s="3501">
        <f ca="1">ROUND(B2/(IF(C1="",'数据-汇总表'!D3,INDIRECT("'数据-取费表'!R"&amp;$K$1))/666.67),0)</f>
        <v>-1479</v>
      </c>
      <c r="C5" s="3495" t="s">
        <v>3635</v>
      </c>
      <c r="D5" s="171"/>
      <c r="E5" s="2078"/>
      <c r="F5" s="2078"/>
      <c r="G5" s="2078"/>
      <c r="H5" s="2078"/>
      <c r="I5" s="2078"/>
      <c r="J5" s="2078"/>
      <c r="K5" s="2078"/>
    </row>
    <row r="6" spans="1:33" s="533" customFormat="1" ht="16.5" customHeight="1">
      <c r="A6" s="2724" t="s">
        <v>3523</v>
      </c>
      <c r="B6" s="2723"/>
      <c r="C6" s="4716" t="s">
        <v>3375</v>
      </c>
      <c r="D6" s="4716"/>
      <c r="E6" s="4716"/>
      <c r="F6" s="4716"/>
      <c r="G6" s="4716"/>
      <c r="H6" s="4716"/>
      <c r="I6" s="4716"/>
      <c r="J6" s="4716"/>
      <c r="K6" s="4717"/>
    </row>
    <row r="7" spans="1:33" s="536" customFormat="1" ht="15">
      <c r="A7" s="2558" t="s">
        <v>1538</v>
      </c>
      <c r="B7" s="2731" t="s">
        <v>1539</v>
      </c>
      <c r="C7" s="1368"/>
      <c r="D7" s="1368"/>
      <c r="E7" s="1368"/>
      <c r="F7" s="1368"/>
      <c r="G7" s="1368"/>
      <c r="H7" s="1368"/>
      <c r="I7" s="1368"/>
      <c r="J7" s="1368"/>
      <c r="K7" s="2732"/>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201" t="s">
        <v>3968</v>
      </c>
      <c r="C8" s="2779"/>
      <c r="D8" s="2779"/>
      <c r="E8" s="2779"/>
      <c r="F8" s="2779"/>
      <c r="G8" s="2779"/>
      <c r="H8" s="2779"/>
      <c r="I8" s="2779"/>
      <c r="J8" s="2779"/>
      <c r="K8" s="278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1540</v>
      </c>
      <c r="B9" s="4201" t="s">
        <v>3969</v>
      </c>
      <c r="C9" s="2781">
        <f>SUMIF('数据-汇总表'!$C19:$C33,'剩余法（现房）'!C7,'数据-汇总表'!$E19:$E33)</f>
        <v>0</v>
      </c>
      <c r="D9" s="2781">
        <f>SUMIF('数据-汇总表'!$C19:$C33,'剩余法（现房）'!D7,'数据-汇总表'!$E19:$E33)</f>
        <v>0</v>
      </c>
      <c r="E9" s="2781">
        <f>SUMIF('数据-汇总表'!$C19:$C33,'剩余法（现房）'!E7,'数据-汇总表'!$E19:$E33)</f>
        <v>0</v>
      </c>
      <c r="F9" s="2781">
        <f>SUMIF('数据-汇总表'!$C19:$C33,'剩余法（现房）'!F7,'数据-汇总表'!$E19:$E33)</f>
        <v>0</v>
      </c>
      <c r="G9" s="2781">
        <f>SUMIF('数据-汇总表'!$C19:$C33,'剩余法（现房）'!G7,'数据-汇总表'!$E19:$E33)</f>
        <v>0</v>
      </c>
      <c r="H9" s="2781">
        <f>SUMIF('数据-汇总表'!$C19:$C33,'剩余法（现房）'!H7,'数据-汇总表'!$E19:$E33)</f>
        <v>0</v>
      </c>
      <c r="I9" s="2781">
        <f>SUMIF('数据-汇总表'!$C19:$C33,'剩余法（现房）'!I7,'数据-汇总表'!$E19:$E33)</f>
        <v>0</v>
      </c>
      <c r="J9" s="2781">
        <f>SUMIF('数据-汇总表'!$C19:$C33,'剩余法（现房）'!J7,'数据-汇总表'!$E19:$E33)</f>
        <v>0</v>
      </c>
      <c r="K9" s="2782">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7" customFormat="1" ht="13.5" customHeight="1" thickBot="1">
      <c r="A10" s="216" t="s">
        <v>3972</v>
      </c>
      <c r="B10" s="4202" t="s">
        <v>3967</v>
      </c>
      <c r="C10" s="4203"/>
      <c r="D10" s="4203"/>
      <c r="E10" s="4203"/>
      <c r="F10" s="4204"/>
      <c r="G10" s="4204"/>
      <c r="H10" s="4204"/>
      <c r="I10" s="4204"/>
      <c r="J10" s="4204"/>
      <c r="K10" s="4205"/>
      <c r="L10" s="4206"/>
      <c r="M10" s="4206"/>
      <c r="N10" s="4206"/>
      <c r="O10" s="4206"/>
      <c r="P10" s="4206"/>
      <c r="Q10" s="4206"/>
      <c r="R10" s="4206"/>
      <c r="S10" s="4206"/>
      <c r="T10" s="4206"/>
      <c r="U10" s="4206"/>
      <c r="V10" s="4206"/>
      <c r="W10" s="4206"/>
      <c r="X10" s="4206"/>
      <c r="Y10" s="4206"/>
      <c r="Z10" s="4206"/>
      <c r="AA10" s="4206"/>
      <c r="AB10" s="4206"/>
      <c r="AC10" s="4206"/>
      <c r="AD10" s="4206"/>
      <c r="AE10" s="4206"/>
      <c r="AF10" s="4206"/>
      <c r="AG10" s="4206"/>
    </row>
    <row r="11" spans="1:33" s="533" customFormat="1" ht="16.5" customHeight="1" thickBot="1">
      <c r="A11" s="4738" t="s">
        <v>3524</v>
      </c>
      <c r="B11" s="4739"/>
      <c r="C11" s="4739"/>
      <c r="D11" s="4739"/>
      <c r="E11" s="4739"/>
      <c r="F11" s="4739"/>
      <c r="G11" s="4739"/>
      <c r="H11" s="4739"/>
      <c r="I11" s="4739"/>
      <c r="J11" s="4739"/>
      <c r="K11" s="4740"/>
    </row>
    <row r="12" spans="1:33" s="4199" customFormat="1" ht="13.5" customHeight="1">
      <c r="A12" s="3317" t="s">
        <v>3513</v>
      </c>
      <c r="B12" s="4196" t="s">
        <v>1542</v>
      </c>
      <c r="C12" s="4200" t="s">
        <v>3967</v>
      </c>
      <c r="D12" s="4196" t="s">
        <v>1544</v>
      </c>
      <c r="E12" s="4196" t="s">
        <v>1545</v>
      </c>
      <c r="F12" s="4196" t="s">
        <v>1546</v>
      </c>
      <c r="G12" s="4208" t="s">
        <v>3399</v>
      </c>
      <c r="H12" s="4209"/>
      <c r="I12" s="4209"/>
      <c r="J12" s="4209"/>
      <c r="K12" s="4210"/>
    </row>
    <row r="13" spans="1:33" s="539" customFormat="1" ht="13.5" customHeight="1">
      <c r="A13" s="2558">
        <v>1</v>
      </c>
      <c r="B13" s="2748" t="s">
        <v>3525</v>
      </c>
      <c r="C13" s="2733">
        <f>SUM(C10:K10)</f>
        <v>0</v>
      </c>
      <c r="D13" s="538"/>
      <c r="E13" s="538"/>
      <c r="F13" s="3331"/>
      <c r="G13" s="3456"/>
      <c r="H13" s="3455"/>
      <c r="I13" s="3455"/>
      <c r="J13" s="3455"/>
      <c r="K13" s="3467"/>
    </row>
    <row r="14" spans="1:33" s="539" customFormat="1" ht="13.5" customHeight="1">
      <c r="A14" s="2558">
        <v>2</v>
      </c>
      <c r="B14" s="2749" t="s">
        <v>3628</v>
      </c>
      <c r="C14" s="2733">
        <v>0</v>
      </c>
      <c r="D14" s="2749"/>
      <c r="E14" s="2749"/>
      <c r="F14" s="2662">
        <v>0</v>
      </c>
      <c r="G14" s="3641" t="s">
        <v>3678</v>
      </c>
      <c r="H14" s="3455"/>
      <c r="I14" s="3455"/>
      <c r="J14" s="3455"/>
      <c r="K14" s="3467"/>
    </row>
    <row r="15" spans="1:33" s="541" customFormat="1" ht="13.5" customHeight="1">
      <c r="A15" s="2558">
        <v>3</v>
      </c>
      <c r="B15" s="548" t="s">
        <v>3598</v>
      </c>
      <c r="C15" s="2600">
        <f ca="1">C32-C33</f>
        <v>36491</v>
      </c>
      <c r="D15" s="548"/>
      <c r="E15" s="173"/>
      <c r="F15" s="3332"/>
      <c r="G15" s="3457" t="s">
        <v>3543</v>
      </c>
      <c r="H15" s="544"/>
      <c r="I15" s="544"/>
      <c r="J15" s="544"/>
      <c r="K15" s="545"/>
    </row>
    <row r="16" spans="1:33" s="541" customFormat="1" ht="13.5" customHeight="1">
      <c r="A16" s="3468" t="s">
        <v>3593</v>
      </c>
      <c r="B16" s="3336" t="s">
        <v>3526</v>
      </c>
      <c r="C16" s="3337">
        <f ca="1">SUM(C17:C22)</f>
        <v>32148</v>
      </c>
      <c r="D16" s="3336"/>
      <c r="E16" s="3336"/>
      <c r="F16" s="3338"/>
      <c r="G16" s="2698"/>
      <c r="H16" s="3455"/>
      <c r="I16" s="3455"/>
      <c r="J16" s="3455"/>
      <c r="K16" s="3467"/>
    </row>
    <row r="17" spans="1:33" s="541" customFormat="1" ht="13.5" customHeight="1">
      <c r="A17" s="3469" t="s">
        <v>3544</v>
      </c>
      <c r="B17" s="3323" t="s">
        <v>3531</v>
      </c>
      <c r="C17" s="2566">
        <f ca="1">IF(C1="",'数据-取费表'!M16,INDIRECT("'数据-取费表'!M"&amp;$K$1)+INDIRECT("'数据-取费表'!ap"&amp;$K$1))</f>
        <v>28704</v>
      </c>
      <c r="D17" s="3339"/>
      <c r="E17" s="3340"/>
      <c r="F17" s="3352"/>
      <c r="G17" s="3458"/>
      <c r="H17" s="3455"/>
      <c r="I17" s="3455"/>
      <c r="J17" s="3455"/>
      <c r="K17" s="3467"/>
    </row>
    <row r="18" spans="1:33" s="541" customFormat="1" ht="13.5" customHeight="1">
      <c r="A18" s="3469" t="s">
        <v>3532</v>
      </c>
      <c r="B18" s="3324" t="s">
        <v>3533</v>
      </c>
      <c r="C18" s="2566">
        <f ca="1">ROUND(C17*F18,0)</f>
        <v>1435</v>
      </c>
      <c r="D18" s="3336"/>
      <c r="E18" s="3336"/>
      <c r="F18" s="3353">
        <f>'数据-取费表'!B33</f>
        <v>0.05</v>
      </c>
      <c r="G18" s="2698"/>
      <c r="H18" s="3455"/>
      <c r="I18" s="3455"/>
      <c r="J18" s="3455"/>
      <c r="K18" s="3467"/>
    </row>
    <row r="19" spans="1:33" s="541" customFormat="1" ht="13.5" customHeight="1">
      <c r="A19" s="3469" t="s">
        <v>3545</v>
      </c>
      <c r="B19" s="3325" t="s">
        <v>3501</v>
      </c>
      <c r="C19" s="2566">
        <f ca="1">ROUND(IF(C1="",SUMIF('数据-取费表'!C:C,"住宅",'数据-取费表'!M:M)*F19,IF(INDIRECT("'数据-取费表'!c"&amp;$K$1)="住宅",INDIRECT("'数据-取费表'!M"&amp;$K$1)*F19,0)),0)</f>
        <v>0</v>
      </c>
      <c r="D19" s="3341"/>
      <c r="E19" s="3341"/>
      <c r="F19" s="3353">
        <f>'数据-取费表'!B34</f>
        <v>0</v>
      </c>
      <c r="G19" s="2562"/>
      <c r="H19" s="3455"/>
      <c r="I19" s="3455"/>
      <c r="J19" s="3455"/>
      <c r="K19" s="3467"/>
    </row>
    <row r="20" spans="1:33" s="541" customFormat="1" ht="13.5" customHeight="1">
      <c r="A20" s="3469" t="s">
        <v>3546</v>
      </c>
      <c r="B20" s="3325" t="s">
        <v>3554</v>
      </c>
      <c r="C20" s="2566">
        <f ca="1">ROUND(D20*E20/10000,0)</f>
        <v>1722</v>
      </c>
      <c r="D20" s="3334">
        <f ca="1">IF(C1="",'数据-汇总表'!E3,INDIRECT("'数据-取费表'!K"&amp;$K$1)+INDIRECT("'数据-取费表'!S"&amp;$K$1))</f>
        <v>57408.26</v>
      </c>
      <c r="E20" s="3335">
        <f>'数据-取费表'!B35</f>
        <v>300</v>
      </c>
      <c r="F20" s="3334"/>
      <c r="G20" s="2562"/>
      <c r="H20" s="3455"/>
      <c r="I20" s="3455"/>
      <c r="J20" s="544"/>
      <c r="K20" s="545"/>
    </row>
    <row r="21" spans="1:33" s="541" customFormat="1" ht="13.5" customHeight="1">
      <c r="A21" s="3469" t="s">
        <v>3547</v>
      </c>
      <c r="B21" s="3326" t="s">
        <v>3504</v>
      </c>
      <c r="C21" s="2566">
        <f ca="1">ROUND(C17*F21,0)</f>
        <v>287</v>
      </c>
      <c r="D21" s="3341"/>
      <c r="E21" s="3341"/>
      <c r="F21" s="3353">
        <f>'数据-取费表'!B36</f>
        <v>0.01</v>
      </c>
      <c r="G21" s="2562"/>
      <c r="H21" s="546"/>
      <c r="I21" s="546"/>
      <c r="J21" s="546"/>
      <c r="K21" s="3470"/>
    </row>
    <row r="22" spans="1:33" s="541" customFormat="1" ht="13.5" customHeight="1">
      <c r="A22" s="3469" t="s">
        <v>3548</v>
      </c>
      <c r="B22" s="3326" t="s">
        <v>3555</v>
      </c>
      <c r="C22" s="2566">
        <f ca="1">ROUND(C17*F22,0)</f>
        <v>0</v>
      </c>
      <c r="D22" s="3341"/>
      <c r="E22" s="3341"/>
      <c r="F22" s="3353">
        <f>'数据-取费表'!B37</f>
        <v>0</v>
      </c>
      <c r="G22" s="2562"/>
      <c r="H22" s="546"/>
      <c r="I22" s="546"/>
      <c r="J22" s="546"/>
      <c r="K22" s="3470"/>
    </row>
    <row r="23" spans="1:33" s="542" customFormat="1" ht="13.5" customHeight="1">
      <c r="A23" s="3468" t="s">
        <v>3594</v>
      </c>
      <c r="B23" s="3336" t="s">
        <v>3490</v>
      </c>
      <c r="C23" s="2571">
        <f ca="1">ROUND(C16*F23,0)</f>
        <v>643</v>
      </c>
      <c r="D23" s="3342"/>
      <c r="E23" s="3342"/>
      <c r="F23" s="3354">
        <f>'数据-取费表'!B38</f>
        <v>0.02</v>
      </c>
      <c r="G23" s="2574" t="s">
        <v>3527</v>
      </c>
      <c r="H23" s="3455"/>
      <c r="I23" s="3455"/>
      <c r="J23" s="3455"/>
      <c r="K23" s="3467"/>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3468" t="s">
        <v>3595</v>
      </c>
      <c r="B24" s="3336" t="s">
        <v>3534</v>
      </c>
      <c r="C24" s="2571" t="str">
        <f>F24&amp;"V建"</f>
        <v>0.02V建</v>
      </c>
      <c r="D24" s="3342"/>
      <c r="E24" s="3342"/>
      <c r="F24" s="3354">
        <f>'数据-取费表'!B39</f>
        <v>0.02</v>
      </c>
      <c r="G24" s="2574" t="s">
        <v>3528</v>
      </c>
      <c r="H24" s="544"/>
      <c r="I24" s="544"/>
      <c r="J24" s="544"/>
      <c r="K24" s="545"/>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ht="15">
      <c r="A25" s="3468" t="s">
        <v>3596</v>
      </c>
      <c r="B25" s="3336" t="s">
        <v>3416</v>
      </c>
      <c r="C25" s="3343" t="str">
        <f ca="1">C26&amp;"+"&amp;C27&amp;"V建"</f>
        <v>1026+0.0004V建</v>
      </c>
      <c r="D25" s="3344"/>
      <c r="E25" s="3344"/>
      <c r="F25" s="3353">
        <f ca="1">'数据-取费表'!B41</f>
        <v>3.1300000000000001E-2</v>
      </c>
      <c r="G25" s="3459" t="s">
        <v>3535</v>
      </c>
      <c r="H25" s="3460"/>
      <c r="I25" s="3460"/>
      <c r="J25" s="3460"/>
      <c r="K25" s="3471"/>
    </row>
    <row r="26" spans="1:33" s="542" customFormat="1" ht="13.5" customHeight="1">
      <c r="A26" s="3469" t="s">
        <v>3536</v>
      </c>
      <c r="B26" s="3326" t="s">
        <v>3559</v>
      </c>
      <c r="C26" s="3343">
        <f ca="1">ROUND(IF('数据-取费表'!B20&lt;=1,(C16+C23)*F25*'数据-取费表'!B20/2,(C23+C16)*(POWER((1+F25),'数据-取费表'!B20/2)-1)),0)</f>
        <v>1026</v>
      </c>
      <c r="D26" s="3344"/>
      <c r="E26" s="3344"/>
      <c r="F26" s="3334"/>
      <c r="G26" s="3459" t="s">
        <v>3537</v>
      </c>
      <c r="H26" s="544"/>
      <c r="I26" s="544"/>
      <c r="J26" s="544"/>
      <c r="K26" s="545"/>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3469" t="s">
        <v>3538</v>
      </c>
      <c r="B27" s="3326" t="s">
        <v>3560</v>
      </c>
      <c r="C27" s="3345">
        <f>ROUND(IF('数据-取费表'!B20&lt;=1,F24*F25*'数据-取费表'!B20/2,F24*(POWER((1+F23),'数据-取费表'!B20/2)-1)),4)</f>
        <v>4.0000000000000002E-4</v>
      </c>
      <c r="D27" s="3135"/>
      <c r="E27" s="3135"/>
      <c r="F27" s="3352"/>
      <c r="G27" s="3461"/>
      <c r="H27" s="3455"/>
      <c r="I27" s="3455"/>
      <c r="J27" s="3455"/>
      <c r="K27" s="3467"/>
    </row>
    <row r="28" spans="1:33" s="541" customFormat="1" ht="13.5" customHeight="1">
      <c r="A28" s="3468" t="s">
        <v>3539</v>
      </c>
      <c r="B28" s="3336" t="s">
        <v>3556</v>
      </c>
      <c r="C28" s="2721" t="str">
        <f ca="1">C29&amp;"+"&amp;C30&amp;"V建"</f>
        <v>4919+0.003V建</v>
      </c>
      <c r="D28" s="1037"/>
      <c r="E28" s="1037"/>
      <c r="F28" s="3355">
        <f ca="1">IF(C1="",'数据-取费表'!Q16,INDIRECT("'数据-取费表'!q"&amp;$K$1))</f>
        <v>0.15</v>
      </c>
      <c r="G28" s="4741" t="s">
        <v>3540</v>
      </c>
      <c r="H28" s="3455"/>
      <c r="I28" s="3455"/>
      <c r="J28" s="3455"/>
      <c r="K28" s="3467"/>
    </row>
    <row r="29" spans="1:33" s="541" customFormat="1" ht="13.5" customHeight="1">
      <c r="A29" s="3469" t="s">
        <v>3552</v>
      </c>
      <c r="B29" s="3326" t="s">
        <v>3557</v>
      </c>
      <c r="C29" s="2722">
        <f ca="1">ROUND((C16+C23)*F28,0)</f>
        <v>4919</v>
      </c>
      <c r="D29" s="1037"/>
      <c r="E29" s="1037"/>
      <c r="F29" s="2794"/>
      <c r="G29" s="4741"/>
      <c r="H29" s="3462"/>
      <c r="I29" s="3462"/>
      <c r="J29" s="3462"/>
      <c r="K29" s="3472"/>
    </row>
    <row r="30" spans="1:33" s="549" customFormat="1" ht="13.5" customHeight="1">
      <c r="A30" s="3469" t="s">
        <v>3553</v>
      </c>
      <c r="B30" s="3326" t="s">
        <v>3558</v>
      </c>
      <c r="C30" s="2566">
        <f ca="1">ROUND(F24*F28,4)</f>
        <v>3.0000000000000001E-3</v>
      </c>
      <c r="D30" s="3346"/>
      <c r="E30" s="3344"/>
      <c r="F30" s="3334"/>
      <c r="G30" s="3463"/>
      <c r="H30" s="544"/>
      <c r="I30" s="544"/>
      <c r="J30" s="544"/>
      <c r="K30" s="545"/>
    </row>
    <row r="31" spans="1:33" s="549" customFormat="1" ht="13.5" customHeight="1">
      <c r="A31" s="3468" t="s">
        <v>3549</v>
      </c>
      <c r="B31" s="3336" t="s">
        <v>3561</v>
      </c>
      <c r="C31" s="2566">
        <v>0</v>
      </c>
      <c r="D31" s="3347"/>
      <c r="E31" s="3348"/>
      <c r="F31" s="3334"/>
      <c r="G31" s="3464" t="s">
        <v>3529</v>
      </c>
      <c r="H31" s="544"/>
      <c r="I31" s="544"/>
      <c r="J31" s="544"/>
      <c r="K31" s="545"/>
    </row>
    <row r="32" spans="1:33" s="541" customFormat="1" ht="13.5" customHeight="1">
      <c r="A32" s="3468" t="s">
        <v>3550</v>
      </c>
      <c r="B32" s="3336" t="s">
        <v>3597</v>
      </c>
      <c r="C32" s="3337">
        <f ca="1">ROUND((C16+C23+C26+C29)/(1-F24-C27-C30),0)</f>
        <v>39664</v>
      </c>
      <c r="D32" s="3347"/>
      <c r="E32" s="3348"/>
      <c r="F32" s="3334"/>
      <c r="G32" s="3465" t="s">
        <v>3530</v>
      </c>
      <c r="H32" s="3466"/>
      <c r="I32" s="3466"/>
      <c r="J32" s="3466"/>
      <c r="K32" s="3473"/>
    </row>
    <row r="33" spans="1:11" s="176" customFormat="1" ht="13.5" customHeight="1">
      <c r="A33" s="3468" t="s">
        <v>3551</v>
      </c>
      <c r="B33" s="3349" t="s">
        <v>3541</v>
      </c>
      <c r="C33" s="3350">
        <f ca="1">ROUND(C32*(1-F33),0)</f>
        <v>3173</v>
      </c>
      <c r="D33" s="3351"/>
      <c r="E33" s="3135"/>
      <c r="F33" s="3354">
        <f>IF('数据-取费表'!B24=0,'数据-取费表'!N16,1)</f>
        <v>0.92</v>
      </c>
      <c r="G33" s="3457" t="s">
        <v>3542</v>
      </c>
      <c r="H33" s="3462"/>
      <c r="I33" s="3462"/>
      <c r="J33" s="3462"/>
      <c r="K33" s="3472"/>
    </row>
    <row r="34" spans="1:11" s="539" customFormat="1" ht="15.75" thickBot="1">
      <c r="A34" s="3474">
        <v>4</v>
      </c>
      <c r="B34" s="3475" t="s">
        <v>3599</v>
      </c>
      <c r="C34" s="3476">
        <f ca="1">C13-C15</f>
        <v>-36491</v>
      </c>
      <c r="D34" s="3475"/>
      <c r="E34" s="3475"/>
      <c r="F34" s="3477"/>
      <c r="G34" s="3478" t="s">
        <v>3627</v>
      </c>
      <c r="H34" s="3479"/>
      <c r="I34" s="3479"/>
      <c r="J34" s="3479"/>
      <c r="K34" s="3480"/>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I8" sqref="H7:I8"/>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322" t="s">
        <v>3520</v>
      </c>
      <c r="B1" s="3330"/>
      <c r="C1" s="2905"/>
      <c r="D1" s="93"/>
      <c r="E1" s="93"/>
      <c r="F1" s="93"/>
      <c r="G1" s="778">
        <f>MATCH(C1,'数据-取费表'!A6:A16,0)+5</f>
        <v>10</v>
      </c>
    </row>
    <row r="2" spans="1:7" s="95" customFormat="1" ht="15.75">
      <c r="A2" s="96" t="s">
        <v>1433</v>
      </c>
      <c r="B2" s="2588">
        <f ca="1">C34</f>
        <v>2235</v>
      </c>
      <c r="C2" s="94" t="s">
        <v>1434</v>
      </c>
      <c r="D2" s="94"/>
      <c r="E2" s="2575"/>
      <c r="F2" s="94"/>
      <c r="G2" s="94"/>
    </row>
    <row r="3" spans="1:7" s="95" customFormat="1" ht="15.75">
      <c r="A3" s="98" t="s">
        <v>1435</v>
      </c>
      <c r="B3" s="2589">
        <f ca="1">ROUND(B2*10000/(IF(C1="",'数据-汇总表'!E3,INDIRECT("'数据-取费表'!k"&amp;$G$1))),0)</f>
        <v>389</v>
      </c>
      <c r="C3" s="94" t="s">
        <v>1436</v>
      </c>
      <c r="D3" s="94"/>
      <c r="E3" s="2575"/>
      <c r="F3" s="94"/>
      <c r="G3" s="94"/>
    </row>
    <row r="4" spans="1:7" s="95" customFormat="1" ht="15.75">
      <c r="A4" s="3492" t="s">
        <v>3634</v>
      </c>
      <c r="B4" s="2588">
        <f ca="1">ROUND(B2*10000/'数据-汇总表'!D3,0)</f>
        <v>1359</v>
      </c>
      <c r="C4" s="96" t="s">
        <v>3636</v>
      </c>
      <c r="D4" s="94"/>
      <c r="E4" s="2575"/>
      <c r="F4" s="94"/>
      <c r="G4" s="94"/>
    </row>
    <row r="5" spans="1:7" s="95" customFormat="1" ht="16.5" thickBot="1">
      <c r="A5" s="94"/>
      <c r="B5" s="3501">
        <f ca="1">ROUND(B2/('数据-汇总表'!D3/666.67),0)</f>
        <v>91</v>
      </c>
      <c r="C5" s="3486" t="s">
        <v>3635</v>
      </c>
      <c r="D5" s="94"/>
      <c r="E5" s="2575"/>
      <c r="F5" s="94"/>
      <c r="G5" s="94"/>
    </row>
    <row r="6" spans="1:7" s="95" customFormat="1" ht="15.75">
      <c r="A6" s="3374" t="s">
        <v>3326</v>
      </c>
      <c r="B6" s="3375" t="s">
        <v>3327</v>
      </c>
      <c r="C6" s="3376" t="s">
        <v>3962</v>
      </c>
      <c r="D6" s="3377" t="s">
        <v>3332</v>
      </c>
      <c r="E6" s="3378" t="s">
        <v>3333</v>
      </c>
      <c r="F6" s="3378" t="s">
        <v>3334</v>
      </c>
      <c r="G6" s="3379" t="s">
        <v>3328</v>
      </c>
    </row>
    <row r="7" spans="1:7" s="103" customFormat="1" ht="15.75">
      <c r="A7" s="3380" t="s">
        <v>3325</v>
      </c>
      <c r="B7" s="2568" t="s">
        <v>3579</v>
      </c>
      <c r="C7" s="2591">
        <f>IF(G7="征收国有地",C8,IF(G7="征收集体地",C11,C17))</f>
        <v>0</v>
      </c>
      <c r="D7" s="3362"/>
      <c r="E7" s="3362"/>
      <c r="F7" s="3362"/>
      <c r="G7" s="3437"/>
    </row>
    <row r="8" spans="1:7" s="109" customFormat="1">
      <c r="A8" s="3381" t="s">
        <v>3603</v>
      </c>
      <c r="B8" s="3369" t="s">
        <v>3574</v>
      </c>
      <c r="C8" s="2628">
        <f>C9+C10</f>
        <v>0</v>
      </c>
      <c r="D8" s="3328"/>
      <c r="E8" s="3328"/>
      <c r="F8" s="3328"/>
      <c r="G8" s="3360"/>
    </row>
    <row r="9" spans="1:7" s="109" customFormat="1">
      <c r="A9" s="2647" t="s">
        <v>1453</v>
      </c>
      <c r="B9" s="124" t="s">
        <v>3562</v>
      </c>
      <c r="C9" s="3513">
        <f>ROUND(D9*E9/10000,0)</f>
        <v>0</v>
      </c>
      <c r="D9" s="3358"/>
      <c r="E9" s="3358"/>
      <c r="F9" s="3328"/>
      <c r="G9" s="3382"/>
    </row>
    <row r="10" spans="1:7" s="109" customFormat="1">
      <c r="A10" s="2647" t="s">
        <v>1456</v>
      </c>
      <c r="B10" s="124" t="s">
        <v>3563</v>
      </c>
      <c r="C10" s="3513">
        <f>ROUND(D10*E10/10000,0)</f>
        <v>0</v>
      </c>
      <c r="D10" s="3358"/>
      <c r="E10" s="3358"/>
      <c r="F10" s="3328"/>
      <c r="G10" s="3382"/>
    </row>
    <row r="11" spans="1:7" s="109" customFormat="1" ht="13.5">
      <c r="A11" s="3329" t="s">
        <v>3585</v>
      </c>
      <c r="B11" s="3432" t="s">
        <v>3575</v>
      </c>
      <c r="C11" s="136">
        <f>C12+C15+C16</f>
        <v>0</v>
      </c>
      <c r="D11" s="3328"/>
      <c r="E11" s="3328"/>
      <c r="F11" s="3328"/>
      <c r="G11" s="3382"/>
    </row>
    <row r="12" spans="1:7" s="109" customFormat="1">
      <c r="A12" s="2647" t="s">
        <v>1453</v>
      </c>
      <c r="B12" s="124" t="s">
        <v>3564</v>
      </c>
      <c r="C12" s="124">
        <f>C13+C14</f>
        <v>0</v>
      </c>
      <c r="D12" s="1020"/>
      <c r="E12" s="1020"/>
      <c r="F12" s="3328"/>
      <c r="G12" s="3383" t="s">
        <v>3565</v>
      </c>
    </row>
    <row r="13" spans="1:7" s="109" customFormat="1">
      <c r="A13" s="3433" t="s">
        <v>3587</v>
      </c>
      <c r="B13" s="3434" t="s">
        <v>3586</v>
      </c>
      <c r="C13" s="3513">
        <f>ROUND(D13*E13/10000,0)</f>
        <v>0</v>
      </c>
      <c r="D13" s="3358"/>
      <c r="E13" s="3358"/>
      <c r="F13" s="3328"/>
      <c r="G13" s="3384" t="s">
        <v>3667</v>
      </c>
    </row>
    <row r="14" spans="1:7" s="109" customFormat="1">
      <c r="A14" s="3433" t="s">
        <v>3589</v>
      </c>
      <c r="B14" s="3434" t="s">
        <v>3588</v>
      </c>
      <c r="C14" s="3358">
        <v>0</v>
      </c>
      <c r="D14" s="1020"/>
      <c r="E14" s="1020"/>
      <c r="F14" s="3328"/>
      <c r="G14" s="3384"/>
    </row>
    <row r="15" spans="1:7" s="109" customFormat="1">
      <c r="A15" s="2647" t="s">
        <v>1456</v>
      </c>
      <c r="B15" s="124" t="s">
        <v>3566</v>
      </c>
      <c r="C15" s="3513">
        <f t="shared" ref="C15" si="0">ROUND(D15*E15/10000,0)</f>
        <v>0</v>
      </c>
      <c r="D15" s="3358"/>
      <c r="E15" s="3358"/>
      <c r="F15" s="3328"/>
      <c r="G15" s="3384" t="s">
        <v>3567</v>
      </c>
    </row>
    <row r="16" spans="1:7" s="109" customFormat="1">
      <c r="A16" s="2647" t="s">
        <v>3578</v>
      </c>
      <c r="B16" s="3370" t="s">
        <v>3568</v>
      </c>
      <c r="C16" s="3513">
        <f>C13*F16</f>
        <v>0</v>
      </c>
      <c r="D16" s="3358"/>
      <c r="E16" s="3358"/>
      <c r="F16" s="3514">
        <v>0.25</v>
      </c>
      <c r="G16" s="3447" t="s">
        <v>3569</v>
      </c>
    </row>
    <row r="17" spans="1:9" s="109" customFormat="1" ht="13.5">
      <c r="A17" s="3329" t="s">
        <v>337</v>
      </c>
      <c r="B17" s="3369" t="s">
        <v>3576</v>
      </c>
      <c r="C17" s="2587">
        <f>C18+C19</f>
        <v>0</v>
      </c>
      <c r="D17" s="3439"/>
      <c r="E17" s="3440"/>
      <c r="F17" s="2619"/>
      <c r="G17" s="3448"/>
    </row>
    <row r="18" spans="1:9" s="109" customFormat="1">
      <c r="A18" s="3327" t="s">
        <v>347</v>
      </c>
      <c r="B18" s="3370" t="s">
        <v>1444</v>
      </c>
      <c r="C18" s="3125"/>
      <c r="D18" s="3441"/>
      <c r="E18" s="3440"/>
      <c r="F18" s="2618"/>
      <c r="G18" s="3515" t="s">
        <v>3668</v>
      </c>
    </row>
    <row r="19" spans="1:9" s="109" customFormat="1">
      <c r="A19" s="3327" t="s">
        <v>1445</v>
      </c>
      <c r="B19" s="3370" t="s">
        <v>1446</v>
      </c>
      <c r="C19" s="2587">
        <f>ROUND(C18*F19,0)</f>
        <v>0</v>
      </c>
      <c r="D19" s="3439"/>
      <c r="E19" s="3440"/>
      <c r="F19" s="2619">
        <f>IF(项目基本情况!B8="出让",0,'数据-取费表'!B49+'数据-取费表'!B50)</f>
        <v>3.0499999999999999E-2</v>
      </c>
      <c r="G19" s="3448"/>
    </row>
    <row r="20" spans="1:9" s="2599" customFormat="1" ht="15.75">
      <c r="A20" s="3380" t="s">
        <v>3604</v>
      </c>
      <c r="B20" s="2568" t="s">
        <v>3577</v>
      </c>
      <c r="C20" s="2600">
        <f ca="1">C21+C24+C25</f>
        <v>2468</v>
      </c>
      <c r="D20" s="3442"/>
      <c r="E20" s="3443"/>
      <c r="F20" s="2623"/>
      <c r="G20" s="3449"/>
    </row>
    <row r="21" spans="1:9" s="118" customFormat="1" ht="15">
      <c r="A21" s="3385" t="s">
        <v>3600</v>
      </c>
      <c r="B21" s="3363" t="s">
        <v>3318</v>
      </c>
      <c r="C21" s="2628">
        <f>IF(G21="已包含在土地购买价格中","0",IF(C1="",'数据-取费表'!B29,IF(G22="全部缴纳",C22+C23,H22)))</f>
        <v>0</v>
      </c>
      <c r="D21" s="3444"/>
      <c r="E21" s="3445"/>
      <c r="F21" s="3359"/>
      <c r="G21" s="1364"/>
    </row>
    <row r="22" spans="1:9" s="109" customFormat="1">
      <c r="A22" s="2570" t="s">
        <v>3583</v>
      </c>
      <c r="B22" s="3364" t="s">
        <v>1449</v>
      </c>
      <c r="C22" s="2627">
        <f ca="1">ROUND(D22*E22/10000,0)</f>
        <v>0</v>
      </c>
      <c r="D22" s="3356">
        <f ca="1">IF(C1="",'数据-汇总表'!E5,IF(INDIRECT("'数据-取费表'!c"&amp;$G$1)="住宅",INDIRECT("'数据-取费表'!k"&amp;$G$1),0))</f>
        <v>0</v>
      </c>
      <c r="E22" s="3356">
        <f>'数据-取费表'!B27</f>
        <v>0</v>
      </c>
      <c r="F22" s="2619"/>
      <c r="G22" s="1365"/>
      <c r="H22" s="784"/>
      <c r="I22" s="1366" t="s">
        <v>1450</v>
      </c>
    </row>
    <row r="23" spans="1:9" s="109" customFormat="1">
      <c r="A23" s="2570" t="s">
        <v>3584</v>
      </c>
      <c r="B23" s="3364" t="s">
        <v>1451</v>
      </c>
      <c r="C23" s="2627">
        <f ca="1">ROUND(D23*E23/10000,0)</f>
        <v>1148</v>
      </c>
      <c r="D23" s="3356">
        <f ca="1">IF(C1="",'数据-汇总表'!E6,IF(INDIRECT("'数据-取费表'!c"&amp;$G$1)="住宅",INDIRECT("'数据-取费表'!s"&amp;$G$1),INDIRECT("'数据-取费表'!k"&amp;$G$1)+INDIRECT("'数据-取费表'!s"&amp;$G$1)))</f>
        <v>57408.26</v>
      </c>
      <c r="E23" s="3356">
        <f>'数据-取费表'!B28</f>
        <v>200</v>
      </c>
      <c r="F23" s="2619"/>
      <c r="G23" s="3450"/>
    </row>
    <row r="24" spans="1:9" s="109" customFormat="1" ht="13.5">
      <c r="A24" s="3329" t="s">
        <v>3585</v>
      </c>
      <c r="B24" s="3365" t="s">
        <v>3601</v>
      </c>
      <c r="C24" s="2628">
        <f ca="1">IF(G24="已包含在土地取得成本中","0",ROUND(D24*E24/10000,0))</f>
        <v>746</v>
      </c>
      <c r="D24" s="3357">
        <f ca="1">D22+D23</f>
        <v>57408.26</v>
      </c>
      <c r="E24" s="3357">
        <f>'数据-取费表'!B31</f>
        <v>130</v>
      </c>
      <c r="F24" s="3366"/>
      <c r="G24" s="1364"/>
    </row>
    <row r="25" spans="1:9" s="109" customFormat="1" ht="13.5">
      <c r="A25" s="3329" t="s">
        <v>337</v>
      </c>
      <c r="B25" s="3365" t="s">
        <v>3602</v>
      </c>
      <c r="C25" s="2628">
        <f ca="1">ROUND(E25*D25/10000,0)</f>
        <v>1722</v>
      </c>
      <c r="D25" s="3357">
        <f ca="1">D24</f>
        <v>57408.26</v>
      </c>
      <c r="E25" s="3357">
        <f>'数据-取费表'!B35</f>
        <v>300</v>
      </c>
      <c r="F25" s="3359"/>
      <c r="G25" s="3451"/>
    </row>
    <row r="26" spans="1:9" s="103" customFormat="1" ht="15.75">
      <c r="A26" s="3380" t="s">
        <v>3605</v>
      </c>
      <c r="B26" s="2568" t="s">
        <v>3606</v>
      </c>
      <c r="C26" s="2588">
        <f>C27+C28</f>
        <v>0</v>
      </c>
      <c r="D26" s="3446"/>
      <c r="E26" s="3446"/>
      <c r="F26" s="3359"/>
      <c r="G26" s="3452"/>
    </row>
    <row r="27" spans="1:9" s="109" customFormat="1">
      <c r="A27" s="3381" t="s">
        <v>3603</v>
      </c>
      <c r="B27" s="3367" t="s">
        <v>3570</v>
      </c>
      <c r="C27" s="2628">
        <f>ROUND(E27*D27/10000,0)</f>
        <v>0</v>
      </c>
      <c r="D27" s="3368"/>
      <c r="E27" s="3390">
        <v>25</v>
      </c>
      <c r="F27" s="3359"/>
      <c r="G27" s="3447" t="s">
        <v>3571</v>
      </c>
    </row>
    <row r="28" spans="1:9" s="109" customFormat="1">
      <c r="A28" s="3386" t="s">
        <v>3585</v>
      </c>
      <c r="B28" s="3367" t="s">
        <v>3572</v>
      </c>
      <c r="C28" s="2628">
        <f>ROUND(E28*D28/10000,0)</f>
        <v>0</v>
      </c>
      <c r="D28" s="3368"/>
      <c r="E28" s="3390">
        <v>60.1</v>
      </c>
      <c r="F28" s="3359"/>
      <c r="G28" s="3447" t="s">
        <v>3573</v>
      </c>
    </row>
    <row r="29" spans="1:9" s="2599" customFormat="1" ht="15.75">
      <c r="A29" s="3380" t="s">
        <v>3607</v>
      </c>
      <c r="B29" s="2568" t="s">
        <v>3608</v>
      </c>
      <c r="C29" s="2578">
        <f ca="1">ROUND(IF('数据-取费表'!B19&lt;=1,((C7+C26)*'数据-取费表'!B19+C20*'数据-取费表'!B19/2)*F29,((C7+C26)*(POWER((1+F29),'数据-取费表'!B19)-1)+C20*(POWER((1+F29),'数据-取费表'!B19/2)-1))),0)</f>
        <v>0</v>
      </c>
      <c r="D29" s="2604"/>
      <c r="E29" s="296"/>
      <c r="F29" s="3361">
        <f ca="1">'数据-取费表'!B41</f>
        <v>3.1300000000000001E-2</v>
      </c>
      <c r="G29" s="3453" t="str">
        <f>IF('数据-取费表'!B19&lt;=1,"单利计息","复利计息")</f>
        <v>单利计息</v>
      </c>
    </row>
    <row r="30" spans="1:9" s="2599" customFormat="1" ht="15.75">
      <c r="A30" s="3380" t="s">
        <v>3609</v>
      </c>
      <c r="B30" s="2568" t="s">
        <v>3610</v>
      </c>
      <c r="C30" s="2606">
        <f ca="1">ROUND((C7+C20+C26)*F30,0)</f>
        <v>370</v>
      </c>
      <c r="D30" s="2604"/>
      <c r="E30" s="296"/>
      <c r="F30" s="3371">
        <f ca="1">IF(C1="",'数据-取费表'!Q16,INDIRECT("'数据-取费表'!q"&amp;$G$1))</f>
        <v>0.15</v>
      </c>
      <c r="G30" s="3453"/>
    </row>
    <row r="31" spans="1:9" s="109" customFormat="1" ht="15.75">
      <c r="A31" s="2569" t="s">
        <v>3590</v>
      </c>
      <c r="B31" s="2568" t="s">
        <v>3582</v>
      </c>
      <c r="C31" s="2591">
        <f ca="1">C7+C20+C29+C30</f>
        <v>2838</v>
      </c>
      <c r="D31" s="2581"/>
      <c r="E31" s="2581"/>
      <c r="F31" s="2580"/>
      <c r="G31" s="2582" t="s">
        <v>3613</v>
      </c>
    </row>
    <row r="32" spans="1:9" s="109" customFormat="1" ht="15.75">
      <c r="A32" s="2569" t="s">
        <v>3581</v>
      </c>
      <c r="B32" s="2568" t="s">
        <v>3580</v>
      </c>
      <c r="C32" s="3436">
        <f ca="1">ROUND(C31*F32,0)</f>
        <v>284</v>
      </c>
      <c r="D32" s="130"/>
      <c r="E32" s="131"/>
      <c r="F32" s="3372">
        <v>0.1</v>
      </c>
      <c r="G32" s="3454"/>
    </row>
    <row r="33" spans="1:7" s="109" customFormat="1" ht="15.75">
      <c r="A33" s="3435">
        <v>8</v>
      </c>
      <c r="B33" s="2568" t="s">
        <v>3592</v>
      </c>
      <c r="C33" s="2591">
        <f ca="1">C31+C32</f>
        <v>3122</v>
      </c>
      <c r="D33" s="2581"/>
      <c r="E33" s="2581"/>
      <c r="F33" s="3373"/>
      <c r="G33" s="2582" t="s">
        <v>3612</v>
      </c>
    </row>
    <row r="34" spans="1:7" s="118" customFormat="1" ht="16.5" thickBot="1">
      <c r="A34" s="3387">
        <v>9</v>
      </c>
      <c r="B34" s="3388" t="s">
        <v>3591</v>
      </c>
      <c r="C34" s="2591">
        <f ca="1">ROUND(C33*F34,0)</f>
        <v>2235</v>
      </c>
      <c r="D34" s="3389"/>
      <c r="E34" s="3389"/>
      <c r="F34" s="3438">
        <f>'数据-取费表'!AS16</f>
        <v>0.71599999999999997</v>
      </c>
      <c r="G34" s="2582" t="s">
        <v>3614</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346" t="str">
        <f>IF(项目基本情况!B9="房地产市场价值","估价结果一览表","结果表-2")</f>
        <v>结果表-2</v>
      </c>
      <c r="B1" s="4346"/>
      <c r="C1" s="4346"/>
      <c r="D1" s="4346"/>
      <c r="E1" s="4346"/>
      <c r="F1" s="4346"/>
      <c r="G1" s="4346"/>
      <c r="H1" s="4346"/>
      <c r="I1" s="4346"/>
    </row>
    <row r="2" spans="1:9" ht="30" customHeight="1" thickTop="1">
      <c r="A2" s="4347" t="s">
        <v>913</v>
      </c>
      <c r="B2" s="4347" t="s">
        <v>914</v>
      </c>
      <c r="C2" s="4347" t="s">
        <v>915</v>
      </c>
      <c r="D2" s="4347" t="str">
        <f>结果表!D116</f>
        <v>出让国有建设用地使用权价值</v>
      </c>
      <c r="E2" s="4347"/>
      <c r="F2" s="4347">
        <f>结果表!F116</f>
        <v>0</v>
      </c>
      <c r="G2" s="4347"/>
      <c r="H2" s="4347" t="str">
        <f>IF(项目基本情况!B9="房地产市场价值","房地产市场价值","房地产价值")</f>
        <v>房地产价值</v>
      </c>
      <c r="I2" s="4347"/>
    </row>
    <row r="3" spans="1:9" ht="15">
      <c r="A3" s="4348"/>
      <c r="B3" s="4348"/>
      <c r="C3" s="4348"/>
      <c r="D3" s="562" t="s">
        <v>910</v>
      </c>
      <c r="E3" s="562" t="s">
        <v>916</v>
      </c>
      <c r="F3" s="562" t="s">
        <v>910</v>
      </c>
      <c r="G3" s="562" t="s">
        <v>911</v>
      </c>
      <c r="H3" s="562" t="s">
        <v>910</v>
      </c>
      <c r="I3" s="562" t="s">
        <v>911</v>
      </c>
    </row>
    <row r="4" spans="1:9" ht="15">
      <c r="A4" s="1073" t="str">
        <f>项目基本情况!S2</f>
        <v>北京市房地产</v>
      </c>
      <c r="B4" s="562">
        <f>项目基本情况!C17</f>
        <v>57408.26</v>
      </c>
      <c r="C4" s="562">
        <f>项目基本情况!C18</f>
        <v>16447.62</v>
      </c>
      <c r="D4" s="562">
        <f ca="1">结果表!D118</f>
        <v>166674</v>
      </c>
      <c r="E4" s="562">
        <f ca="1">结果表!E118</f>
        <v>29033</v>
      </c>
      <c r="F4" s="562">
        <f ca="1">结果表!F118</f>
        <v>0</v>
      </c>
      <c r="G4" s="562">
        <f ca="1">结果表!G118</f>
        <v>0</v>
      </c>
      <c r="H4" s="562">
        <f ca="1">结果表!H118</f>
        <v>166674</v>
      </c>
      <c r="I4" s="562">
        <f ca="1">结果表!I118</f>
        <v>29033</v>
      </c>
    </row>
    <row r="5" spans="1:9" ht="30" customHeight="1">
      <c r="A5" s="4348" t="s">
        <v>912</v>
      </c>
      <c r="B5" s="4348"/>
      <c r="C5" s="4348"/>
      <c r="D5" s="4348" t="str">
        <f ca="1">结果表!D119</f>
        <v>壹拾陆亿陆仟陆佰柒拾肆万元整</v>
      </c>
      <c r="E5" s="4348"/>
      <c r="F5" s="4348" t="str">
        <f ca="1">结果表!F119</f>
        <v>零元整</v>
      </c>
      <c r="G5" s="4348"/>
      <c r="H5" s="4348" t="str">
        <f ca="1">结果表!H119</f>
        <v>壹拾陆亿陆仟陆佰柒拾肆万元整</v>
      </c>
      <c r="I5" s="4348"/>
    </row>
    <row r="6" spans="1:9" ht="15.75">
      <c r="A6" s="4349" t="str">
        <f>结果表!A120</f>
        <v>估价师知悉的法定优先受偿款</v>
      </c>
      <c r="B6" s="4349"/>
      <c r="C6" s="4349"/>
      <c r="D6" s="4349">
        <f>结果表!H120</f>
        <v>0</v>
      </c>
      <c r="E6" s="4349"/>
      <c r="F6" s="4349"/>
      <c r="G6" s="4349"/>
      <c r="H6" s="4349"/>
      <c r="I6" s="4349"/>
    </row>
    <row r="7" spans="1:9" ht="15">
      <c r="A7" s="4348" t="s">
        <v>912</v>
      </c>
      <c r="B7" s="4348"/>
      <c r="C7" s="4348"/>
      <c r="D7" s="4350" t="str">
        <f>结果表!H121</f>
        <v>零元整</v>
      </c>
      <c r="E7" s="4351"/>
      <c r="F7" s="4351"/>
      <c r="G7" s="4351"/>
      <c r="H7" s="4351"/>
      <c r="I7" s="4352"/>
    </row>
    <row r="8" spans="1:9" ht="15.75">
      <c r="A8" s="4349" t="str">
        <f>结果表!A122</f>
        <v>房地产抵押价值</v>
      </c>
      <c r="B8" s="4349"/>
      <c r="C8" s="4349"/>
      <c r="D8" s="4349">
        <f ca="1">结果表!H122</f>
        <v>166674</v>
      </c>
      <c r="E8" s="4349"/>
      <c r="F8" s="4349"/>
      <c r="G8" s="4349"/>
      <c r="H8" s="4349"/>
      <c r="I8" s="4349"/>
    </row>
    <row r="9" spans="1:9" ht="15">
      <c r="A9" s="4348" t="s">
        <v>912</v>
      </c>
      <c r="B9" s="4348"/>
      <c r="C9" s="4348"/>
      <c r="D9" s="4348" t="str">
        <f ca="1">结果表!H123</f>
        <v>壹拾陆亿陆仟陆佰柒拾肆万元整</v>
      </c>
      <c r="E9" s="4348"/>
      <c r="F9" s="4348"/>
      <c r="G9" s="4348"/>
      <c r="H9" s="4348"/>
      <c r="I9" s="4348"/>
    </row>
    <row r="10" spans="1:9" ht="15.75">
      <c r="A10" s="4349" t="str">
        <f>结果表!A124</f>
        <v/>
      </c>
      <c r="B10" s="4349"/>
      <c r="C10" s="4349"/>
      <c r="D10" s="4349" t="str">
        <f>结果表!H124</f>
        <v>——</v>
      </c>
      <c r="E10" s="4349"/>
      <c r="F10" s="4349"/>
      <c r="G10" s="4349"/>
      <c r="H10" s="4349"/>
      <c r="I10" s="4349"/>
    </row>
    <row r="11" spans="1:9" ht="15">
      <c r="A11" s="4348" t="s">
        <v>912</v>
      </c>
      <c r="B11" s="4348"/>
      <c r="C11" s="4348"/>
      <c r="D11" s="4348" t="e">
        <f>结果表!H125</f>
        <v>#VALUE!</v>
      </c>
      <c r="E11" s="4348"/>
      <c r="F11" s="4348"/>
      <c r="G11" s="4348"/>
      <c r="H11" s="4348"/>
      <c r="I11" s="4348"/>
    </row>
    <row r="12" spans="1:9" ht="15.75">
      <c r="A12" s="4349" t="str">
        <f>结果表!A126</f>
        <v/>
      </c>
      <c r="B12" s="4349"/>
      <c r="C12" s="4349"/>
      <c r="D12" s="4349" t="str">
        <f>结果表!H126</f>
        <v>——</v>
      </c>
      <c r="E12" s="4349"/>
      <c r="F12" s="4349"/>
      <c r="G12" s="4349"/>
      <c r="H12" s="4349"/>
      <c r="I12" s="4349"/>
    </row>
    <row r="13" spans="1:9" ht="15.75" thickBot="1">
      <c r="A13" s="4353" t="s">
        <v>912</v>
      </c>
      <c r="B13" s="4353"/>
      <c r="C13" s="4353"/>
      <c r="D13" s="4353" t="e">
        <f>结果表!H127</f>
        <v>#VALUE!</v>
      </c>
      <c r="E13" s="4353"/>
      <c r="F13" s="4353"/>
      <c r="G13" s="4353"/>
      <c r="H13" s="4353"/>
      <c r="I13" s="4353"/>
    </row>
    <row r="14" spans="1:9" ht="15" thickTop="1">
      <c r="A14" s="4354" t="s">
        <v>917</v>
      </c>
      <c r="B14" s="4354"/>
      <c r="C14" s="4354"/>
      <c r="D14" s="4354"/>
      <c r="E14" s="4354"/>
      <c r="F14" s="4354"/>
      <c r="G14" s="4354"/>
      <c r="H14" s="4354"/>
      <c r="I14" s="4354"/>
    </row>
    <row r="16" spans="1:9" ht="18.75">
      <c r="A16" s="1074" t="s">
        <v>900</v>
      </c>
      <c r="B16" s="1058"/>
      <c r="C16" s="1058"/>
      <c r="D16" s="1058"/>
      <c r="E16" s="1058"/>
      <c r="F16" s="1058"/>
      <c r="G16" s="1058"/>
      <c r="H16" s="1058"/>
      <c r="I16" s="1058"/>
    </row>
    <row r="17" spans="1:9">
      <c r="A17" s="1058"/>
      <c r="B17" s="1058"/>
      <c r="C17" s="1058"/>
      <c r="D17" s="1058"/>
      <c r="E17" s="1058"/>
      <c r="F17" s="1058"/>
      <c r="G17" s="1058"/>
      <c r="H17" s="1058"/>
      <c r="I17" s="1058"/>
    </row>
    <row r="18" spans="1:9">
      <c r="A18" s="1058"/>
      <c r="B18" s="1058"/>
      <c r="C18" s="1058"/>
      <c r="D18" s="1058"/>
      <c r="E18" s="1058"/>
      <c r="F18" s="1058"/>
      <c r="G18" s="1058"/>
      <c r="H18" s="1058"/>
      <c r="I18" s="1058"/>
    </row>
    <row r="19" spans="1:9">
      <c r="A19" s="1058"/>
      <c r="B19" s="1058"/>
      <c r="C19" s="1058"/>
      <c r="D19" s="1058"/>
      <c r="E19" s="1058"/>
      <c r="F19" s="1058"/>
      <c r="G19" s="1058"/>
      <c r="H19" s="1058"/>
      <c r="I19" s="1058"/>
    </row>
    <row r="20" spans="1:9">
      <c r="A20" s="1058"/>
      <c r="B20" s="1058"/>
      <c r="C20" s="1058"/>
      <c r="D20" s="1058"/>
      <c r="E20" s="1058"/>
      <c r="F20" s="1058"/>
      <c r="G20" s="1058"/>
      <c r="H20" s="1058"/>
      <c r="I20" s="1058"/>
    </row>
    <row r="21" spans="1:9">
      <c r="A21" s="1058"/>
      <c r="B21" s="1058"/>
      <c r="C21" s="1058"/>
      <c r="D21" s="1058"/>
      <c r="E21" s="1058"/>
      <c r="F21" s="1058"/>
      <c r="G21" s="1058"/>
      <c r="H21" s="1058"/>
      <c r="I21" s="1058"/>
    </row>
    <row r="22" spans="1:9">
      <c r="A22" s="1058"/>
      <c r="B22" s="1058"/>
      <c r="C22" s="1058"/>
      <c r="D22" s="1058"/>
      <c r="E22" s="1058"/>
      <c r="F22" s="1058"/>
      <c r="G22" s="1058"/>
      <c r="H22" s="1058"/>
      <c r="I22" s="1058"/>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62" customWidth="1"/>
    <col min="14" max="14" width="10" style="2262" customWidth="1"/>
    <col min="15" max="16" width="8.25" style="2262"/>
    <col min="17" max="17" width="34.125" style="2262" customWidth="1"/>
    <col min="18" max="18" width="8.25" style="2262" customWidth="1"/>
    <col min="19" max="19" width="8.25" style="2262"/>
    <col min="20" max="20" width="11.625" style="2262" customWidth="1"/>
    <col min="21" max="16384" width="8.25" style="2262"/>
  </cols>
  <sheetData>
    <row r="1" spans="1:13" ht="19.5" customHeight="1" thickBot="1">
      <c r="A1" s="2259" t="s">
        <v>2479</v>
      </c>
      <c r="B1" s="2260" t="s">
        <v>2480</v>
      </c>
      <c r="C1" s="2260" t="s">
        <v>2481</v>
      </c>
      <c r="D1" s="2260" t="s">
        <v>2482</v>
      </c>
      <c r="E1" s="2260" t="s">
        <v>2483</v>
      </c>
      <c r="F1" s="2260" t="s">
        <v>2484</v>
      </c>
      <c r="G1" s="2260" t="s">
        <v>2485</v>
      </c>
      <c r="H1" s="2260" t="s">
        <v>2486</v>
      </c>
      <c r="I1" s="2260" t="s">
        <v>2487</v>
      </c>
      <c r="J1" s="2260" t="s">
        <v>2488</v>
      </c>
      <c r="K1" s="2260" t="s">
        <v>2489</v>
      </c>
      <c r="L1" s="2260" t="s">
        <v>2490</v>
      </c>
      <c r="M1" s="2261" t="s">
        <v>2491</v>
      </c>
    </row>
    <row r="2" spans="1:13" ht="19.5" customHeight="1">
      <c r="A2" s="2263" t="s">
        <v>2492</v>
      </c>
      <c r="B2" s="3141">
        <v>3.5</v>
      </c>
      <c r="C2" s="3141">
        <v>3.5</v>
      </c>
      <c r="D2" s="3142">
        <v>2.5</v>
      </c>
      <c r="E2" s="3142">
        <v>2.5</v>
      </c>
      <c r="F2" s="3142">
        <v>2.5</v>
      </c>
      <c r="G2" s="3142">
        <v>2.5</v>
      </c>
      <c r="H2" s="3142">
        <v>2.5</v>
      </c>
      <c r="I2" s="3141">
        <v>2</v>
      </c>
      <c r="J2" s="3141">
        <v>2</v>
      </c>
      <c r="K2" s="3141">
        <v>2</v>
      </c>
      <c r="L2" s="3141">
        <v>2</v>
      </c>
      <c r="M2" s="3143">
        <v>2</v>
      </c>
    </row>
    <row r="3" spans="1:13" ht="19.5" customHeight="1">
      <c r="A3" s="2226" t="s">
        <v>2493</v>
      </c>
      <c r="B3" s="3144">
        <v>3.5</v>
      </c>
      <c r="C3" s="3144">
        <v>3.5</v>
      </c>
      <c r="D3" s="3145">
        <v>2.5</v>
      </c>
      <c r="E3" s="3145">
        <v>2.5</v>
      </c>
      <c r="F3" s="3145">
        <v>2.5</v>
      </c>
      <c r="G3" s="3145">
        <v>2.5</v>
      </c>
      <c r="H3" s="3145">
        <v>2.5</v>
      </c>
      <c r="I3" s="3144">
        <v>2</v>
      </c>
      <c r="J3" s="3144">
        <v>2</v>
      </c>
      <c r="K3" s="3144">
        <v>2</v>
      </c>
      <c r="L3" s="3144">
        <v>2</v>
      </c>
      <c r="M3" s="3146">
        <v>2</v>
      </c>
    </row>
    <row r="4" spans="1:13" ht="19.5" customHeight="1">
      <c r="A4" s="2226" t="s">
        <v>2494</v>
      </c>
      <c r="B4" s="3145">
        <v>2.5</v>
      </c>
      <c r="C4" s="3145">
        <v>2.5</v>
      </c>
      <c r="D4" s="3145">
        <v>2.5</v>
      </c>
      <c r="E4" s="3145">
        <v>2.5</v>
      </c>
      <c r="F4" s="3145">
        <v>2.5</v>
      </c>
      <c r="G4" s="3145">
        <v>2.5</v>
      </c>
      <c r="H4" s="3145">
        <v>2.5</v>
      </c>
      <c r="I4" s="3144">
        <v>1.5</v>
      </c>
      <c r="J4" s="3144">
        <v>1.5</v>
      </c>
      <c r="K4" s="3144">
        <v>1.5</v>
      </c>
      <c r="L4" s="3144">
        <v>1.5</v>
      </c>
      <c r="M4" s="3146">
        <v>1.5</v>
      </c>
    </row>
    <row r="5" spans="1:13" ht="19.5" customHeight="1">
      <c r="A5" s="2264" t="s">
        <v>2495</v>
      </c>
      <c r="B5" s="3144">
        <v>1.5</v>
      </c>
      <c r="C5" s="3144">
        <v>1.5</v>
      </c>
      <c r="D5" s="3144">
        <v>1.5</v>
      </c>
      <c r="E5" s="3144">
        <v>1.5</v>
      </c>
      <c r="F5" s="3144">
        <v>1.5</v>
      </c>
      <c r="G5" s="3144">
        <v>1.2</v>
      </c>
      <c r="H5" s="3144">
        <v>1.2</v>
      </c>
      <c r="I5" s="3144">
        <v>1</v>
      </c>
      <c r="J5" s="3144">
        <v>1</v>
      </c>
      <c r="K5" s="3144">
        <v>1</v>
      </c>
      <c r="L5" s="3144">
        <v>1</v>
      </c>
      <c r="M5" s="3146">
        <v>1</v>
      </c>
    </row>
    <row r="6" spans="1:13" ht="19.5" customHeight="1">
      <c r="A6" s="2265" t="s">
        <v>2496</v>
      </c>
      <c r="B6" s="3147">
        <v>2.5</v>
      </c>
      <c r="C6" s="3147">
        <v>2.5</v>
      </c>
      <c r="D6" s="3147">
        <v>2</v>
      </c>
      <c r="E6" s="3147">
        <v>2</v>
      </c>
      <c r="F6" s="3147">
        <v>2</v>
      </c>
      <c r="G6" s="3147">
        <v>2</v>
      </c>
      <c r="H6" s="3147">
        <v>2</v>
      </c>
      <c r="I6" s="3148">
        <v>1.5</v>
      </c>
      <c r="J6" s="3148">
        <v>1.5</v>
      </c>
      <c r="K6" s="3148">
        <v>1.5</v>
      </c>
      <c r="L6" s="3148">
        <v>1.5</v>
      </c>
      <c r="M6" s="3149">
        <v>1.5</v>
      </c>
    </row>
    <row r="7" spans="1:13" ht="19.5" customHeight="1" thickBot="1">
      <c r="A7" s="2266" t="s">
        <v>2497</v>
      </c>
      <c r="B7" s="3150">
        <v>2.5</v>
      </c>
      <c r="C7" s="3150">
        <v>2.5</v>
      </c>
      <c r="D7" s="3150">
        <v>2</v>
      </c>
      <c r="E7" s="3150">
        <v>2</v>
      </c>
      <c r="F7" s="3150">
        <v>2</v>
      </c>
      <c r="G7" s="3150">
        <v>2</v>
      </c>
      <c r="H7" s="3150">
        <v>2</v>
      </c>
      <c r="I7" s="3151">
        <v>1.5</v>
      </c>
      <c r="J7" s="3151">
        <v>1.5</v>
      </c>
      <c r="K7" s="3151">
        <v>1.5</v>
      </c>
      <c r="L7" s="3151">
        <v>1.5</v>
      </c>
      <c r="M7" s="3152">
        <v>1.5</v>
      </c>
    </row>
    <row r="8" spans="1:13" ht="19.5" customHeight="1">
      <c r="A8" s="2267" t="s">
        <v>2498</v>
      </c>
      <c r="B8" s="3154">
        <v>80</v>
      </c>
      <c r="C8" s="3154">
        <v>80</v>
      </c>
      <c r="D8" s="3154">
        <v>70</v>
      </c>
      <c r="E8" s="3154">
        <v>70</v>
      </c>
      <c r="F8" s="3154">
        <v>70</v>
      </c>
      <c r="G8" s="3154">
        <v>70</v>
      </c>
      <c r="H8" s="3154">
        <v>70</v>
      </c>
      <c r="I8" s="3154">
        <v>60</v>
      </c>
      <c r="J8" s="3154">
        <v>60</v>
      </c>
      <c r="K8" s="3154">
        <v>60</v>
      </c>
      <c r="L8" s="3154">
        <v>60</v>
      </c>
      <c r="M8" s="3155">
        <v>60</v>
      </c>
    </row>
    <row r="9" spans="1:13" ht="19.5" customHeight="1">
      <c r="A9" s="2268" t="s">
        <v>2499</v>
      </c>
      <c r="B9" s="3156">
        <v>70</v>
      </c>
      <c r="C9" s="3156">
        <v>70</v>
      </c>
      <c r="D9" s="3156">
        <v>60</v>
      </c>
      <c r="E9" s="3156">
        <v>60</v>
      </c>
      <c r="F9" s="3156">
        <v>60</v>
      </c>
      <c r="G9" s="3156">
        <v>60</v>
      </c>
      <c r="H9" s="3156">
        <v>60</v>
      </c>
      <c r="I9" s="3156">
        <v>50</v>
      </c>
      <c r="J9" s="3156">
        <v>50</v>
      </c>
      <c r="K9" s="3156">
        <v>50</v>
      </c>
      <c r="L9" s="3156">
        <v>50</v>
      </c>
      <c r="M9" s="3157">
        <v>50</v>
      </c>
    </row>
    <row r="10" spans="1:13" ht="19.5" customHeight="1">
      <c r="A10" s="2268" t="s">
        <v>2500</v>
      </c>
      <c r="B10" s="3156">
        <v>20</v>
      </c>
      <c r="C10" s="3156">
        <v>20</v>
      </c>
      <c r="D10" s="3156">
        <v>15</v>
      </c>
      <c r="E10" s="3156">
        <v>15</v>
      </c>
      <c r="F10" s="3156">
        <v>15</v>
      </c>
      <c r="G10" s="3156">
        <v>15</v>
      </c>
      <c r="H10" s="3156">
        <v>15</v>
      </c>
      <c r="I10" s="3156">
        <v>10</v>
      </c>
      <c r="J10" s="3156">
        <v>10</v>
      </c>
      <c r="K10" s="3156">
        <v>10</v>
      </c>
      <c r="L10" s="3156">
        <v>10</v>
      </c>
      <c r="M10" s="3157">
        <v>10</v>
      </c>
    </row>
    <row r="11" spans="1:13" ht="19.5" customHeight="1">
      <c r="A11" s="2268" t="s">
        <v>2501</v>
      </c>
      <c r="B11" s="3156">
        <v>30</v>
      </c>
      <c r="C11" s="3156">
        <v>30</v>
      </c>
      <c r="D11" s="3156">
        <v>25</v>
      </c>
      <c r="E11" s="3156">
        <v>25</v>
      </c>
      <c r="F11" s="3156">
        <v>25</v>
      </c>
      <c r="G11" s="3156">
        <v>25</v>
      </c>
      <c r="H11" s="3156">
        <v>25</v>
      </c>
      <c r="I11" s="3156">
        <v>20</v>
      </c>
      <c r="J11" s="3156">
        <v>20</v>
      </c>
      <c r="K11" s="3156">
        <v>20</v>
      </c>
      <c r="L11" s="3156">
        <v>20</v>
      </c>
      <c r="M11" s="3157">
        <v>20</v>
      </c>
    </row>
    <row r="12" spans="1:13" ht="19.5" customHeight="1">
      <c r="A12" s="2268" t="s">
        <v>2502</v>
      </c>
      <c r="B12" s="3156">
        <v>45</v>
      </c>
      <c r="C12" s="3156">
        <v>45</v>
      </c>
      <c r="D12" s="3156">
        <v>40</v>
      </c>
      <c r="E12" s="3156">
        <v>40</v>
      </c>
      <c r="F12" s="3156">
        <v>40</v>
      </c>
      <c r="G12" s="3156">
        <v>40</v>
      </c>
      <c r="H12" s="3156">
        <v>40</v>
      </c>
      <c r="I12" s="3156">
        <v>35</v>
      </c>
      <c r="J12" s="3156">
        <v>35</v>
      </c>
      <c r="K12" s="3156">
        <v>35</v>
      </c>
      <c r="L12" s="3156">
        <v>35</v>
      </c>
      <c r="M12" s="3157">
        <v>35</v>
      </c>
    </row>
    <row r="13" spans="1:13" ht="19.5" customHeight="1">
      <c r="A13" s="2268" t="s">
        <v>2503</v>
      </c>
      <c r="B13" s="3156">
        <v>60</v>
      </c>
      <c r="C13" s="3156">
        <v>60</v>
      </c>
      <c r="D13" s="3156">
        <v>50</v>
      </c>
      <c r="E13" s="3156">
        <v>50</v>
      </c>
      <c r="F13" s="3156">
        <v>50</v>
      </c>
      <c r="G13" s="3156">
        <v>50</v>
      </c>
      <c r="H13" s="3156">
        <v>50</v>
      </c>
      <c r="I13" s="3156">
        <v>40</v>
      </c>
      <c r="J13" s="3156">
        <v>40</v>
      </c>
      <c r="K13" s="3156">
        <v>40</v>
      </c>
      <c r="L13" s="3156">
        <v>40</v>
      </c>
      <c r="M13" s="3157">
        <v>40</v>
      </c>
    </row>
    <row r="14" spans="1:13" ht="19.5" customHeight="1">
      <c r="A14" s="2268" t="s">
        <v>2504</v>
      </c>
      <c r="B14" s="3156">
        <v>50</v>
      </c>
      <c r="C14" s="3156">
        <v>50</v>
      </c>
      <c r="D14" s="3156">
        <v>40</v>
      </c>
      <c r="E14" s="3156">
        <v>40</v>
      </c>
      <c r="F14" s="3156">
        <v>40</v>
      </c>
      <c r="G14" s="3156">
        <v>40</v>
      </c>
      <c r="H14" s="3156">
        <v>40</v>
      </c>
      <c r="I14" s="3156">
        <v>30</v>
      </c>
      <c r="J14" s="3156">
        <v>30</v>
      </c>
      <c r="K14" s="3156">
        <v>30</v>
      </c>
      <c r="L14" s="3156">
        <v>30</v>
      </c>
      <c r="M14" s="3157">
        <v>30</v>
      </c>
    </row>
    <row r="15" spans="1:13" ht="19.5" customHeight="1">
      <c r="A15" s="2270" t="s">
        <v>2505</v>
      </c>
      <c r="B15" s="3158">
        <v>20</v>
      </c>
      <c r="C15" s="3158">
        <v>20</v>
      </c>
      <c r="D15" s="3158">
        <v>15</v>
      </c>
      <c r="E15" s="3158">
        <v>15</v>
      </c>
      <c r="F15" s="3158">
        <v>15</v>
      </c>
      <c r="G15" s="3158">
        <v>15</v>
      </c>
      <c r="H15" s="3158">
        <v>15</v>
      </c>
      <c r="I15" s="3158">
        <v>10</v>
      </c>
      <c r="J15" s="3158">
        <v>10</v>
      </c>
      <c r="K15" s="3158">
        <v>10</v>
      </c>
      <c r="L15" s="3158">
        <v>10</v>
      </c>
      <c r="M15" s="3159">
        <v>10</v>
      </c>
    </row>
    <row r="16" spans="1:13" ht="19.5" customHeight="1">
      <c r="A16" s="2269" t="s">
        <v>2506</v>
      </c>
      <c r="B16" s="3160">
        <v>0</v>
      </c>
      <c r="C16" s="3160">
        <v>0</v>
      </c>
      <c r="D16" s="3160">
        <v>0</v>
      </c>
      <c r="E16" s="3160">
        <v>0</v>
      </c>
      <c r="F16" s="3160">
        <v>0</v>
      </c>
      <c r="G16" s="3160">
        <v>0</v>
      </c>
      <c r="H16" s="3160">
        <v>0</v>
      </c>
      <c r="I16" s="3160">
        <v>0</v>
      </c>
      <c r="J16" s="3160">
        <v>0</v>
      </c>
      <c r="K16" s="3160">
        <v>0</v>
      </c>
      <c r="L16" s="3160">
        <v>0</v>
      </c>
      <c r="M16" s="3160">
        <v>0</v>
      </c>
    </row>
    <row r="17" spans="1:13" ht="19.5" customHeight="1">
      <c r="A17" s="2269" t="s">
        <v>2507</v>
      </c>
      <c r="B17" s="3160">
        <f>SUM(B8:B15)</f>
        <v>375</v>
      </c>
      <c r="C17" s="3160">
        <f t="shared" ref="C17:H17" si="0">SUM(C8:C15)</f>
        <v>375</v>
      </c>
      <c r="D17" s="3160">
        <f t="shared" si="0"/>
        <v>315</v>
      </c>
      <c r="E17" s="3160">
        <f t="shared" si="0"/>
        <v>315</v>
      </c>
      <c r="F17" s="3160">
        <f t="shared" si="0"/>
        <v>315</v>
      </c>
      <c r="G17" s="3160">
        <f t="shared" si="0"/>
        <v>315</v>
      </c>
      <c r="H17" s="3160">
        <f t="shared" si="0"/>
        <v>315</v>
      </c>
      <c r="I17" s="3160">
        <f>SUM(I8:I15)-I13-I14</f>
        <v>185</v>
      </c>
      <c r="J17" s="3160">
        <f t="shared" ref="J17:M17" si="1">SUM(J8:J15)-J13-J14</f>
        <v>185</v>
      </c>
      <c r="K17" s="3160">
        <f t="shared" si="1"/>
        <v>185</v>
      </c>
      <c r="L17" s="3160">
        <f t="shared" si="1"/>
        <v>185</v>
      </c>
      <c r="M17" s="3160">
        <f t="shared" si="1"/>
        <v>185</v>
      </c>
    </row>
    <row r="18" spans="1:13" s="2274" customFormat="1" ht="19.5" customHeight="1">
      <c r="A18" s="2272" t="s">
        <v>2508</v>
      </c>
      <c r="B18" s="2272"/>
      <c r="C18" s="2273"/>
      <c r="D18" s="2273"/>
      <c r="E18" s="2272"/>
      <c r="F18" s="2273"/>
      <c r="G18" s="2273"/>
    </row>
    <row r="19" spans="1:13" ht="19.5" customHeight="1" thickBot="1">
      <c r="A19" s="2271" t="s">
        <v>2509</v>
      </c>
      <c r="B19" s="2275" t="s">
        <v>2510</v>
      </c>
      <c r="C19" s="2275" t="s">
        <v>2511</v>
      </c>
      <c r="D19" s="2276"/>
      <c r="E19" s="2271" t="s">
        <v>2512</v>
      </c>
      <c r="F19" s="2277"/>
      <c r="G19" s="2277"/>
    </row>
    <row r="20" spans="1:13" ht="19.5" customHeight="1">
      <c r="A20" s="4752" t="s">
        <v>2492</v>
      </c>
      <c r="B20" s="4742" t="s">
        <v>2513</v>
      </c>
      <c r="C20" s="2557" t="s">
        <v>2324</v>
      </c>
      <c r="D20" s="2557"/>
      <c r="E20" s="3161">
        <v>1</v>
      </c>
      <c r="F20" s="2280" t="s">
        <v>2325</v>
      </c>
      <c r="G20" s="2280"/>
    </row>
    <row r="21" spans="1:13" ht="19.5" customHeight="1">
      <c r="A21" s="4753"/>
      <c r="B21" s="4743"/>
      <c r="C21" s="2289" t="s">
        <v>2326</v>
      </c>
      <c r="D21" s="2289"/>
      <c r="E21" s="3162">
        <v>1</v>
      </c>
      <c r="F21" s="2280" t="s">
        <v>2327</v>
      </c>
      <c r="G21" s="2280"/>
    </row>
    <row r="22" spans="1:13" ht="19.5" customHeight="1">
      <c r="A22" s="4753"/>
      <c r="B22" s="4743"/>
      <c r="C22" s="2289" t="s">
        <v>2328</v>
      </c>
      <c r="D22" s="2289"/>
      <c r="E22" s="3162">
        <v>0.9</v>
      </c>
      <c r="F22" s="2280" t="s">
        <v>2329</v>
      </c>
      <c r="G22" s="2280"/>
    </row>
    <row r="23" spans="1:13" ht="19.5" customHeight="1">
      <c r="A23" s="4753"/>
      <c r="B23" s="4743"/>
      <c r="C23" s="2289" t="s">
        <v>2330</v>
      </c>
      <c r="D23" s="2289"/>
      <c r="E23" s="3162">
        <v>0.9</v>
      </c>
      <c r="F23" s="2280" t="s">
        <v>2331</v>
      </c>
      <c r="G23" s="2280"/>
    </row>
    <row r="24" spans="1:13" ht="19.5" customHeight="1">
      <c r="A24" s="4753"/>
      <c r="B24" s="4743"/>
      <c r="C24" s="2289" t="s">
        <v>2332</v>
      </c>
      <c r="D24" s="2289"/>
      <c r="E24" s="3162">
        <v>0.8</v>
      </c>
      <c r="F24" s="2280" t="s">
        <v>2333</v>
      </c>
      <c r="G24" s="2280"/>
    </row>
    <row r="25" spans="1:13" ht="19.5" customHeight="1">
      <c r="A25" s="4753"/>
      <c r="B25" s="4743"/>
      <c r="C25" s="2289" t="s">
        <v>2334</v>
      </c>
      <c r="D25" s="2289"/>
      <c r="E25" s="3162">
        <v>0.8</v>
      </c>
      <c r="F25" s="2280"/>
      <c r="G25" s="2280"/>
    </row>
    <row r="26" spans="1:13" ht="19.5" customHeight="1">
      <c r="A26" s="4753"/>
      <c r="B26" s="4743"/>
      <c r="C26" s="2289" t="s">
        <v>3273</v>
      </c>
      <c r="D26" s="2289"/>
      <c r="E26" s="3162">
        <v>0.43</v>
      </c>
      <c r="F26" s="2280"/>
      <c r="G26" s="2280"/>
    </row>
    <row r="27" spans="1:13" ht="19.5" customHeight="1" thickBot="1">
      <c r="A27" s="4754"/>
      <c r="B27" s="4744"/>
      <c r="C27" s="2554" t="s">
        <v>3274</v>
      </c>
      <c r="D27" s="2554"/>
      <c r="E27" s="3163">
        <f>E26*0.9</f>
        <v>0.38700000000000001</v>
      </c>
      <c r="F27" s="2280" t="s">
        <v>2335</v>
      </c>
      <c r="G27" s="2280"/>
    </row>
    <row r="28" spans="1:13" ht="19.5" customHeight="1" thickBot="1">
      <c r="A28" s="2553" t="s">
        <v>2514</v>
      </c>
      <c r="B28" s="2552" t="s">
        <v>2513</v>
      </c>
      <c r="C28" s="2555" t="s">
        <v>2515</v>
      </c>
      <c r="D28" s="2556"/>
      <c r="E28" s="3164">
        <v>1</v>
      </c>
      <c r="F28" s="2280" t="s">
        <v>2336</v>
      </c>
      <c r="G28" s="2280"/>
    </row>
    <row r="29" spans="1:13" ht="19.5" customHeight="1">
      <c r="A29" s="4745" t="s">
        <v>2516</v>
      </c>
      <c r="B29" s="4748" t="s">
        <v>2497</v>
      </c>
      <c r="C29" s="2278" t="s">
        <v>2337</v>
      </c>
      <c r="D29" s="2279"/>
      <c r="E29" s="3161">
        <v>1</v>
      </c>
      <c r="F29" s="2280" t="s">
        <v>2338</v>
      </c>
      <c r="G29" s="2280"/>
    </row>
    <row r="30" spans="1:13" ht="19.5" customHeight="1">
      <c r="A30" s="4746"/>
      <c r="B30" s="4749"/>
      <c r="C30" s="2281" t="s">
        <v>2339</v>
      </c>
      <c r="D30" s="2282"/>
      <c r="E30" s="3162">
        <v>1</v>
      </c>
      <c r="F30" s="2280" t="s">
        <v>2340</v>
      </c>
      <c r="G30" s="2280"/>
    </row>
    <row r="31" spans="1:13" ht="19.5" customHeight="1">
      <c r="A31" s="4746"/>
      <c r="B31" s="4749"/>
      <c r="C31" s="2281" t="s">
        <v>2341</v>
      </c>
      <c r="D31" s="2282"/>
      <c r="E31" s="3162">
        <v>0.8</v>
      </c>
      <c r="F31" s="2280" t="s">
        <v>2342</v>
      </c>
      <c r="G31" s="2280"/>
    </row>
    <row r="32" spans="1:13" ht="19.5" customHeight="1">
      <c r="A32" s="4746"/>
      <c r="B32" s="4749"/>
      <c r="C32" s="2281" t="s">
        <v>2343</v>
      </c>
      <c r="D32" s="2282"/>
      <c r="E32" s="3162">
        <v>0.8</v>
      </c>
      <c r="F32" s="2280" t="s">
        <v>2344</v>
      </c>
      <c r="G32" s="2280"/>
    </row>
    <row r="33" spans="1:7" ht="19.5" customHeight="1">
      <c r="A33" s="4746"/>
      <c r="B33" s="4749"/>
      <c r="C33" s="2281" t="s">
        <v>2345</v>
      </c>
      <c r="D33" s="2282"/>
      <c r="E33" s="3162">
        <v>0.8</v>
      </c>
      <c r="F33" s="2280" t="s">
        <v>2346</v>
      </c>
      <c r="G33" s="2280"/>
    </row>
    <row r="34" spans="1:7" ht="19.5" customHeight="1">
      <c r="A34" s="4746"/>
      <c r="B34" s="4749"/>
      <c r="C34" s="2281" t="s">
        <v>2347</v>
      </c>
      <c r="D34" s="2282"/>
      <c r="E34" s="3162">
        <v>0.7</v>
      </c>
      <c r="F34" s="2280" t="s">
        <v>2348</v>
      </c>
      <c r="G34" s="2280"/>
    </row>
    <row r="35" spans="1:7" ht="19.5" customHeight="1">
      <c r="A35" s="4746"/>
      <c r="B35" s="4749"/>
      <c r="C35" s="2281" t="s">
        <v>2349</v>
      </c>
      <c r="D35" s="2282"/>
      <c r="E35" s="3162">
        <v>0.8</v>
      </c>
      <c r="F35" s="2280" t="s">
        <v>2350</v>
      </c>
      <c r="G35" s="2280"/>
    </row>
    <row r="36" spans="1:7" ht="19.5" customHeight="1">
      <c r="A36" s="4746"/>
      <c r="B36" s="4749"/>
      <c r="C36" s="2281" t="s">
        <v>2351</v>
      </c>
      <c r="D36" s="2282"/>
      <c r="E36" s="3162">
        <v>0.6</v>
      </c>
      <c r="F36" s="2280" t="s">
        <v>2352</v>
      </c>
      <c r="G36" s="2280"/>
    </row>
    <row r="37" spans="1:7" ht="19.5" customHeight="1">
      <c r="A37" s="4746"/>
      <c r="B37" s="4749"/>
      <c r="C37" s="2281" t="s">
        <v>2353</v>
      </c>
      <c r="D37" s="2282"/>
      <c r="E37" s="3162">
        <v>0.2</v>
      </c>
      <c r="F37" s="2280" t="s">
        <v>2354</v>
      </c>
      <c r="G37" s="2280"/>
    </row>
    <row r="38" spans="1:7" ht="19.5" customHeight="1">
      <c r="A38" s="4746"/>
      <c r="B38" s="4749"/>
      <c r="C38" s="2281" t="s">
        <v>2355</v>
      </c>
      <c r="D38" s="2282"/>
      <c r="E38" s="3162">
        <v>0.2</v>
      </c>
      <c r="F38" s="2280" t="s">
        <v>2356</v>
      </c>
      <c r="G38" s="2280"/>
    </row>
    <row r="39" spans="1:7" ht="19.5" customHeight="1">
      <c r="A39" s="4746"/>
      <c r="B39" s="4750" t="s">
        <v>2517</v>
      </c>
      <c r="C39" s="2281" t="s">
        <v>2357</v>
      </c>
      <c r="D39" s="2282"/>
      <c r="E39" s="3162">
        <v>0.6</v>
      </c>
      <c r="F39" s="2280" t="s">
        <v>2358</v>
      </c>
      <c r="G39" s="2280"/>
    </row>
    <row r="40" spans="1:7" ht="19.5" customHeight="1">
      <c r="A40" s="4746"/>
      <c r="B40" s="4749"/>
      <c r="C40" s="2281" t="s">
        <v>2359</v>
      </c>
      <c r="D40" s="2282"/>
      <c r="E40" s="3162">
        <v>0.6</v>
      </c>
      <c r="F40" s="2280" t="s">
        <v>2360</v>
      </c>
      <c r="G40" s="2280"/>
    </row>
    <row r="41" spans="1:7" ht="19.5" customHeight="1" thickBot="1">
      <c r="A41" s="4747"/>
      <c r="B41" s="4751"/>
      <c r="C41" s="2283" t="s">
        <v>2361</v>
      </c>
      <c r="D41" s="2284"/>
      <c r="E41" s="3163">
        <v>0.6</v>
      </c>
      <c r="F41" s="2280" t="s">
        <v>2362</v>
      </c>
      <c r="G41" s="2280"/>
    </row>
    <row r="42" spans="1:7" ht="19.5" customHeight="1" thickBot="1">
      <c r="A42" s="2285" t="s">
        <v>2494</v>
      </c>
      <c r="B42" s="2286" t="s">
        <v>2494</v>
      </c>
      <c r="C42" s="2287" t="s">
        <v>2518</v>
      </c>
      <c r="D42" s="2288"/>
      <c r="E42" s="3165">
        <v>1</v>
      </c>
      <c r="F42" s="2280" t="s">
        <v>2363</v>
      </c>
      <c r="G42" s="2280"/>
    </row>
    <row r="43" spans="1:7" ht="19.5" customHeight="1">
      <c r="A43" s="4752" t="s">
        <v>2495</v>
      </c>
      <c r="B43" s="4748" t="s">
        <v>2519</v>
      </c>
      <c r="C43" s="2278" t="s">
        <v>2364</v>
      </c>
      <c r="D43" s="2279"/>
      <c r="E43" s="3161">
        <v>1</v>
      </c>
      <c r="F43" s="2280" t="s">
        <v>2365</v>
      </c>
      <c r="G43" s="2280"/>
    </row>
    <row r="44" spans="1:7" ht="19.5" customHeight="1">
      <c r="A44" s="4753"/>
      <c r="B44" s="4749"/>
      <c r="C44" s="2281" t="s">
        <v>2366</v>
      </c>
      <c r="D44" s="2282"/>
      <c r="E44" s="3162">
        <v>1</v>
      </c>
      <c r="F44" s="2280" t="s">
        <v>2367</v>
      </c>
      <c r="G44" s="2280"/>
    </row>
    <row r="45" spans="1:7" ht="19.5" customHeight="1">
      <c r="A45" s="4753"/>
      <c r="B45" s="4755"/>
      <c r="C45" s="2281" t="s">
        <v>2368</v>
      </c>
      <c r="D45" s="2282"/>
      <c r="E45" s="3162">
        <v>1.5</v>
      </c>
      <c r="F45" s="2280" t="s">
        <v>2369</v>
      </c>
      <c r="G45" s="2280"/>
    </row>
    <row r="46" spans="1:7" ht="19.5" customHeight="1">
      <c r="A46" s="4753"/>
      <c r="B46" s="2289" t="s">
        <v>2520</v>
      </c>
      <c r="C46" s="2281" t="s">
        <v>2521</v>
      </c>
      <c r="D46" s="2282"/>
      <c r="E46" s="3162">
        <v>2</v>
      </c>
      <c r="F46" s="2280" t="s">
        <v>2370</v>
      </c>
      <c r="G46" s="2280"/>
    </row>
    <row r="47" spans="1:7" ht="19.5" customHeight="1">
      <c r="A47" s="4753"/>
      <c r="B47" s="4750" t="s">
        <v>2522</v>
      </c>
      <c r="C47" s="2281" t="s">
        <v>2371</v>
      </c>
      <c r="D47" s="2282"/>
      <c r="E47" s="3162">
        <v>1</v>
      </c>
      <c r="F47" s="2280" t="s">
        <v>2372</v>
      </c>
      <c r="G47" s="2280"/>
    </row>
    <row r="48" spans="1:7" ht="19.5" customHeight="1">
      <c r="A48" s="4753"/>
      <c r="B48" s="4749"/>
      <c r="C48" s="2281" t="s">
        <v>2373</v>
      </c>
      <c r="D48" s="2282"/>
      <c r="E48" s="3162">
        <v>1</v>
      </c>
      <c r="F48" s="2280" t="s">
        <v>2374</v>
      </c>
      <c r="G48" s="2280"/>
    </row>
    <row r="49" spans="1:7" ht="19.5" customHeight="1">
      <c r="A49" s="4753"/>
      <c r="B49" s="4749"/>
      <c r="C49" s="2281" t="s">
        <v>2375</v>
      </c>
      <c r="D49" s="2282"/>
      <c r="E49" s="3162">
        <v>1</v>
      </c>
      <c r="F49" s="2280" t="s">
        <v>2376</v>
      </c>
      <c r="G49" s="2280"/>
    </row>
    <row r="50" spans="1:7" ht="19.5" customHeight="1">
      <c r="A50" s="4753"/>
      <c r="B50" s="4749"/>
      <c r="C50" s="2281" t="s">
        <v>2377</v>
      </c>
      <c r="D50" s="2282"/>
      <c r="E50" s="3162">
        <v>1</v>
      </c>
      <c r="F50" s="2280" t="s">
        <v>2378</v>
      </c>
      <c r="G50" s="2280"/>
    </row>
    <row r="51" spans="1:7" ht="19.5" customHeight="1">
      <c r="A51" s="4753"/>
      <c r="B51" s="4749"/>
      <c r="C51" s="2281" t="s">
        <v>2379</v>
      </c>
      <c r="D51" s="2282"/>
      <c r="E51" s="3162">
        <v>1</v>
      </c>
      <c r="F51" s="2280" t="s">
        <v>2380</v>
      </c>
      <c r="G51" s="2280"/>
    </row>
    <row r="52" spans="1:7" ht="19.5" customHeight="1">
      <c r="A52" s="4753"/>
      <c r="B52" s="4749"/>
      <c r="C52" s="2281" t="s">
        <v>2381</v>
      </c>
      <c r="D52" s="2282"/>
      <c r="E52" s="3162">
        <v>1</v>
      </c>
      <c r="F52" s="2280" t="s">
        <v>2382</v>
      </c>
      <c r="G52" s="2280"/>
    </row>
    <row r="53" spans="1:7" ht="19.5" customHeight="1" thickBot="1">
      <c r="A53" s="4754"/>
      <c r="B53" s="4751"/>
      <c r="C53" s="2283" t="s">
        <v>2383</v>
      </c>
      <c r="D53" s="2284"/>
      <c r="E53" s="3163">
        <v>1</v>
      </c>
      <c r="F53" s="2280" t="s">
        <v>2384</v>
      </c>
      <c r="G53" s="2280"/>
    </row>
    <row r="54" spans="1:7" ht="19.5" customHeight="1">
      <c r="A54" s="2290"/>
      <c r="B54" s="2290"/>
      <c r="C54" s="2290"/>
      <c r="D54" s="2290"/>
      <c r="E54" s="2290"/>
      <c r="F54" s="2290"/>
      <c r="G54" s="2290"/>
    </row>
    <row r="56" spans="1:7" ht="19.5" customHeight="1">
      <c r="A56" s="2291"/>
      <c r="B56" s="2269" t="s">
        <v>2523</v>
      </c>
      <c r="C56" s="2269" t="s">
        <v>2523</v>
      </c>
      <c r="D56" s="2269" t="s">
        <v>2523</v>
      </c>
      <c r="E56" s="2271" t="s">
        <v>2523</v>
      </c>
      <c r="F56" s="2271" t="s">
        <v>2524</v>
      </c>
      <c r="G56" s="2271" t="s">
        <v>2525</v>
      </c>
    </row>
    <row r="57" spans="1:7" ht="19.5" customHeight="1">
      <c r="A57" s="2292"/>
      <c r="B57" s="2271" t="s">
        <v>2492</v>
      </c>
      <c r="C57" s="2271" t="s">
        <v>2492</v>
      </c>
      <c r="D57" s="2271" t="s">
        <v>2492</v>
      </c>
      <c r="E57" s="2269" t="s">
        <v>2493</v>
      </c>
      <c r="F57" s="2269" t="s">
        <v>2495</v>
      </c>
      <c r="G57" s="2269" t="s">
        <v>2526</v>
      </c>
    </row>
    <row r="58" spans="1:7" ht="19.5" customHeight="1">
      <c r="A58" s="2293"/>
      <c r="B58" s="3156">
        <v>1</v>
      </c>
      <c r="C58" s="3156">
        <v>2</v>
      </c>
      <c r="D58" s="3156">
        <v>3</v>
      </c>
      <c r="E58" s="2294" t="s">
        <v>2527</v>
      </c>
      <c r="F58" s="2294" t="s">
        <v>2527</v>
      </c>
      <c r="G58" s="2294" t="s">
        <v>2527</v>
      </c>
    </row>
    <row r="59" spans="1:7" ht="19.5" customHeight="1">
      <c r="A59" s="2295" t="s">
        <v>2480</v>
      </c>
      <c r="B59" s="3153">
        <v>0.7</v>
      </c>
      <c r="C59" s="3153">
        <v>0.4</v>
      </c>
      <c r="D59" s="3153">
        <v>0.3</v>
      </c>
      <c r="E59" s="3166">
        <v>0.3</v>
      </c>
      <c r="F59" s="3153">
        <v>0.3</v>
      </c>
      <c r="G59" s="3153">
        <v>0.2</v>
      </c>
    </row>
    <row r="60" spans="1:7" ht="19.5" customHeight="1">
      <c r="A60" s="2295" t="s">
        <v>2481</v>
      </c>
      <c r="B60" s="3153">
        <v>0.7</v>
      </c>
      <c r="C60" s="3153">
        <v>0.4</v>
      </c>
      <c r="D60" s="3153">
        <v>0.3</v>
      </c>
      <c r="E60" s="3153">
        <v>0.3</v>
      </c>
      <c r="F60" s="3153">
        <v>0.3</v>
      </c>
      <c r="G60" s="3153">
        <v>0.2</v>
      </c>
    </row>
    <row r="61" spans="1:7" ht="19.5" customHeight="1">
      <c r="A61" s="2295" t="s">
        <v>2482</v>
      </c>
      <c r="B61" s="3153">
        <v>0.6</v>
      </c>
      <c r="C61" s="3153">
        <v>0.3</v>
      </c>
      <c r="D61" s="3153">
        <v>0.25</v>
      </c>
      <c r="E61" s="3153">
        <v>0.25</v>
      </c>
      <c r="F61" s="3153">
        <v>0.25</v>
      </c>
      <c r="G61" s="3153">
        <v>0.15</v>
      </c>
    </row>
    <row r="62" spans="1:7" ht="19.5" customHeight="1">
      <c r="A62" s="2295" t="s">
        <v>2483</v>
      </c>
      <c r="B62" s="3153">
        <v>0.6</v>
      </c>
      <c r="C62" s="3153">
        <v>0.3</v>
      </c>
      <c r="D62" s="3153">
        <v>0.25</v>
      </c>
      <c r="E62" s="3153">
        <v>0.25</v>
      </c>
      <c r="F62" s="3153">
        <v>0.25</v>
      </c>
      <c r="G62" s="3153">
        <v>0.15</v>
      </c>
    </row>
    <row r="63" spans="1:7" ht="19.5" customHeight="1">
      <c r="A63" s="2295" t="s">
        <v>2484</v>
      </c>
      <c r="B63" s="3153">
        <v>0.6</v>
      </c>
      <c r="C63" s="3153">
        <v>0.3</v>
      </c>
      <c r="D63" s="3153">
        <v>0.25</v>
      </c>
      <c r="E63" s="3153">
        <v>0.25</v>
      </c>
      <c r="F63" s="3153">
        <v>0.25</v>
      </c>
      <c r="G63" s="3153">
        <v>0.15</v>
      </c>
    </row>
    <row r="64" spans="1:7" ht="19.5" customHeight="1">
      <c r="A64" s="2295" t="s">
        <v>2485</v>
      </c>
      <c r="B64" s="3153">
        <v>0.6</v>
      </c>
      <c r="C64" s="3153">
        <v>0.3</v>
      </c>
      <c r="D64" s="3153">
        <v>0.25</v>
      </c>
      <c r="E64" s="3153">
        <v>0.25</v>
      </c>
      <c r="F64" s="3153">
        <v>0.25</v>
      </c>
      <c r="G64" s="3153">
        <v>0.15</v>
      </c>
    </row>
    <row r="65" spans="1:7" ht="19.5" customHeight="1">
      <c r="A65" s="2295" t="s">
        <v>2486</v>
      </c>
      <c r="B65" s="3153">
        <v>0.6</v>
      </c>
      <c r="C65" s="3153">
        <v>0.3</v>
      </c>
      <c r="D65" s="3153">
        <v>0.25</v>
      </c>
      <c r="E65" s="3153">
        <v>0.25</v>
      </c>
      <c r="F65" s="3153">
        <v>0.25</v>
      </c>
      <c r="G65" s="3153">
        <v>0.15</v>
      </c>
    </row>
    <row r="66" spans="1:7" ht="19.5" customHeight="1">
      <c r="A66" s="2295" t="s">
        <v>2487</v>
      </c>
      <c r="B66" s="3153">
        <v>0.5</v>
      </c>
      <c r="C66" s="3153">
        <v>0.2</v>
      </c>
      <c r="D66" s="3153">
        <v>0.2</v>
      </c>
      <c r="E66" s="3153">
        <v>0.2</v>
      </c>
      <c r="F66" s="3153">
        <v>0.2</v>
      </c>
      <c r="G66" s="3153">
        <v>0.1</v>
      </c>
    </row>
    <row r="67" spans="1:7" ht="19.5" customHeight="1">
      <c r="A67" s="2295" t="s">
        <v>2488</v>
      </c>
      <c r="B67" s="3153">
        <v>0.5</v>
      </c>
      <c r="C67" s="3153">
        <v>0.2</v>
      </c>
      <c r="D67" s="3153">
        <v>0.2</v>
      </c>
      <c r="E67" s="3153">
        <v>0.2</v>
      </c>
      <c r="F67" s="3153">
        <v>0.2</v>
      </c>
      <c r="G67" s="3153">
        <v>0.1</v>
      </c>
    </row>
    <row r="68" spans="1:7" ht="19.5" customHeight="1">
      <c r="A68" s="2295" t="s">
        <v>2489</v>
      </c>
      <c r="B68" s="3153">
        <v>0.5</v>
      </c>
      <c r="C68" s="3153">
        <v>0.2</v>
      </c>
      <c r="D68" s="3153">
        <v>0.2</v>
      </c>
      <c r="E68" s="3153">
        <v>0.2</v>
      </c>
      <c r="F68" s="3153">
        <v>0.2</v>
      </c>
      <c r="G68" s="3153">
        <v>0.1</v>
      </c>
    </row>
    <row r="69" spans="1:7" ht="19.5" customHeight="1">
      <c r="A69" s="2295" t="s">
        <v>2490</v>
      </c>
      <c r="B69" s="3153">
        <v>0.5</v>
      </c>
      <c r="C69" s="3153">
        <v>0.2</v>
      </c>
      <c r="D69" s="3153">
        <v>0.2</v>
      </c>
      <c r="E69" s="3153">
        <v>0.2</v>
      </c>
      <c r="F69" s="3153">
        <v>0.2</v>
      </c>
      <c r="G69" s="3153">
        <v>0.1</v>
      </c>
    </row>
    <row r="70" spans="1:7" ht="19.5" customHeight="1">
      <c r="A70" s="2295" t="s">
        <v>2491</v>
      </c>
      <c r="B70" s="3153">
        <v>0.5</v>
      </c>
      <c r="C70" s="3153">
        <v>0.2</v>
      </c>
      <c r="D70" s="3153">
        <v>0.2</v>
      </c>
      <c r="E70" s="3153">
        <v>0.2</v>
      </c>
      <c r="F70" s="3153">
        <v>0.2</v>
      </c>
      <c r="G70" s="3153">
        <v>0.1</v>
      </c>
    </row>
    <row r="72" spans="1:7" ht="19.5" customHeight="1">
      <c r="A72" s="2280"/>
      <c r="B72" s="2296"/>
      <c r="C72" s="2296"/>
      <c r="D72" s="2296" t="s">
        <v>2528</v>
      </c>
      <c r="E72" s="2296"/>
      <c r="F72" s="2296"/>
    </row>
    <row r="73" spans="1:7" ht="19.5" customHeight="1">
      <c r="A73" s="2289" t="s">
        <v>2529</v>
      </c>
      <c r="B73" s="2289" t="s">
        <v>2530</v>
      </c>
      <c r="C73" s="2289" t="s">
        <v>2531</v>
      </c>
      <c r="D73" s="2289" t="s">
        <v>2532</v>
      </c>
      <c r="E73" s="2289" t="s">
        <v>2533</v>
      </c>
      <c r="F73" s="2289" t="s">
        <v>2534</v>
      </c>
    </row>
    <row r="74" spans="1:7" ht="13.5">
      <c r="A74" s="2289"/>
      <c r="B74" s="2289"/>
      <c r="C74" s="2289" t="s">
        <v>2535</v>
      </c>
      <c r="D74" s="2289"/>
      <c r="E74" s="2289" t="s">
        <v>2506</v>
      </c>
      <c r="F74" s="2289" t="s">
        <v>2506</v>
      </c>
    </row>
    <row r="75" spans="1:7" ht="13.5">
      <c r="A75" s="2289">
        <v>1</v>
      </c>
      <c r="B75" s="4750" t="s">
        <v>2536</v>
      </c>
      <c r="C75" s="2269" t="s">
        <v>2537</v>
      </c>
      <c r="D75" s="2269" t="s">
        <v>2538</v>
      </c>
      <c r="E75" s="3167">
        <v>0.2</v>
      </c>
      <c r="F75" s="3168">
        <v>25</v>
      </c>
    </row>
    <row r="76" spans="1:7" ht="24">
      <c r="A76" s="2289">
        <v>2</v>
      </c>
      <c r="B76" s="4749"/>
      <c r="C76" s="2269" t="s">
        <v>2539</v>
      </c>
      <c r="D76" s="2269" t="s">
        <v>2540</v>
      </c>
      <c r="E76" s="3167">
        <v>0.2</v>
      </c>
      <c r="F76" s="3168">
        <v>25</v>
      </c>
    </row>
    <row r="77" spans="1:7" ht="24">
      <c r="A77" s="2289">
        <v>3</v>
      </c>
      <c r="B77" s="4749"/>
      <c r="C77" s="2269" t="s">
        <v>2541</v>
      </c>
      <c r="D77" s="2269" t="s">
        <v>2542</v>
      </c>
      <c r="E77" s="3167">
        <v>0.2</v>
      </c>
      <c r="F77" s="3168">
        <v>25</v>
      </c>
    </row>
    <row r="78" spans="1:7" ht="13.5">
      <c r="A78" s="2289">
        <v>4</v>
      </c>
      <c r="B78" s="4749"/>
      <c r="C78" s="2269" t="s">
        <v>2543</v>
      </c>
      <c r="D78" s="2269" t="s">
        <v>2544</v>
      </c>
      <c r="E78" s="3167">
        <v>0.15</v>
      </c>
      <c r="F78" s="3168">
        <v>20</v>
      </c>
    </row>
    <row r="79" spans="1:7" ht="24">
      <c r="A79" s="2289">
        <v>5</v>
      </c>
      <c r="B79" s="4749"/>
      <c r="C79" s="2269" t="s">
        <v>2545</v>
      </c>
      <c r="D79" s="2269" t="s">
        <v>2546</v>
      </c>
      <c r="E79" s="3167">
        <v>0.15</v>
      </c>
      <c r="F79" s="3168">
        <v>20</v>
      </c>
    </row>
    <row r="80" spans="1:7" ht="24">
      <c r="A80" s="2289">
        <v>6</v>
      </c>
      <c r="B80" s="4749"/>
      <c r="C80" s="2269" t="s">
        <v>2547</v>
      </c>
      <c r="D80" s="2269" t="s">
        <v>2548</v>
      </c>
      <c r="E80" s="3167">
        <v>0.15</v>
      </c>
      <c r="F80" s="3168">
        <v>20</v>
      </c>
    </row>
    <row r="81" spans="1:6" ht="24">
      <c r="A81" s="2289">
        <v>7</v>
      </c>
      <c r="B81" s="4749"/>
      <c r="C81" s="2269" t="s">
        <v>2549</v>
      </c>
      <c r="D81" s="2269" t="s">
        <v>2550</v>
      </c>
      <c r="E81" s="3167">
        <v>0.15</v>
      </c>
      <c r="F81" s="3168">
        <v>20</v>
      </c>
    </row>
    <row r="82" spans="1:6" ht="24">
      <c r="A82" s="2289">
        <v>8</v>
      </c>
      <c r="B82" s="4749"/>
      <c r="C82" s="2269" t="s">
        <v>2551</v>
      </c>
      <c r="D82" s="2269" t="s">
        <v>2552</v>
      </c>
      <c r="E82" s="3167">
        <v>0.1</v>
      </c>
      <c r="F82" s="3168">
        <v>15</v>
      </c>
    </row>
    <row r="83" spans="1:6" ht="24">
      <c r="A83" s="2289">
        <v>9</v>
      </c>
      <c r="B83" s="4749"/>
      <c r="C83" s="2269" t="s">
        <v>2553</v>
      </c>
      <c r="D83" s="2269" t="s">
        <v>2554</v>
      </c>
      <c r="E83" s="3167">
        <v>0.1</v>
      </c>
      <c r="F83" s="3168">
        <v>15</v>
      </c>
    </row>
    <row r="84" spans="1:6" ht="24">
      <c r="A84" s="2289">
        <v>10</v>
      </c>
      <c r="B84" s="4749"/>
      <c r="C84" s="2269" t="s">
        <v>2555</v>
      </c>
      <c r="D84" s="2269" t="s">
        <v>2556</v>
      </c>
      <c r="E84" s="3167">
        <v>0.1</v>
      </c>
      <c r="F84" s="3168">
        <v>15</v>
      </c>
    </row>
    <row r="85" spans="1:6" ht="24">
      <c r="A85" s="2289">
        <v>11</v>
      </c>
      <c r="B85" s="4749"/>
      <c r="C85" s="2269" t="s">
        <v>2557</v>
      </c>
      <c r="D85" s="2269" t="s">
        <v>2558</v>
      </c>
      <c r="E85" s="3167">
        <v>0.1</v>
      </c>
      <c r="F85" s="3168">
        <v>15</v>
      </c>
    </row>
    <row r="86" spans="1:6" ht="24">
      <c r="A86" s="2289">
        <v>12</v>
      </c>
      <c r="B86" s="4749"/>
      <c r="C86" s="2269" t="s">
        <v>2559</v>
      </c>
      <c r="D86" s="2269" t="s">
        <v>2560</v>
      </c>
      <c r="E86" s="3167">
        <v>0.1</v>
      </c>
      <c r="F86" s="3168">
        <v>15</v>
      </c>
    </row>
    <row r="87" spans="1:6" ht="13.5">
      <c r="A87" s="2289">
        <v>13</v>
      </c>
      <c r="B87" s="4749"/>
      <c r="C87" s="2269" t="s">
        <v>2561</v>
      </c>
      <c r="D87" s="2269" t="s">
        <v>2562</v>
      </c>
      <c r="E87" s="3167">
        <v>0.1</v>
      </c>
      <c r="F87" s="3168">
        <v>15</v>
      </c>
    </row>
    <row r="88" spans="1:6" ht="13.5">
      <c r="A88" s="2289">
        <v>14</v>
      </c>
      <c r="B88" s="4749"/>
      <c r="C88" s="2269" t="s">
        <v>2563</v>
      </c>
      <c r="D88" s="2269" t="s">
        <v>2564</v>
      </c>
      <c r="E88" s="3167">
        <v>0.1</v>
      </c>
      <c r="F88" s="3168">
        <v>15</v>
      </c>
    </row>
    <row r="89" spans="1:6" ht="13.5">
      <c r="A89" s="2289">
        <v>15</v>
      </c>
      <c r="B89" s="4749"/>
      <c r="C89" s="2269" t="s">
        <v>2565</v>
      </c>
      <c r="D89" s="2269" t="s">
        <v>2566</v>
      </c>
      <c r="E89" s="3167">
        <v>0.1</v>
      </c>
      <c r="F89" s="3168">
        <v>15</v>
      </c>
    </row>
    <row r="90" spans="1:6" ht="24">
      <c r="A90" s="2289">
        <v>16</v>
      </c>
      <c r="B90" s="4749"/>
      <c r="C90" s="2269" t="s">
        <v>2567</v>
      </c>
      <c r="D90" s="2269" t="s">
        <v>2568</v>
      </c>
      <c r="E90" s="3167">
        <v>0.1</v>
      </c>
      <c r="F90" s="3168">
        <v>15</v>
      </c>
    </row>
    <row r="91" spans="1:6" ht="24">
      <c r="A91" s="2289">
        <v>17</v>
      </c>
      <c r="B91" s="4755"/>
      <c r="C91" s="2269" t="s">
        <v>2569</v>
      </c>
      <c r="D91" s="2269" t="s">
        <v>2570</v>
      </c>
      <c r="E91" s="3167">
        <v>0.1</v>
      </c>
      <c r="F91" s="3168">
        <v>15</v>
      </c>
    </row>
    <row r="92" spans="1:6" ht="13.5">
      <c r="A92" s="2289">
        <v>18</v>
      </c>
      <c r="B92" s="4750" t="s">
        <v>2571</v>
      </c>
      <c r="C92" s="2269" t="s">
        <v>2572</v>
      </c>
      <c r="D92" s="2269" t="s">
        <v>2573</v>
      </c>
      <c r="E92" s="3167">
        <v>0.2</v>
      </c>
      <c r="F92" s="3168">
        <v>25</v>
      </c>
    </row>
    <row r="93" spans="1:6" ht="24">
      <c r="A93" s="2289">
        <v>19</v>
      </c>
      <c r="B93" s="4749"/>
      <c r="C93" s="2269" t="s">
        <v>2574</v>
      </c>
      <c r="D93" s="2269" t="s">
        <v>2575</v>
      </c>
      <c r="E93" s="3167">
        <v>0.2</v>
      </c>
      <c r="F93" s="3168">
        <v>25</v>
      </c>
    </row>
    <row r="94" spans="1:6" ht="13.5">
      <c r="A94" s="2289">
        <v>20</v>
      </c>
      <c r="B94" s="4749"/>
      <c r="C94" s="2269" t="s">
        <v>2576</v>
      </c>
      <c r="D94" s="2269" t="s">
        <v>2577</v>
      </c>
      <c r="E94" s="3167">
        <v>0.15</v>
      </c>
      <c r="F94" s="3168">
        <v>20</v>
      </c>
    </row>
    <row r="95" spans="1:6" ht="13.5">
      <c r="A95" s="2289">
        <v>21</v>
      </c>
      <c r="B95" s="4749"/>
      <c r="C95" s="2269" t="s">
        <v>2578</v>
      </c>
      <c r="D95" s="2269" t="s">
        <v>2579</v>
      </c>
      <c r="E95" s="3167">
        <v>0.15</v>
      </c>
      <c r="F95" s="3168">
        <v>20</v>
      </c>
    </row>
    <row r="96" spans="1:6" ht="13.5">
      <c r="A96" s="2289">
        <v>22</v>
      </c>
      <c r="B96" s="4749"/>
      <c r="C96" s="2269" t="s">
        <v>2580</v>
      </c>
      <c r="D96" s="2269" t="s">
        <v>2581</v>
      </c>
      <c r="E96" s="3167">
        <v>0.15</v>
      </c>
      <c r="F96" s="3168">
        <v>20</v>
      </c>
    </row>
    <row r="97" spans="1:6" ht="36">
      <c r="A97" s="2289">
        <v>23</v>
      </c>
      <c r="B97" s="4749"/>
      <c r="C97" s="2269" t="s">
        <v>2582</v>
      </c>
      <c r="D97" s="2269" t="s">
        <v>2583</v>
      </c>
      <c r="E97" s="3167">
        <v>0.15</v>
      </c>
      <c r="F97" s="3168">
        <v>20</v>
      </c>
    </row>
    <row r="98" spans="1:6" ht="13.5">
      <c r="A98" s="2289">
        <v>24</v>
      </c>
      <c r="B98" s="4749"/>
      <c r="C98" s="2269" t="s">
        <v>2584</v>
      </c>
      <c r="D98" s="2269" t="s">
        <v>2585</v>
      </c>
      <c r="E98" s="3167">
        <v>0.1</v>
      </c>
      <c r="F98" s="3168">
        <v>15</v>
      </c>
    </row>
    <row r="99" spans="1:6" ht="13.5">
      <c r="A99" s="2289">
        <v>25</v>
      </c>
      <c r="B99" s="4749"/>
      <c r="C99" s="2269" t="s">
        <v>2586</v>
      </c>
      <c r="D99" s="2269" t="s">
        <v>2587</v>
      </c>
      <c r="E99" s="3167">
        <v>0.1</v>
      </c>
      <c r="F99" s="3168">
        <v>15</v>
      </c>
    </row>
    <row r="100" spans="1:6" ht="24">
      <c r="A100" s="2289">
        <v>26</v>
      </c>
      <c r="B100" s="4749"/>
      <c r="C100" s="2269" t="s">
        <v>2588</v>
      </c>
      <c r="D100" s="2269" t="s">
        <v>2589</v>
      </c>
      <c r="E100" s="3167">
        <v>0.1</v>
      </c>
      <c r="F100" s="3168">
        <v>15</v>
      </c>
    </row>
    <row r="101" spans="1:6" ht="24">
      <c r="A101" s="2289">
        <v>27</v>
      </c>
      <c r="B101" s="4749"/>
      <c r="C101" s="2269" t="s">
        <v>2590</v>
      </c>
      <c r="D101" s="2269" t="s">
        <v>2591</v>
      </c>
      <c r="E101" s="3167">
        <v>0.1</v>
      </c>
      <c r="F101" s="3168">
        <v>15</v>
      </c>
    </row>
    <row r="102" spans="1:6" ht="13.5">
      <c r="A102" s="2289">
        <v>28</v>
      </c>
      <c r="B102" s="4749"/>
      <c r="C102" s="2269" t="s">
        <v>2592</v>
      </c>
      <c r="D102" s="2269" t="s">
        <v>2593</v>
      </c>
      <c r="E102" s="3167">
        <v>0.1</v>
      </c>
      <c r="F102" s="3168">
        <v>15</v>
      </c>
    </row>
    <row r="103" spans="1:6" ht="13.5">
      <c r="A103" s="2289">
        <v>29</v>
      </c>
      <c r="B103" s="4749"/>
      <c r="C103" s="2269" t="s">
        <v>2594</v>
      </c>
      <c r="D103" s="2269" t="s">
        <v>2595</v>
      </c>
      <c r="E103" s="3167">
        <v>0.1</v>
      </c>
      <c r="F103" s="3168">
        <v>15</v>
      </c>
    </row>
    <row r="104" spans="1:6" ht="13.5">
      <c r="A104" s="2289">
        <v>30</v>
      </c>
      <c r="B104" s="4749"/>
      <c r="C104" s="2269" t="s">
        <v>2596</v>
      </c>
      <c r="D104" s="2269" t="s">
        <v>2597</v>
      </c>
      <c r="E104" s="3167">
        <v>0.1</v>
      </c>
      <c r="F104" s="3168">
        <v>15</v>
      </c>
    </row>
    <row r="105" spans="1:6" ht="24">
      <c r="A105" s="2289">
        <v>31</v>
      </c>
      <c r="B105" s="4749"/>
      <c r="C105" s="2269" t="s">
        <v>2598</v>
      </c>
      <c r="D105" s="2269" t="s">
        <v>2599</v>
      </c>
      <c r="E105" s="3167">
        <v>0.1</v>
      </c>
      <c r="F105" s="3168">
        <v>15</v>
      </c>
    </row>
    <row r="106" spans="1:6" ht="24">
      <c r="A106" s="2289">
        <v>32</v>
      </c>
      <c r="B106" s="4749"/>
      <c r="C106" s="2269" t="s">
        <v>2600</v>
      </c>
      <c r="D106" s="2269" t="s">
        <v>2601</v>
      </c>
      <c r="E106" s="3167">
        <v>0.1</v>
      </c>
      <c r="F106" s="3168">
        <v>15</v>
      </c>
    </row>
    <row r="107" spans="1:6" ht="24">
      <c r="A107" s="2289">
        <v>33</v>
      </c>
      <c r="B107" s="4749"/>
      <c r="C107" s="2269" t="s">
        <v>2602</v>
      </c>
      <c r="D107" s="2269" t="s">
        <v>2603</v>
      </c>
      <c r="E107" s="3167">
        <v>0.1</v>
      </c>
      <c r="F107" s="3168">
        <v>15</v>
      </c>
    </row>
    <row r="108" spans="1:6" ht="24">
      <c r="A108" s="2289">
        <v>34</v>
      </c>
      <c r="B108" s="4755"/>
      <c r="C108" s="2269" t="s">
        <v>2604</v>
      </c>
      <c r="D108" s="2269" t="s">
        <v>2605</v>
      </c>
      <c r="E108" s="3167">
        <v>0.1</v>
      </c>
      <c r="F108" s="3168">
        <v>15</v>
      </c>
    </row>
    <row r="109" spans="1:6" ht="24">
      <c r="A109" s="2289">
        <v>35</v>
      </c>
      <c r="B109" s="4750" t="s">
        <v>2606</v>
      </c>
      <c r="C109" s="2289" t="s">
        <v>2607</v>
      </c>
      <c r="D109" s="2269" t="s">
        <v>2608</v>
      </c>
      <c r="E109" s="3167">
        <v>0.15</v>
      </c>
      <c r="F109" s="3168">
        <v>20</v>
      </c>
    </row>
    <row r="110" spans="1:6" ht="13.5">
      <c r="A110" s="2289">
        <v>36</v>
      </c>
      <c r="B110" s="4749"/>
      <c r="C110" s="2289" t="s">
        <v>2609</v>
      </c>
      <c r="D110" s="2269" t="s">
        <v>2610</v>
      </c>
      <c r="E110" s="3167">
        <v>0.15</v>
      </c>
      <c r="F110" s="3168">
        <v>20</v>
      </c>
    </row>
    <row r="111" spans="1:6" ht="13.5">
      <c r="A111" s="2289">
        <v>37</v>
      </c>
      <c r="B111" s="4749"/>
      <c r="C111" s="2289" t="s">
        <v>2611</v>
      </c>
      <c r="D111" s="2269" t="s">
        <v>2612</v>
      </c>
      <c r="E111" s="3167">
        <v>0.15</v>
      </c>
      <c r="F111" s="3168">
        <v>20</v>
      </c>
    </row>
    <row r="112" spans="1:6" ht="13.5">
      <c r="A112" s="2289">
        <v>38</v>
      </c>
      <c r="B112" s="4749"/>
      <c r="C112" s="2289" t="s">
        <v>2613</v>
      </c>
      <c r="D112" s="2269" t="s">
        <v>2614</v>
      </c>
      <c r="E112" s="3167">
        <v>0.1</v>
      </c>
      <c r="F112" s="3168">
        <v>15</v>
      </c>
    </row>
    <row r="113" spans="1:6" ht="24">
      <c r="A113" s="2289">
        <v>39</v>
      </c>
      <c r="B113" s="4749"/>
      <c r="C113" s="2289" t="s">
        <v>2615</v>
      </c>
      <c r="D113" s="2269" t="s">
        <v>2616</v>
      </c>
      <c r="E113" s="3167">
        <v>0.1</v>
      </c>
      <c r="F113" s="3168">
        <v>15</v>
      </c>
    </row>
    <row r="114" spans="1:6" ht="24">
      <c r="A114" s="2289">
        <v>40</v>
      </c>
      <c r="B114" s="4755"/>
      <c r="C114" s="2289" t="s">
        <v>2617</v>
      </c>
      <c r="D114" s="2269" t="s">
        <v>2618</v>
      </c>
      <c r="E114" s="3167">
        <v>0.1</v>
      </c>
      <c r="F114" s="3168">
        <v>15</v>
      </c>
    </row>
    <row r="115" spans="1:6" ht="13.5">
      <c r="A115" s="2289">
        <v>41</v>
      </c>
      <c r="B115" s="4743" t="s">
        <v>2619</v>
      </c>
      <c r="C115" s="2289" t="s">
        <v>2620</v>
      </c>
      <c r="D115" s="2269" t="s">
        <v>2621</v>
      </c>
      <c r="E115" s="3167">
        <v>0.1</v>
      </c>
      <c r="F115" s="3168">
        <v>15</v>
      </c>
    </row>
    <row r="116" spans="1:6" ht="13.5">
      <c r="A116" s="2289">
        <v>42</v>
      </c>
      <c r="B116" s="4743"/>
      <c r="C116" s="2289" t="s">
        <v>2622</v>
      </c>
      <c r="D116" s="2269" t="s">
        <v>2623</v>
      </c>
      <c r="E116" s="3167">
        <v>0.1</v>
      </c>
      <c r="F116" s="3168">
        <v>15</v>
      </c>
    </row>
    <row r="117" spans="1:6" ht="24">
      <c r="A117" s="2289">
        <v>43</v>
      </c>
      <c r="B117" s="4743"/>
      <c r="C117" s="2289" t="s">
        <v>2624</v>
      </c>
      <c r="D117" s="2269" t="s">
        <v>2625</v>
      </c>
      <c r="E117" s="3167">
        <v>0.1</v>
      </c>
      <c r="F117" s="3168">
        <v>15</v>
      </c>
    </row>
    <row r="118" spans="1:6" ht="13.5">
      <c r="A118" s="2289">
        <v>44</v>
      </c>
      <c r="B118" s="4750" t="s">
        <v>2626</v>
      </c>
      <c r="C118" s="2289" t="s">
        <v>2627</v>
      </c>
      <c r="D118" s="2269" t="s">
        <v>2628</v>
      </c>
      <c r="E118" s="3167">
        <v>0.1</v>
      </c>
      <c r="F118" s="3168">
        <v>15</v>
      </c>
    </row>
    <row r="119" spans="1:6" ht="24">
      <c r="A119" s="2289">
        <v>45</v>
      </c>
      <c r="B119" s="4755"/>
      <c r="C119" s="2269" t="s">
        <v>2629</v>
      </c>
      <c r="D119" s="2269" t="s">
        <v>2630</v>
      </c>
      <c r="E119" s="3167">
        <v>0.1</v>
      </c>
      <c r="F119" s="3168">
        <v>15</v>
      </c>
    </row>
    <row r="120" spans="1:6" ht="24">
      <c r="A120" s="2289">
        <v>46</v>
      </c>
      <c r="B120" s="4750" t="s">
        <v>2631</v>
      </c>
      <c r="C120" s="2289" t="s">
        <v>2632</v>
      </c>
      <c r="D120" s="2269" t="s">
        <v>2633</v>
      </c>
      <c r="E120" s="3167">
        <v>0.1</v>
      </c>
      <c r="F120" s="3168">
        <v>15</v>
      </c>
    </row>
    <row r="121" spans="1:6" ht="24">
      <c r="A121" s="2289">
        <v>47</v>
      </c>
      <c r="B121" s="4755"/>
      <c r="C121" s="2289" t="s">
        <v>2634</v>
      </c>
      <c r="D121" s="2269" t="s">
        <v>2635</v>
      </c>
      <c r="E121" s="3167">
        <v>0.1</v>
      </c>
      <c r="F121" s="3168">
        <v>15</v>
      </c>
    </row>
    <row r="122" spans="1:6" ht="13.5">
      <c r="A122" s="2289">
        <v>48</v>
      </c>
      <c r="B122" s="4750" t="s">
        <v>2636</v>
      </c>
      <c r="C122" s="2289" t="s">
        <v>2637</v>
      </c>
      <c r="D122" s="2269" t="s">
        <v>2638</v>
      </c>
      <c r="E122" s="3167">
        <v>0.1</v>
      </c>
      <c r="F122" s="3168">
        <v>15</v>
      </c>
    </row>
    <row r="123" spans="1:6" ht="13.5">
      <c r="A123" s="2289">
        <v>49</v>
      </c>
      <c r="B123" s="4755"/>
      <c r="C123" s="2289" t="s">
        <v>2639</v>
      </c>
      <c r="D123" s="2269" t="s">
        <v>2640</v>
      </c>
      <c r="E123" s="3167">
        <v>0.1</v>
      </c>
      <c r="F123" s="3168">
        <v>15</v>
      </c>
    </row>
    <row r="124" spans="1:6" ht="24">
      <c r="A124" s="2289">
        <v>50</v>
      </c>
      <c r="B124" s="4743" t="s">
        <v>2641</v>
      </c>
      <c r="C124" s="2289" t="s">
        <v>2642</v>
      </c>
      <c r="D124" s="2269" t="s">
        <v>2643</v>
      </c>
      <c r="E124" s="3167">
        <v>0.1</v>
      </c>
      <c r="F124" s="3168">
        <v>15</v>
      </c>
    </row>
    <row r="125" spans="1:6" ht="24">
      <c r="A125" s="2289">
        <v>51</v>
      </c>
      <c r="B125" s="4743"/>
      <c r="C125" s="2289" t="s">
        <v>2644</v>
      </c>
      <c r="D125" s="2269" t="s">
        <v>2645</v>
      </c>
      <c r="E125" s="3167">
        <v>0.1</v>
      </c>
      <c r="F125" s="3168">
        <v>15</v>
      </c>
    </row>
    <row r="126" spans="1:6" ht="24">
      <c r="A126" s="2289">
        <v>52</v>
      </c>
      <c r="B126" s="4743" t="s">
        <v>2646</v>
      </c>
      <c r="C126" s="2289" t="s">
        <v>2647</v>
      </c>
      <c r="D126" s="2269" t="s">
        <v>2648</v>
      </c>
      <c r="E126" s="3167">
        <v>0.1</v>
      </c>
      <c r="F126" s="3168">
        <v>15</v>
      </c>
    </row>
    <row r="127" spans="1:6" ht="24">
      <c r="A127" s="2289">
        <v>53</v>
      </c>
      <c r="B127" s="4743"/>
      <c r="C127" s="2289" t="s">
        <v>2649</v>
      </c>
      <c r="D127" s="2269" t="s">
        <v>2650</v>
      </c>
      <c r="E127" s="3167">
        <v>0.1</v>
      </c>
      <c r="F127" s="3168">
        <v>15</v>
      </c>
    </row>
    <row r="128" spans="1:6" ht="13.5">
      <c r="A128" s="2289">
        <v>54</v>
      </c>
      <c r="B128" s="2289" t="s">
        <v>2651</v>
      </c>
      <c r="C128" s="2289" t="s">
        <v>2652</v>
      </c>
      <c r="D128" s="2269" t="s">
        <v>2653</v>
      </c>
      <c r="E128" s="3167">
        <v>0.1</v>
      </c>
      <c r="F128" s="3168">
        <v>15</v>
      </c>
    </row>
    <row r="129" spans="1:6" ht="13.5">
      <c r="A129" s="2289">
        <v>55</v>
      </c>
      <c r="B129" s="4743" t="s">
        <v>2654</v>
      </c>
      <c r="C129" s="2289" t="s">
        <v>2655</v>
      </c>
      <c r="D129" s="2269" t="s">
        <v>2656</v>
      </c>
      <c r="E129" s="3167">
        <v>0.1</v>
      </c>
      <c r="F129" s="3168">
        <v>15</v>
      </c>
    </row>
    <row r="130" spans="1:6" ht="13.5">
      <c r="A130" s="2289">
        <v>56</v>
      </c>
      <c r="B130" s="4743"/>
      <c r="C130" s="2289" t="s">
        <v>2657</v>
      </c>
      <c r="D130" s="2269" t="s">
        <v>2658</v>
      </c>
      <c r="E130" s="3167">
        <v>0.1</v>
      </c>
      <c r="F130" s="3168">
        <v>15</v>
      </c>
    </row>
    <row r="131" spans="1:6" ht="24">
      <c r="A131" s="2289">
        <v>57</v>
      </c>
      <c r="B131" s="4743"/>
      <c r="C131" s="2289" t="s">
        <v>2659</v>
      </c>
      <c r="D131" s="2269" t="s">
        <v>2660</v>
      </c>
      <c r="E131" s="3167">
        <v>0.1</v>
      </c>
      <c r="F131" s="3168">
        <v>15</v>
      </c>
    </row>
    <row r="132" spans="1:6" ht="24">
      <c r="A132" s="2289">
        <v>58</v>
      </c>
      <c r="B132" s="4743" t="s">
        <v>2661</v>
      </c>
      <c r="C132" s="2289" t="s">
        <v>2662</v>
      </c>
      <c r="D132" s="2269" t="s">
        <v>2663</v>
      </c>
      <c r="E132" s="3167">
        <v>0.1</v>
      </c>
      <c r="F132" s="3168">
        <v>15</v>
      </c>
    </row>
    <row r="133" spans="1:6" ht="13.5">
      <c r="A133" s="2289">
        <v>59</v>
      </c>
      <c r="B133" s="4743"/>
      <c r="C133" s="2289" t="s">
        <v>2664</v>
      </c>
      <c r="D133" s="2269" t="s">
        <v>2665</v>
      </c>
      <c r="E133" s="3167">
        <v>0.1</v>
      </c>
      <c r="F133" s="3168">
        <v>15</v>
      </c>
    </row>
    <row r="134" spans="1:6" ht="13.5">
      <c r="A134" s="2289">
        <v>60</v>
      </c>
      <c r="B134" s="4750" t="s">
        <v>2666</v>
      </c>
      <c r="C134" s="2289" t="s">
        <v>2667</v>
      </c>
      <c r="D134" s="2269" t="s">
        <v>2668</v>
      </c>
      <c r="E134" s="3167">
        <v>0.1</v>
      </c>
      <c r="F134" s="3168">
        <v>15</v>
      </c>
    </row>
    <row r="135" spans="1:6" ht="13.5">
      <c r="A135" s="2289">
        <v>61</v>
      </c>
      <c r="B135" s="4755"/>
      <c r="C135" s="2289" t="s">
        <v>2669</v>
      </c>
      <c r="D135" s="2269" t="s">
        <v>2670</v>
      </c>
      <c r="E135" s="3167">
        <v>0.1</v>
      </c>
      <c r="F135" s="3168">
        <v>15</v>
      </c>
    </row>
    <row r="136" spans="1:6" ht="24">
      <c r="A136" s="2289">
        <v>62</v>
      </c>
      <c r="B136" s="2289" t="s">
        <v>2671</v>
      </c>
      <c r="C136" s="2289" t="s">
        <v>2672</v>
      </c>
      <c r="D136" s="2269" t="s">
        <v>2673</v>
      </c>
      <c r="E136" s="3167">
        <v>0.1</v>
      </c>
      <c r="F136" s="3168">
        <v>15</v>
      </c>
    </row>
    <row r="137" spans="1:6" ht="13.5">
      <c r="A137" s="2289">
        <v>63</v>
      </c>
      <c r="B137" s="4743" t="s">
        <v>2674</v>
      </c>
      <c r="C137" s="2289" t="s">
        <v>2675</v>
      </c>
      <c r="D137" s="2269" t="s">
        <v>2676</v>
      </c>
      <c r="E137" s="3167">
        <v>0.1</v>
      </c>
      <c r="F137" s="3168">
        <v>15</v>
      </c>
    </row>
    <row r="138" spans="1:6" ht="13.5">
      <c r="A138" s="2289">
        <v>64</v>
      </c>
      <c r="B138" s="4743"/>
      <c r="C138" s="2289" t="s">
        <v>2677</v>
      </c>
      <c r="D138" s="2269" t="s">
        <v>2678</v>
      </c>
      <c r="E138" s="3167">
        <v>0.1</v>
      </c>
      <c r="F138" s="3168">
        <v>15</v>
      </c>
    </row>
    <row r="139" spans="1:6" ht="13.5">
      <c r="A139" s="2289">
        <v>65</v>
      </c>
      <c r="B139" s="2289" t="s">
        <v>2679</v>
      </c>
      <c r="C139" s="2289" t="s">
        <v>2680</v>
      </c>
      <c r="D139" s="2269" t="s">
        <v>2681</v>
      </c>
      <c r="E139" s="3167">
        <v>0.1</v>
      </c>
      <c r="F139" s="3168">
        <v>15</v>
      </c>
    </row>
    <row r="140" spans="1:6" ht="13.5">
      <c r="A140" s="2289"/>
      <c r="B140" s="2289"/>
      <c r="C140" s="2289"/>
      <c r="D140" s="2289"/>
      <c r="E140" s="2289" t="s">
        <v>2682</v>
      </c>
      <c r="F140" s="2289" t="s">
        <v>2682</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311"/>
  </cols>
  <sheetData>
    <row r="1" spans="1:20" ht="15" thickBot="1">
      <c r="A1" s="2297" t="s">
        <v>2683</v>
      </c>
      <c r="B1" s="2297"/>
      <c r="C1" s="2297"/>
      <c r="D1" s="2297"/>
      <c r="E1" s="2297"/>
      <c r="F1" s="2297"/>
      <c r="G1" s="2297"/>
      <c r="H1" s="2297"/>
      <c r="I1" s="2297"/>
      <c r="J1" s="2297"/>
      <c r="K1" s="2297"/>
      <c r="L1" s="2297"/>
      <c r="M1" s="2297"/>
      <c r="N1" s="512"/>
    </row>
    <row r="2" spans="1:20">
      <c r="A2" s="2298" t="s">
        <v>2684</v>
      </c>
      <c r="B2" s="2299" t="s">
        <v>2480</v>
      </c>
      <c r="C2" s="2299" t="s">
        <v>2481</v>
      </c>
      <c r="D2" s="2299" t="s">
        <v>2482</v>
      </c>
      <c r="E2" s="2299" t="s">
        <v>2483</v>
      </c>
      <c r="F2" s="2299" t="s">
        <v>2484</v>
      </c>
      <c r="G2" s="2299" t="s">
        <v>2485</v>
      </c>
      <c r="H2" s="2300" t="s">
        <v>2486</v>
      </c>
      <c r="I2" s="2300" t="s">
        <v>2487</v>
      </c>
      <c r="J2" s="2301" t="s">
        <v>2488</v>
      </c>
      <c r="K2" s="2301" t="s">
        <v>2489</v>
      </c>
      <c r="L2" s="2301" t="s">
        <v>2490</v>
      </c>
      <c r="M2" s="2302" t="s">
        <v>2491</v>
      </c>
      <c r="Q2" s="2312" t="s">
        <v>2689</v>
      </c>
      <c r="R2" s="2312" t="s">
        <v>2690</v>
      </c>
      <c r="S2" s="2312" t="s">
        <v>2691</v>
      </c>
      <c r="T2" s="2312" t="s">
        <v>2692</v>
      </c>
    </row>
    <row r="3" spans="1:20">
      <c r="A3" s="2303">
        <v>1</v>
      </c>
      <c r="B3" s="2304">
        <v>1.2574000000000001</v>
      </c>
      <c r="C3" s="2304">
        <v>1.2574000000000001</v>
      </c>
      <c r="D3" s="2304">
        <v>1.2299</v>
      </c>
      <c r="E3" s="2304">
        <v>1.2299</v>
      </c>
      <c r="F3" s="2304">
        <v>1.2299</v>
      </c>
      <c r="G3" s="2304">
        <v>1.2299</v>
      </c>
      <c r="H3" s="2304">
        <v>1.2299</v>
      </c>
      <c r="I3" s="2304">
        <v>1.2333000000000001</v>
      </c>
      <c r="J3" s="2304">
        <v>1.2333000000000001</v>
      </c>
      <c r="K3" s="2304">
        <v>1.2333000000000001</v>
      </c>
      <c r="L3" s="2304">
        <v>1.2333000000000001</v>
      </c>
      <c r="M3" s="2305">
        <v>1.2333000000000001</v>
      </c>
      <c r="Q3" s="2312">
        <v>10</v>
      </c>
      <c r="R3" s="2312">
        <f>ROUND(0.9968-0.011*Q3,4)</f>
        <v>0.88680000000000003</v>
      </c>
      <c r="S3" s="2312">
        <f>ROUND(0.949-0.014*Q3,4)</f>
        <v>0.80900000000000005</v>
      </c>
      <c r="T3" s="2312">
        <f>ROUND(0.8486-0.018*Q3,4)</f>
        <v>0.66859999999999997</v>
      </c>
    </row>
    <row r="4" spans="1:20">
      <c r="A4" s="2303">
        <v>1.1000000000000001</v>
      </c>
      <c r="B4" s="2304">
        <v>1.2283999999999999</v>
      </c>
      <c r="C4" s="2304">
        <v>1.2283999999999999</v>
      </c>
      <c r="D4" s="2304">
        <v>1.1984999999999999</v>
      </c>
      <c r="E4" s="2304">
        <v>1.1984999999999999</v>
      </c>
      <c r="F4" s="2304">
        <v>1.1984999999999999</v>
      </c>
      <c r="G4" s="2304">
        <v>1.1984999999999999</v>
      </c>
      <c r="H4" s="2304">
        <v>1.1984999999999999</v>
      </c>
      <c r="I4" s="2304">
        <v>1.1899</v>
      </c>
      <c r="J4" s="2304">
        <v>1.1899</v>
      </c>
      <c r="K4" s="2304">
        <v>1.1899</v>
      </c>
      <c r="L4" s="2304">
        <v>1.1899</v>
      </c>
      <c r="M4" s="2305">
        <v>1.1899</v>
      </c>
    </row>
    <row r="5" spans="1:20">
      <c r="A5" s="2303">
        <v>1.2</v>
      </c>
      <c r="B5" s="2304">
        <v>1.2031000000000001</v>
      </c>
      <c r="C5" s="2304">
        <v>1.2031000000000001</v>
      </c>
      <c r="D5" s="2304">
        <v>1.1711</v>
      </c>
      <c r="E5" s="2304">
        <v>1.1711</v>
      </c>
      <c r="F5" s="2304">
        <v>1.1711</v>
      </c>
      <c r="G5" s="2304">
        <v>1.1711</v>
      </c>
      <c r="H5" s="2304">
        <v>1.1711</v>
      </c>
      <c r="I5" s="2304">
        <v>1.1528</v>
      </c>
      <c r="J5" s="2304">
        <v>1.1528</v>
      </c>
      <c r="K5" s="2304">
        <v>1.1528</v>
      </c>
      <c r="L5" s="2304">
        <v>1.1528</v>
      </c>
      <c r="M5" s="2305">
        <v>1.1528</v>
      </c>
    </row>
    <row r="6" spans="1:20">
      <c r="A6" s="2303">
        <v>1.3</v>
      </c>
      <c r="B6" s="2304">
        <v>1.1811</v>
      </c>
      <c r="C6" s="2304">
        <v>1.1811</v>
      </c>
      <c r="D6" s="2304">
        <v>1.1472</v>
      </c>
      <c r="E6" s="2304">
        <v>1.1472</v>
      </c>
      <c r="F6" s="2304">
        <v>1.1472</v>
      </c>
      <c r="G6" s="2304">
        <v>1.1472</v>
      </c>
      <c r="H6" s="2304">
        <v>1.1472</v>
      </c>
      <c r="I6" s="2304">
        <v>1.1214</v>
      </c>
      <c r="J6" s="2304">
        <v>1.1214</v>
      </c>
      <c r="K6" s="2304">
        <v>1.1214</v>
      </c>
      <c r="L6" s="2304">
        <v>1.1214</v>
      </c>
      <c r="M6" s="2305">
        <v>1.1214</v>
      </c>
    </row>
    <row r="7" spans="1:20">
      <c r="A7" s="2303">
        <v>1.4</v>
      </c>
      <c r="B7" s="2304">
        <v>1.1619999999999999</v>
      </c>
      <c r="C7" s="2304">
        <v>1.1619999999999999</v>
      </c>
      <c r="D7" s="2304">
        <v>1.1265000000000001</v>
      </c>
      <c r="E7" s="2304">
        <v>1.1265000000000001</v>
      </c>
      <c r="F7" s="2304">
        <v>1.1265000000000001</v>
      </c>
      <c r="G7" s="2304">
        <v>1.1265000000000001</v>
      </c>
      <c r="H7" s="2304">
        <v>1.1265000000000001</v>
      </c>
      <c r="I7" s="2304">
        <v>1.0948</v>
      </c>
      <c r="J7" s="2304">
        <v>1.0948</v>
      </c>
      <c r="K7" s="2304">
        <v>1.0948</v>
      </c>
      <c r="L7" s="2304">
        <v>1.0948</v>
      </c>
      <c r="M7" s="2305">
        <v>1.0948</v>
      </c>
    </row>
    <row r="8" spans="1:20">
      <c r="A8" s="2303">
        <v>1.5</v>
      </c>
      <c r="B8" s="2304">
        <v>1.1453</v>
      </c>
      <c r="C8" s="2304">
        <v>1.1453</v>
      </c>
      <c r="D8" s="2304">
        <v>1.1084000000000001</v>
      </c>
      <c r="E8" s="2304">
        <v>1.1084000000000001</v>
      </c>
      <c r="F8" s="2304">
        <v>1.1084000000000001</v>
      </c>
      <c r="G8" s="2304">
        <v>1.1084000000000001</v>
      </c>
      <c r="H8" s="2304">
        <v>1.1084000000000001</v>
      </c>
      <c r="I8" s="2304">
        <v>1.0725</v>
      </c>
      <c r="J8" s="2304">
        <v>1.0725</v>
      </c>
      <c r="K8" s="2304">
        <v>1.0725</v>
      </c>
      <c r="L8" s="2304">
        <v>1.0725</v>
      </c>
      <c r="M8" s="2305">
        <v>1.0725</v>
      </c>
    </row>
    <row r="9" spans="1:20">
      <c r="A9" s="2303">
        <v>1.6</v>
      </c>
      <c r="B9" s="2304">
        <v>1.1306</v>
      </c>
      <c r="C9" s="2304">
        <v>1.1306</v>
      </c>
      <c r="D9" s="2304">
        <v>1.0924</v>
      </c>
      <c r="E9" s="2304">
        <v>1.0924</v>
      </c>
      <c r="F9" s="2304">
        <v>1.0924</v>
      </c>
      <c r="G9" s="2304">
        <v>1.0924</v>
      </c>
      <c r="H9" s="2304">
        <v>1.0924</v>
      </c>
      <c r="I9" s="2304">
        <v>1.0538000000000001</v>
      </c>
      <c r="J9" s="2304">
        <v>1.0538000000000001</v>
      </c>
      <c r="K9" s="2304">
        <v>1.0538000000000001</v>
      </c>
      <c r="L9" s="2304">
        <v>1.0538000000000001</v>
      </c>
      <c r="M9" s="2305">
        <v>1.0538000000000001</v>
      </c>
    </row>
    <row r="10" spans="1:20">
      <c r="A10" s="2303">
        <v>1.7</v>
      </c>
      <c r="B10" s="2304">
        <v>1.1175999999999999</v>
      </c>
      <c r="C10" s="2304">
        <v>1.1175999999999999</v>
      </c>
      <c r="D10" s="2304">
        <v>1.0783</v>
      </c>
      <c r="E10" s="2304">
        <v>1.0783</v>
      </c>
      <c r="F10" s="2304">
        <v>1.0783</v>
      </c>
      <c r="G10" s="2304">
        <v>1.0783</v>
      </c>
      <c r="H10" s="2304">
        <v>1.0783</v>
      </c>
      <c r="I10" s="2304">
        <v>1.0379</v>
      </c>
      <c r="J10" s="2304">
        <v>1.0379</v>
      </c>
      <c r="K10" s="2304">
        <v>1.0379</v>
      </c>
      <c r="L10" s="2304">
        <v>1.0379</v>
      </c>
      <c r="M10" s="2305">
        <v>1.0379</v>
      </c>
    </row>
    <row r="11" spans="1:20">
      <c r="A11" s="2303">
        <v>1.8</v>
      </c>
      <c r="B11" s="2304">
        <v>1.1057999999999999</v>
      </c>
      <c r="C11" s="2304">
        <v>1.1057999999999999</v>
      </c>
      <c r="D11" s="2304">
        <v>1.0653999999999999</v>
      </c>
      <c r="E11" s="2304">
        <v>1.0653999999999999</v>
      </c>
      <c r="F11" s="2304">
        <v>1.0653999999999999</v>
      </c>
      <c r="G11" s="2304">
        <v>1.0653999999999999</v>
      </c>
      <c r="H11" s="2304">
        <v>1.0653999999999999</v>
      </c>
      <c r="I11" s="2304">
        <v>1.0241</v>
      </c>
      <c r="J11" s="2304">
        <v>1.0241</v>
      </c>
      <c r="K11" s="2304">
        <v>1.0241</v>
      </c>
      <c r="L11" s="2304">
        <v>1.0241</v>
      </c>
      <c r="M11" s="2305">
        <v>1.0241</v>
      </c>
    </row>
    <row r="12" spans="1:20">
      <c r="A12" s="2303">
        <v>1.9</v>
      </c>
      <c r="B12" s="2304">
        <v>1.0949</v>
      </c>
      <c r="C12" s="2304">
        <v>1.0949</v>
      </c>
      <c r="D12" s="2304">
        <v>1.0537000000000001</v>
      </c>
      <c r="E12" s="2304">
        <v>1.0537000000000001</v>
      </c>
      <c r="F12" s="2304">
        <v>1.0537000000000001</v>
      </c>
      <c r="G12" s="2304">
        <v>1.0537000000000001</v>
      </c>
      <c r="H12" s="2304">
        <v>1.0537000000000001</v>
      </c>
      <c r="I12" s="2304">
        <v>1.0117</v>
      </c>
      <c r="J12" s="2304">
        <v>1.0117</v>
      </c>
      <c r="K12" s="2304">
        <v>1.0117</v>
      </c>
      <c r="L12" s="2304">
        <v>1.0117</v>
      </c>
      <c r="M12" s="2305">
        <v>1.0117</v>
      </c>
    </row>
    <row r="13" spans="1:20">
      <c r="A13" s="2303">
        <v>2</v>
      </c>
      <c r="B13" s="2304">
        <v>1.0847</v>
      </c>
      <c r="C13" s="2304">
        <v>1.0847</v>
      </c>
      <c r="D13" s="2304">
        <v>1.0427</v>
      </c>
      <c r="E13" s="2304">
        <v>1.0427</v>
      </c>
      <c r="F13" s="2304">
        <v>1.0427</v>
      </c>
      <c r="G13" s="2304">
        <v>1.0427</v>
      </c>
      <c r="H13" s="2304">
        <v>1.0427</v>
      </c>
      <c r="I13" s="2304">
        <v>1</v>
      </c>
      <c r="J13" s="2304">
        <v>1</v>
      </c>
      <c r="K13" s="2304">
        <v>1</v>
      </c>
      <c r="L13" s="2304">
        <v>1</v>
      </c>
      <c r="M13" s="2305">
        <v>1</v>
      </c>
    </row>
    <row r="14" spans="1:20">
      <c r="A14" s="2306">
        <v>2.1</v>
      </c>
      <c r="B14" s="2304">
        <v>1.0749</v>
      </c>
      <c r="C14" s="2304">
        <v>1.0749</v>
      </c>
      <c r="D14" s="2304">
        <v>1.0327999999999999</v>
      </c>
      <c r="E14" s="2304">
        <v>1.0327999999999999</v>
      </c>
      <c r="F14" s="2304">
        <v>1.0327999999999999</v>
      </c>
      <c r="G14" s="2304">
        <v>1.0327999999999999</v>
      </c>
      <c r="H14" s="2304">
        <v>1.0327999999999999</v>
      </c>
      <c r="I14" s="2304">
        <v>0.98819999999999997</v>
      </c>
      <c r="J14" s="2304">
        <v>0.98819999999999997</v>
      </c>
      <c r="K14" s="2304">
        <v>0.98819999999999997</v>
      </c>
      <c r="L14" s="2304">
        <v>0.98819999999999997</v>
      </c>
      <c r="M14" s="2305">
        <v>0.98819999999999997</v>
      </c>
    </row>
    <row r="15" spans="1:20">
      <c r="A15" s="2306">
        <v>2.2000000000000002</v>
      </c>
      <c r="B15" s="2304">
        <v>1.0663</v>
      </c>
      <c r="C15" s="2304">
        <v>1.0663</v>
      </c>
      <c r="D15" s="2304">
        <v>1.0237000000000001</v>
      </c>
      <c r="E15" s="2304">
        <v>1.0237000000000001</v>
      </c>
      <c r="F15" s="2304">
        <v>1.0237000000000001</v>
      </c>
      <c r="G15" s="2304">
        <v>1.0237000000000001</v>
      </c>
      <c r="H15" s="2304">
        <v>1.0237000000000001</v>
      </c>
      <c r="I15" s="2304">
        <v>0.9768</v>
      </c>
      <c r="J15" s="2304">
        <v>0.9768</v>
      </c>
      <c r="K15" s="2304">
        <v>0.9768</v>
      </c>
      <c r="L15" s="2304">
        <v>0.9768</v>
      </c>
      <c r="M15" s="2305">
        <v>0.9768</v>
      </c>
    </row>
    <row r="16" spans="1:20">
      <c r="A16" s="2306">
        <v>2.2999999999999998</v>
      </c>
      <c r="B16" s="2304">
        <v>1.0584</v>
      </c>
      <c r="C16" s="2304">
        <v>1.0584</v>
      </c>
      <c r="D16" s="2304">
        <v>1.0152000000000001</v>
      </c>
      <c r="E16" s="2304">
        <v>1.0152000000000001</v>
      </c>
      <c r="F16" s="2304">
        <v>1.0152000000000001</v>
      </c>
      <c r="G16" s="2304">
        <v>1.0152000000000001</v>
      </c>
      <c r="H16" s="2304">
        <v>1.0152000000000001</v>
      </c>
      <c r="I16" s="2304">
        <v>0.96609999999999996</v>
      </c>
      <c r="J16" s="2304">
        <v>0.96609999999999996</v>
      </c>
      <c r="K16" s="2304">
        <v>0.96609999999999996</v>
      </c>
      <c r="L16" s="2304">
        <v>0.96609999999999996</v>
      </c>
      <c r="M16" s="2305">
        <v>0.96609999999999996</v>
      </c>
    </row>
    <row r="17" spans="1:13">
      <c r="A17" s="2306">
        <v>2.4</v>
      </c>
      <c r="B17" s="2304">
        <v>1.0511999999999999</v>
      </c>
      <c r="C17" s="2304">
        <v>1.0511999999999999</v>
      </c>
      <c r="D17" s="2304">
        <v>1.0074000000000001</v>
      </c>
      <c r="E17" s="2304">
        <v>1.0074000000000001</v>
      </c>
      <c r="F17" s="2304">
        <v>1.0074000000000001</v>
      </c>
      <c r="G17" s="2304">
        <v>1.0074000000000001</v>
      </c>
      <c r="H17" s="2304">
        <v>1.0074000000000001</v>
      </c>
      <c r="I17" s="2304">
        <v>0.95579999999999998</v>
      </c>
      <c r="J17" s="2304">
        <v>0.95579999999999998</v>
      </c>
      <c r="K17" s="2304">
        <v>0.95579999999999998</v>
      </c>
      <c r="L17" s="2304">
        <v>0.95579999999999998</v>
      </c>
      <c r="M17" s="2305">
        <v>0.95579999999999998</v>
      </c>
    </row>
    <row r="18" spans="1:13">
      <c r="A18" s="2306">
        <v>2.5</v>
      </c>
      <c r="B18" s="2304">
        <v>1.0445</v>
      </c>
      <c r="C18" s="2304">
        <v>1.0445</v>
      </c>
      <c r="D18" s="2304">
        <v>1</v>
      </c>
      <c r="E18" s="2304">
        <v>1</v>
      </c>
      <c r="F18" s="2304">
        <v>1</v>
      </c>
      <c r="G18" s="2304">
        <v>1</v>
      </c>
      <c r="H18" s="2304">
        <v>1</v>
      </c>
      <c r="I18" s="2304">
        <v>0.94620000000000004</v>
      </c>
      <c r="J18" s="2304">
        <v>0.94620000000000004</v>
      </c>
      <c r="K18" s="2304">
        <v>0.94620000000000004</v>
      </c>
      <c r="L18" s="2304">
        <v>0.94620000000000004</v>
      </c>
      <c r="M18" s="2305">
        <v>0.94620000000000004</v>
      </c>
    </row>
    <row r="19" spans="1:13">
      <c r="A19" s="2306">
        <v>2.6</v>
      </c>
      <c r="B19" s="2304">
        <v>1.0386</v>
      </c>
      <c r="C19" s="2304">
        <v>1.0386</v>
      </c>
      <c r="D19" s="2304">
        <v>0.99350000000000005</v>
      </c>
      <c r="E19" s="2304">
        <v>0.99350000000000005</v>
      </c>
      <c r="F19" s="2304">
        <v>0.99350000000000005</v>
      </c>
      <c r="G19" s="2304">
        <v>0.99350000000000005</v>
      </c>
      <c r="H19" s="2304">
        <v>0.99350000000000005</v>
      </c>
      <c r="I19" s="2304">
        <v>0.93710000000000004</v>
      </c>
      <c r="J19" s="2304">
        <v>0.93710000000000004</v>
      </c>
      <c r="K19" s="2304">
        <v>0.93710000000000004</v>
      </c>
      <c r="L19" s="2304">
        <v>0.93710000000000004</v>
      </c>
      <c r="M19" s="2305">
        <v>0.93710000000000004</v>
      </c>
    </row>
    <row r="20" spans="1:13">
      <c r="A20" s="2306">
        <v>2.7</v>
      </c>
      <c r="B20" s="2304">
        <v>1.0331999999999999</v>
      </c>
      <c r="C20" s="2304">
        <v>1.0331999999999999</v>
      </c>
      <c r="D20" s="2304">
        <v>0.98770000000000002</v>
      </c>
      <c r="E20" s="2304">
        <v>0.98770000000000002</v>
      </c>
      <c r="F20" s="2304">
        <v>0.98770000000000002</v>
      </c>
      <c r="G20" s="2304">
        <v>0.98770000000000002</v>
      </c>
      <c r="H20" s="2304">
        <v>0.98770000000000002</v>
      </c>
      <c r="I20" s="2304">
        <v>0.92859999999999998</v>
      </c>
      <c r="J20" s="2304">
        <v>0.92859999999999998</v>
      </c>
      <c r="K20" s="2304">
        <v>0.92859999999999998</v>
      </c>
      <c r="L20" s="2304">
        <v>0.92859999999999998</v>
      </c>
      <c r="M20" s="2305">
        <v>0.92859999999999998</v>
      </c>
    </row>
    <row r="21" spans="1:13">
      <c r="A21" s="2306">
        <v>2.8</v>
      </c>
      <c r="B21" s="2304">
        <v>1.0282</v>
      </c>
      <c r="C21" s="2304">
        <v>1.0282</v>
      </c>
      <c r="D21" s="2304">
        <v>0.98260000000000003</v>
      </c>
      <c r="E21" s="2304">
        <v>0.98260000000000003</v>
      </c>
      <c r="F21" s="2304">
        <v>0.98260000000000003</v>
      </c>
      <c r="G21" s="2304">
        <v>0.98260000000000003</v>
      </c>
      <c r="H21" s="2304">
        <v>0.98260000000000003</v>
      </c>
      <c r="I21" s="2304">
        <v>0.92069999999999996</v>
      </c>
      <c r="J21" s="2304">
        <v>0.92069999999999996</v>
      </c>
      <c r="K21" s="2304">
        <v>0.92069999999999996</v>
      </c>
      <c r="L21" s="2304">
        <v>0.92069999999999996</v>
      </c>
      <c r="M21" s="2305">
        <v>0.92069999999999996</v>
      </c>
    </row>
    <row r="22" spans="1:13">
      <c r="A22" s="2306">
        <v>2.9</v>
      </c>
      <c r="B22" s="2304">
        <v>1.0235000000000001</v>
      </c>
      <c r="C22" s="2304">
        <v>1.0235000000000001</v>
      </c>
      <c r="D22" s="2304">
        <v>0.97770000000000001</v>
      </c>
      <c r="E22" s="2304">
        <v>0.97770000000000001</v>
      </c>
      <c r="F22" s="2304">
        <v>0.97770000000000001</v>
      </c>
      <c r="G22" s="2304">
        <v>0.97770000000000001</v>
      </c>
      <c r="H22" s="2304">
        <v>0.97770000000000001</v>
      </c>
      <c r="I22" s="2304">
        <v>0.9133</v>
      </c>
      <c r="J22" s="2304">
        <v>0.9133</v>
      </c>
      <c r="K22" s="2304">
        <v>0.9133</v>
      </c>
      <c r="L22" s="2304">
        <v>0.9133</v>
      </c>
      <c r="M22" s="2305">
        <v>0.9133</v>
      </c>
    </row>
    <row r="23" spans="1:13">
      <c r="A23" s="2306">
        <v>3</v>
      </c>
      <c r="B23" s="2304">
        <v>1.0190999999999999</v>
      </c>
      <c r="C23" s="2304">
        <v>1.0190999999999999</v>
      </c>
      <c r="D23" s="2304">
        <v>0.97299999999999998</v>
      </c>
      <c r="E23" s="2304">
        <v>0.97299999999999998</v>
      </c>
      <c r="F23" s="2304">
        <v>0.97299999999999998</v>
      </c>
      <c r="G23" s="2304">
        <v>0.97299999999999998</v>
      </c>
      <c r="H23" s="2304">
        <v>0.97299999999999998</v>
      </c>
      <c r="I23" s="2304">
        <v>0.90629999999999999</v>
      </c>
      <c r="J23" s="2304">
        <v>0.90629999999999999</v>
      </c>
      <c r="K23" s="2304">
        <v>0.90629999999999999</v>
      </c>
      <c r="L23" s="2304">
        <v>0.90629999999999999</v>
      </c>
      <c r="M23" s="2305">
        <v>0.90629999999999999</v>
      </c>
    </row>
    <row r="24" spans="1:13">
      <c r="A24" s="2306">
        <v>3.1</v>
      </c>
      <c r="B24" s="2304">
        <v>1.0148999999999999</v>
      </c>
      <c r="C24" s="2304">
        <v>1.0148999999999999</v>
      </c>
      <c r="D24" s="2304">
        <v>0.96840000000000004</v>
      </c>
      <c r="E24" s="2304">
        <v>0.96840000000000004</v>
      </c>
      <c r="F24" s="2304">
        <v>0.96840000000000004</v>
      </c>
      <c r="G24" s="2304">
        <v>0.96840000000000004</v>
      </c>
      <c r="H24" s="2304">
        <v>0.96840000000000004</v>
      </c>
      <c r="I24" s="2304">
        <v>0.89959999999999996</v>
      </c>
      <c r="J24" s="2304">
        <v>0.89959999999999996</v>
      </c>
      <c r="K24" s="2304">
        <v>0.89959999999999996</v>
      </c>
      <c r="L24" s="2304">
        <v>0.89959999999999996</v>
      </c>
      <c r="M24" s="2305">
        <v>0.89959999999999996</v>
      </c>
    </row>
    <row r="25" spans="1:13">
      <c r="A25" s="2306">
        <v>3.2</v>
      </c>
      <c r="B25" s="2304">
        <v>1.0108999999999999</v>
      </c>
      <c r="C25" s="2304">
        <v>1.0108999999999999</v>
      </c>
      <c r="D25" s="2304">
        <v>0.96399999999999997</v>
      </c>
      <c r="E25" s="2304">
        <v>0.96399999999999997</v>
      </c>
      <c r="F25" s="2304">
        <v>0.96399999999999997</v>
      </c>
      <c r="G25" s="2304">
        <v>0.96399999999999997</v>
      </c>
      <c r="H25" s="2304">
        <v>0.96399999999999997</v>
      </c>
      <c r="I25" s="2304">
        <v>0.89319999999999999</v>
      </c>
      <c r="J25" s="2304">
        <v>0.89319999999999999</v>
      </c>
      <c r="K25" s="2304">
        <v>0.89319999999999999</v>
      </c>
      <c r="L25" s="2304">
        <v>0.89319999999999999</v>
      </c>
      <c r="M25" s="2305">
        <v>0.89319999999999999</v>
      </c>
    </row>
    <row r="26" spans="1:13">
      <c r="A26" s="2306">
        <v>3.3</v>
      </c>
      <c r="B26" s="2304">
        <v>1.0071000000000001</v>
      </c>
      <c r="C26" s="2304">
        <v>1.0071000000000001</v>
      </c>
      <c r="D26" s="2304">
        <v>0.95979999999999999</v>
      </c>
      <c r="E26" s="2304">
        <v>0.95979999999999999</v>
      </c>
      <c r="F26" s="2304">
        <v>0.95979999999999999</v>
      </c>
      <c r="G26" s="2304">
        <v>0.95979999999999999</v>
      </c>
      <c r="H26" s="2304">
        <v>0.95979999999999999</v>
      </c>
      <c r="I26" s="2304">
        <v>0.8871</v>
      </c>
      <c r="J26" s="2304">
        <v>0.8871</v>
      </c>
      <c r="K26" s="2304">
        <v>0.8871</v>
      </c>
      <c r="L26" s="2304">
        <v>0.8871</v>
      </c>
      <c r="M26" s="2305">
        <v>0.8871</v>
      </c>
    </row>
    <row r="27" spans="1:13">
      <c r="A27" s="2306">
        <v>3.4</v>
      </c>
      <c r="B27" s="2304">
        <v>1.0035000000000001</v>
      </c>
      <c r="C27" s="2304">
        <v>1.0035000000000001</v>
      </c>
      <c r="D27" s="2304">
        <v>0.95579999999999998</v>
      </c>
      <c r="E27" s="2304">
        <v>0.95579999999999998</v>
      </c>
      <c r="F27" s="2304">
        <v>0.95579999999999998</v>
      </c>
      <c r="G27" s="2304">
        <v>0.95579999999999998</v>
      </c>
      <c r="H27" s="2304">
        <v>0.95579999999999998</v>
      </c>
      <c r="I27" s="2304">
        <v>0.88119999999999998</v>
      </c>
      <c r="J27" s="2304">
        <v>0.88119999999999998</v>
      </c>
      <c r="K27" s="2304">
        <v>0.88119999999999998</v>
      </c>
      <c r="L27" s="2304">
        <v>0.88119999999999998</v>
      </c>
      <c r="M27" s="2305">
        <v>0.88119999999999998</v>
      </c>
    </row>
    <row r="28" spans="1:13">
      <c r="A28" s="2306">
        <v>3.5</v>
      </c>
      <c r="B28" s="2304">
        <v>1</v>
      </c>
      <c r="C28" s="2304">
        <v>1</v>
      </c>
      <c r="D28" s="2304">
        <v>0.95199999999999996</v>
      </c>
      <c r="E28" s="2304">
        <v>0.95199999999999996</v>
      </c>
      <c r="F28" s="2304">
        <v>0.95199999999999996</v>
      </c>
      <c r="G28" s="2304">
        <v>0.95199999999999996</v>
      </c>
      <c r="H28" s="2304">
        <v>0.95199999999999996</v>
      </c>
      <c r="I28" s="2304">
        <v>0.87549999999999994</v>
      </c>
      <c r="J28" s="2304">
        <v>0.87549999999999994</v>
      </c>
      <c r="K28" s="2304">
        <v>0.87549999999999994</v>
      </c>
      <c r="L28" s="2304">
        <v>0.87549999999999994</v>
      </c>
      <c r="M28" s="2305">
        <v>0.87549999999999994</v>
      </c>
    </row>
    <row r="29" spans="1:13">
      <c r="A29" s="2306">
        <v>3.6</v>
      </c>
      <c r="B29" s="2304">
        <v>0.99660000000000004</v>
      </c>
      <c r="C29" s="2304">
        <v>0.99660000000000004</v>
      </c>
      <c r="D29" s="2304">
        <v>0.94840000000000002</v>
      </c>
      <c r="E29" s="2304">
        <v>0.94840000000000002</v>
      </c>
      <c r="F29" s="2304">
        <v>0.94840000000000002</v>
      </c>
      <c r="G29" s="2304">
        <v>0.94840000000000002</v>
      </c>
      <c r="H29" s="2304">
        <v>0.94840000000000002</v>
      </c>
      <c r="I29" s="2304">
        <v>0.87</v>
      </c>
      <c r="J29" s="2304">
        <v>0.87</v>
      </c>
      <c r="K29" s="2304">
        <v>0.87</v>
      </c>
      <c r="L29" s="2304">
        <v>0.87</v>
      </c>
      <c r="M29" s="2305">
        <v>0.87</v>
      </c>
    </row>
    <row r="30" spans="1:13">
      <c r="A30" s="2306">
        <v>3.7</v>
      </c>
      <c r="B30" s="2304">
        <v>0.99329999999999996</v>
      </c>
      <c r="C30" s="2304">
        <v>0.99329999999999996</v>
      </c>
      <c r="D30" s="2304">
        <v>0.94499999999999995</v>
      </c>
      <c r="E30" s="2304">
        <v>0.94499999999999995</v>
      </c>
      <c r="F30" s="2304">
        <v>0.94499999999999995</v>
      </c>
      <c r="G30" s="2304">
        <v>0.94499999999999995</v>
      </c>
      <c r="H30" s="2304">
        <v>0.94499999999999995</v>
      </c>
      <c r="I30" s="2304">
        <v>0.86470000000000002</v>
      </c>
      <c r="J30" s="2304">
        <v>0.86470000000000002</v>
      </c>
      <c r="K30" s="2304">
        <v>0.86470000000000002</v>
      </c>
      <c r="L30" s="2304">
        <v>0.86470000000000002</v>
      </c>
      <c r="M30" s="2305">
        <v>0.86470000000000002</v>
      </c>
    </row>
    <row r="31" spans="1:13">
      <c r="A31" s="2306">
        <v>3.8</v>
      </c>
      <c r="B31" s="2304">
        <v>0.99009999999999998</v>
      </c>
      <c r="C31" s="2304">
        <v>0.99009999999999998</v>
      </c>
      <c r="D31" s="2304">
        <v>0.94169999999999998</v>
      </c>
      <c r="E31" s="2304">
        <v>0.94169999999999998</v>
      </c>
      <c r="F31" s="2304">
        <v>0.94169999999999998</v>
      </c>
      <c r="G31" s="2304">
        <v>0.94169999999999998</v>
      </c>
      <c r="H31" s="2304">
        <v>0.94169999999999998</v>
      </c>
      <c r="I31" s="2304">
        <v>0.85960000000000003</v>
      </c>
      <c r="J31" s="2304">
        <v>0.85960000000000003</v>
      </c>
      <c r="K31" s="2304">
        <v>0.85960000000000003</v>
      </c>
      <c r="L31" s="2304">
        <v>0.85960000000000003</v>
      </c>
      <c r="M31" s="2305">
        <v>0.85960000000000003</v>
      </c>
    </row>
    <row r="32" spans="1:13">
      <c r="A32" s="2306">
        <v>3.9</v>
      </c>
      <c r="B32" s="2304">
        <v>0.98699999999999999</v>
      </c>
      <c r="C32" s="2304">
        <v>0.98699999999999999</v>
      </c>
      <c r="D32" s="2304">
        <v>0.9385</v>
      </c>
      <c r="E32" s="2304">
        <v>0.9385</v>
      </c>
      <c r="F32" s="2304">
        <v>0.9385</v>
      </c>
      <c r="G32" s="2304">
        <v>0.9385</v>
      </c>
      <c r="H32" s="2304">
        <v>0.9385</v>
      </c>
      <c r="I32" s="2304">
        <v>0.85470000000000002</v>
      </c>
      <c r="J32" s="2304">
        <v>0.85470000000000002</v>
      </c>
      <c r="K32" s="2304">
        <v>0.85470000000000002</v>
      </c>
      <c r="L32" s="2304">
        <v>0.85470000000000002</v>
      </c>
      <c r="M32" s="2305">
        <v>0.85470000000000002</v>
      </c>
    </row>
    <row r="33" spans="1:13">
      <c r="A33" s="2306">
        <v>4</v>
      </c>
      <c r="B33" s="2304">
        <v>0.98399999999999999</v>
      </c>
      <c r="C33" s="2304">
        <v>0.98399999999999999</v>
      </c>
      <c r="D33" s="2304">
        <v>0.93540000000000001</v>
      </c>
      <c r="E33" s="2304">
        <v>0.93540000000000001</v>
      </c>
      <c r="F33" s="2304">
        <v>0.93540000000000001</v>
      </c>
      <c r="G33" s="2304">
        <v>0.93540000000000001</v>
      </c>
      <c r="H33" s="2304">
        <v>0.93540000000000001</v>
      </c>
      <c r="I33" s="2304">
        <v>0.84989999999999999</v>
      </c>
      <c r="J33" s="2304">
        <v>0.84989999999999999</v>
      </c>
      <c r="K33" s="2304">
        <v>0.84989999999999999</v>
      </c>
      <c r="L33" s="2304">
        <v>0.84989999999999999</v>
      </c>
      <c r="M33" s="2305">
        <v>0.84989999999999999</v>
      </c>
    </row>
    <row r="34" spans="1:13">
      <c r="A34" s="2306">
        <v>4.0999999999999996</v>
      </c>
      <c r="B34" s="2304">
        <v>0.98109999999999997</v>
      </c>
      <c r="C34" s="2304">
        <v>0.98109999999999997</v>
      </c>
      <c r="D34" s="2304">
        <v>0.93240000000000001</v>
      </c>
      <c r="E34" s="2304">
        <v>0.93240000000000001</v>
      </c>
      <c r="F34" s="2304">
        <v>0.93240000000000001</v>
      </c>
      <c r="G34" s="2304">
        <v>0.93240000000000001</v>
      </c>
      <c r="H34" s="2304">
        <v>0.93240000000000001</v>
      </c>
      <c r="I34" s="2304">
        <v>0.84519999999999995</v>
      </c>
      <c r="J34" s="2304">
        <v>0.84519999999999995</v>
      </c>
      <c r="K34" s="2304">
        <v>0.84519999999999995</v>
      </c>
      <c r="L34" s="2304">
        <v>0.84519999999999995</v>
      </c>
      <c r="M34" s="2305">
        <v>0.84519999999999995</v>
      </c>
    </row>
    <row r="35" spans="1:13">
      <c r="A35" s="2306">
        <v>4.2</v>
      </c>
      <c r="B35" s="2304">
        <v>0.97829999999999995</v>
      </c>
      <c r="C35" s="2304">
        <v>0.97829999999999995</v>
      </c>
      <c r="D35" s="2304">
        <v>0.92949999999999999</v>
      </c>
      <c r="E35" s="2304">
        <v>0.92949999999999999</v>
      </c>
      <c r="F35" s="2304">
        <v>0.92949999999999999</v>
      </c>
      <c r="G35" s="2304">
        <v>0.92949999999999999</v>
      </c>
      <c r="H35" s="2304">
        <v>0.92949999999999999</v>
      </c>
      <c r="I35" s="2304">
        <v>0.84060000000000001</v>
      </c>
      <c r="J35" s="2304">
        <v>0.84060000000000001</v>
      </c>
      <c r="K35" s="2304">
        <v>0.84060000000000001</v>
      </c>
      <c r="L35" s="2304">
        <v>0.84060000000000001</v>
      </c>
      <c r="M35" s="2305">
        <v>0.84060000000000001</v>
      </c>
    </row>
    <row r="36" spans="1:13">
      <c r="A36" s="2306">
        <v>4.3</v>
      </c>
      <c r="B36" s="2304">
        <v>0.97560000000000002</v>
      </c>
      <c r="C36" s="2304">
        <v>0.97560000000000002</v>
      </c>
      <c r="D36" s="2304">
        <v>0.92669999999999997</v>
      </c>
      <c r="E36" s="2304">
        <v>0.92669999999999997</v>
      </c>
      <c r="F36" s="2304">
        <v>0.92669999999999997</v>
      </c>
      <c r="G36" s="2304">
        <v>0.92669999999999997</v>
      </c>
      <c r="H36" s="2304">
        <v>0.92669999999999997</v>
      </c>
      <c r="I36" s="2304">
        <v>0.83609999999999995</v>
      </c>
      <c r="J36" s="2304">
        <v>0.83609999999999995</v>
      </c>
      <c r="K36" s="2304">
        <v>0.83609999999999995</v>
      </c>
      <c r="L36" s="2304">
        <v>0.83609999999999995</v>
      </c>
      <c r="M36" s="2305">
        <v>0.83609999999999995</v>
      </c>
    </row>
    <row r="37" spans="1:13">
      <c r="A37" s="2306">
        <v>4.4000000000000004</v>
      </c>
      <c r="B37" s="2304">
        <v>0.97299999999999998</v>
      </c>
      <c r="C37" s="2304">
        <v>0.97299999999999998</v>
      </c>
      <c r="D37" s="2304">
        <v>0.92400000000000004</v>
      </c>
      <c r="E37" s="2304">
        <v>0.92400000000000004</v>
      </c>
      <c r="F37" s="2304">
        <v>0.92400000000000004</v>
      </c>
      <c r="G37" s="2304">
        <v>0.92400000000000004</v>
      </c>
      <c r="H37" s="2304">
        <v>0.92400000000000004</v>
      </c>
      <c r="I37" s="2304">
        <v>0.83169999999999999</v>
      </c>
      <c r="J37" s="2304">
        <v>0.83169999999999999</v>
      </c>
      <c r="K37" s="2304">
        <v>0.83169999999999999</v>
      </c>
      <c r="L37" s="2304">
        <v>0.83169999999999999</v>
      </c>
      <c r="M37" s="2305">
        <v>0.83169999999999999</v>
      </c>
    </row>
    <row r="38" spans="1:13">
      <c r="A38" s="2306">
        <v>4.5</v>
      </c>
      <c r="B38" s="2304">
        <v>0.97050000000000003</v>
      </c>
      <c r="C38" s="2304">
        <v>0.97050000000000003</v>
      </c>
      <c r="D38" s="2304">
        <v>0.92130000000000001</v>
      </c>
      <c r="E38" s="2304">
        <v>0.92130000000000001</v>
      </c>
      <c r="F38" s="2304">
        <v>0.92130000000000001</v>
      </c>
      <c r="G38" s="2304">
        <v>0.92130000000000001</v>
      </c>
      <c r="H38" s="2304">
        <v>0.92130000000000001</v>
      </c>
      <c r="I38" s="2304">
        <v>0.82740000000000002</v>
      </c>
      <c r="J38" s="2304">
        <v>0.82740000000000002</v>
      </c>
      <c r="K38" s="2304">
        <v>0.82740000000000002</v>
      </c>
      <c r="L38" s="2304">
        <v>0.82740000000000002</v>
      </c>
      <c r="M38" s="2305">
        <v>0.82740000000000002</v>
      </c>
    </row>
    <row r="39" spans="1:13">
      <c r="A39" s="2306">
        <v>4.5999999999999996</v>
      </c>
      <c r="B39" s="2304">
        <v>0.96809999999999996</v>
      </c>
      <c r="C39" s="2304">
        <v>0.96809999999999996</v>
      </c>
      <c r="D39" s="2304">
        <v>0.91869999999999996</v>
      </c>
      <c r="E39" s="2304">
        <v>0.91869999999999996</v>
      </c>
      <c r="F39" s="2304">
        <v>0.91869999999999996</v>
      </c>
      <c r="G39" s="2304">
        <v>0.91869999999999996</v>
      </c>
      <c r="H39" s="2304">
        <v>0.91869999999999996</v>
      </c>
      <c r="I39" s="2304">
        <v>0.82320000000000004</v>
      </c>
      <c r="J39" s="2304">
        <v>0.82320000000000004</v>
      </c>
      <c r="K39" s="2304">
        <v>0.82320000000000004</v>
      </c>
      <c r="L39" s="2304">
        <v>0.82320000000000004</v>
      </c>
      <c r="M39" s="2305">
        <v>0.82320000000000004</v>
      </c>
    </row>
    <row r="40" spans="1:13">
      <c r="A40" s="2306">
        <v>4.7</v>
      </c>
      <c r="B40" s="2304">
        <v>0.96579999999999999</v>
      </c>
      <c r="C40" s="2304">
        <v>0.96579999999999999</v>
      </c>
      <c r="D40" s="2304">
        <v>0.91610000000000003</v>
      </c>
      <c r="E40" s="2304">
        <v>0.91610000000000003</v>
      </c>
      <c r="F40" s="2304">
        <v>0.91610000000000003</v>
      </c>
      <c r="G40" s="2304">
        <v>0.91610000000000003</v>
      </c>
      <c r="H40" s="2304">
        <v>0.91610000000000003</v>
      </c>
      <c r="I40" s="2304">
        <v>0.81910000000000005</v>
      </c>
      <c r="J40" s="2304">
        <v>0.81910000000000005</v>
      </c>
      <c r="K40" s="2304">
        <v>0.81910000000000005</v>
      </c>
      <c r="L40" s="2304">
        <v>0.81910000000000005</v>
      </c>
      <c r="M40" s="2305">
        <v>0.81910000000000005</v>
      </c>
    </row>
    <row r="41" spans="1:13">
      <c r="A41" s="2306">
        <v>4.8</v>
      </c>
      <c r="B41" s="2304">
        <v>0.96360000000000001</v>
      </c>
      <c r="C41" s="2304">
        <v>0.96360000000000001</v>
      </c>
      <c r="D41" s="2304">
        <v>0.91349999999999998</v>
      </c>
      <c r="E41" s="2304">
        <v>0.91349999999999998</v>
      </c>
      <c r="F41" s="2304">
        <v>0.91349999999999998</v>
      </c>
      <c r="G41" s="2304">
        <v>0.91349999999999998</v>
      </c>
      <c r="H41" s="2304">
        <v>0.91349999999999998</v>
      </c>
      <c r="I41" s="2304">
        <v>0.81510000000000005</v>
      </c>
      <c r="J41" s="2304">
        <v>0.81510000000000005</v>
      </c>
      <c r="K41" s="2304">
        <v>0.81510000000000005</v>
      </c>
      <c r="L41" s="2304">
        <v>0.81510000000000005</v>
      </c>
      <c r="M41" s="2305">
        <v>0.81510000000000005</v>
      </c>
    </row>
    <row r="42" spans="1:13">
      <c r="A42" s="2306">
        <v>4.9000000000000004</v>
      </c>
      <c r="B42" s="2304">
        <v>0.96150000000000002</v>
      </c>
      <c r="C42" s="2304">
        <v>0.96150000000000002</v>
      </c>
      <c r="D42" s="2304">
        <v>0.91100000000000003</v>
      </c>
      <c r="E42" s="2304">
        <v>0.91100000000000003</v>
      </c>
      <c r="F42" s="2304">
        <v>0.91100000000000003</v>
      </c>
      <c r="G42" s="2304">
        <v>0.91100000000000003</v>
      </c>
      <c r="H42" s="2304">
        <v>0.91100000000000003</v>
      </c>
      <c r="I42" s="2304">
        <v>0.81110000000000004</v>
      </c>
      <c r="J42" s="2304">
        <v>0.81110000000000004</v>
      </c>
      <c r="K42" s="2304">
        <v>0.81110000000000004</v>
      </c>
      <c r="L42" s="2304">
        <v>0.81110000000000004</v>
      </c>
      <c r="M42" s="2305">
        <v>0.81110000000000004</v>
      </c>
    </row>
    <row r="43" spans="1:13">
      <c r="A43" s="2306">
        <v>5</v>
      </c>
      <c r="B43" s="2304">
        <v>0.95940000000000003</v>
      </c>
      <c r="C43" s="2304">
        <v>0.95940000000000003</v>
      </c>
      <c r="D43" s="2304">
        <v>0.90849999999999997</v>
      </c>
      <c r="E43" s="2304">
        <v>0.90849999999999997</v>
      </c>
      <c r="F43" s="2304">
        <v>0.90849999999999997</v>
      </c>
      <c r="G43" s="2304">
        <v>0.90849999999999997</v>
      </c>
      <c r="H43" s="2304">
        <v>0.90849999999999997</v>
      </c>
      <c r="I43" s="2304">
        <v>0.80720000000000003</v>
      </c>
      <c r="J43" s="2304">
        <v>0.80720000000000003</v>
      </c>
      <c r="K43" s="2304">
        <v>0.80720000000000003</v>
      </c>
      <c r="L43" s="2304">
        <v>0.80720000000000003</v>
      </c>
      <c r="M43" s="2305">
        <v>0.80720000000000003</v>
      </c>
    </row>
    <row r="44" spans="1:13">
      <c r="A44" s="2303">
        <v>5.0999999999999996</v>
      </c>
      <c r="B44" s="2304">
        <v>0.95740000000000003</v>
      </c>
      <c r="C44" s="2304">
        <v>0.95740000000000003</v>
      </c>
      <c r="D44" s="2304">
        <v>0.90600000000000003</v>
      </c>
      <c r="E44" s="2304">
        <v>0.90600000000000003</v>
      </c>
      <c r="F44" s="2304">
        <v>0.90600000000000003</v>
      </c>
      <c r="G44" s="2304">
        <v>0.90600000000000003</v>
      </c>
      <c r="H44" s="2304">
        <v>0.90600000000000003</v>
      </c>
      <c r="I44" s="2304">
        <v>0.80330000000000001</v>
      </c>
      <c r="J44" s="2304">
        <v>0.80330000000000001</v>
      </c>
      <c r="K44" s="2304">
        <v>0.80330000000000001</v>
      </c>
      <c r="L44" s="2304">
        <v>0.80330000000000001</v>
      </c>
      <c r="M44" s="2305">
        <v>0.80330000000000001</v>
      </c>
    </row>
    <row r="45" spans="1:13">
      <c r="A45" s="2303">
        <v>5.2</v>
      </c>
      <c r="B45" s="2304">
        <v>0.95540000000000003</v>
      </c>
      <c r="C45" s="2304">
        <v>0.95540000000000003</v>
      </c>
      <c r="D45" s="2304">
        <v>0.90349999999999997</v>
      </c>
      <c r="E45" s="2304">
        <v>0.90349999999999997</v>
      </c>
      <c r="F45" s="2304">
        <v>0.90349999999999997</v>
      </c>
      <c r="G45" s="2304">
        <v>0.90349999999999997</v>
      </c>
      <c r="H45" s="2304">
        <v>0.90349999999999997</v>
      </c>
      <c r="I45" s="2304">
        <v>0.79949999999999999</v>
      </c>
      <c r="J45" s="2304">
        <v>0.79949999999999999</v>
      </c>
      <c r="K45" s="2304">
        <v>0.79949999999999999</v>
      </c>
      <c r="L45" s="2304">
        <v>0.79949999999999999</v>
      </c>
      <c r="M45" s="2305">
        <v>0.79949999999999999</v>
      </c>
    </row>
    <row r="46" spans="1:13">
      <c r="A46" s="2303">
        <v>5.3</v>
      </c>
      <c r="B46" s="2304">
        <v>0.95350000000000001</v>
      </c>
      <c r="C46" s="2304">
        <v>0.95350000000000001</v>
      </c>
      <c r="D46" s="2304">
        <v>0.90110000000000001</v>
      </c>
      <c r="E46" s="2304">
        <v>0.90110000000000001</v>
      </c>
      <c r="F46" s="2304">
        <v>0.90110000000000001</v>
      </c>
      <c r="G46" s="2304">
        <v>0.90110000000000001</v>
      </c>
      <c r="H46" s="2304">
        <v>0.90110000000000001</v>
      </c>
      <c r="I46" s="2304">
        <v>0.79569999999999996</v>
      </c>
      <c r="J46" s="2304">
        <v>0.79569999999999996</v>
      </c>
      <c r="K46" s="2304">
        <v>0.79569999999999996</v>
      </c>
      <c r="L46" s="2304">
        <v>0.79569999999999996</v>
      </c>
      <c r="M46" s="2305">
        <v>0.79569999999999996</v>
      </c>
    </row>
    <row r="47" spans="1:13">
      <c r="A47" s="2303">
        <v>5.4</v>
      </c>
      <c r="B47" s="2304">
        <v>0.9516</v>
      </c>
      <c r="C47" s="2304">
        <v>0.9516</v>
      </c>
      <c r="D47" s="2304">
        <v>0.89870000000000005</v>
      </c>
      <c r="E47" s="2304">
        <v>0.89870000000000005</v>
      </c>
      <c r="F47" s="2304">
        <v>0.89870000000000005</v>
      </c>
      <c r="G47" s="2304">
        <v>0.89870000000000005</v>
      </c>
      <c r="H47" s="2304">
        <v>0.89870000000000005</v>
      </c>
      <c r="I47" s="2304">
        <v>0.79200000000000004</v>
      </c>
      <c r="J47" s="2304">
        <v>0.79200000000000004</v>
      </c>
      <c r="K47" s="2304">
        <v>0.79200000000000004</v>
      </c>
      <c r="L47" s="2304">
        <v>0.79200000000000004</v>
      </c>
      <c r="M47" s="2305">
        <v>0.79200000000000004</v>
      </c>
    </row>
    <row r="48" spans="1:13">
      <c r="A48" s="2303">
        <v>5.5</v>
      </c>
      <c r="B48" s="2304">
        <v>0.94979999999999998</v>
      </c>
      <c r="C48" s="2304">
        <v>0.94979999999999998</v>
      </c>
      <c r="D48" s="2304">
        <v>0.89629999999999999</v>
      </c>
      <c r="E48" s="2304">
        <v>0.89629999999999999</v>
      </c>
      <c r="F48" s="2304">
        <v>0.89629999999999999</v>
      </c>
      <c r="G48" s="2304">
        <v>0.89629999999999999</v>
      </c>
      <c r="H48" s="2304">
        <v>0.89629999999999999</v>
      </c>
      <c r="I48" s="2304">
        <v>0.7883</v>
      </c>
      <c r="J48" s="2304">
        <v>0.7883</v>
      </c>
      <c r="K48" s="2304">
        <v>0.7883</v>
      </c>
      <c r="L48" s="2304">
        <v>0.7883</v>
      </c>
      <c r="M48" s="2305">
        <v>0.7883</v>
      </c>
    </row>
    <row r="49" spans="1:13">
      <c r="A49" s="2303">
        <v>5.6</v>
      </c>
      <c r="B49" s="2304">
        <v>0.94799999999999995</v>
      </c>
      <c r="C49" s="2304">
        <v>0.94799999999999995</v>
      </c>
      <c r="D49" s="2304">
        <v>0.89390000000000003</v>
      </c>
      <c r="E49" s="2304">
        <v>0.89390000000000003</v>
      </c>
      <c r="F49" s="2304">
        <v>0.89390000000000003</v>
      </c>
      <c r="G49" s="2304">
        <v>0.89390000000000003</v>
      </c>
      <c r="H49" s="2304">
        <v>0.89390000000000003</v>
      </c>
      <c r="I49" s="2304">
        <v>0.78469999999999995</v>
      </c>
      <c r="J49" s="2304">
        <v>0.78469999999999995</v>
      </c>
      <c r="K49" s="2304">
        <v>0.78469999999999995</v>
      </c>
      <c r="L49" s="2304">
        <v>0.78469999999999995</v>
      </c>
      <c r="M49" s="2305">
        <v>0.78469999999999995</v>
      </c>
    </row>
    <row r="50" spans="1:13">
      <c r="A50" s="2306">
        <v>5.7</v>
      </c>
      <c r="B50" s="2304">
        <v>0.94620000000000004</v>
      </c>
      <c r="C50" s="2304">
        <v>0.94620000000000004</v>
      </c>
      <c r="D50" s="2304">
        <v>0.89149999999999996</v>
      </c>
      <c r="E50" s="2304">
        <v>0.89149999999999996</v>
      </c>
      <c r="F50" s="2304">
        <v>0.89149999999999996</v>
      </c>
      <c r="G50" s="2304">
        <v>0.89149999999999996</v>
      </c>
      <c r="H50" s="2304">
        <v>0.89149999999999996</v>
      </c>
      <c r="I50" s="2304">
        <v>0.78110000000000002</v>
      </c>
      <c r="J50" s="2304">
        <v>0.78110000000000002</v>
      </c>
      <c r="K50" s="2304">
        <v>0.78110000000000002</v>
      </c>
      <c r="L50" s="2304">
        <v>0.78110000000000002</v>
      </c>
      <c r="M50" s="2305">
        <v>0.78110000000000002</v>
      </c>
    </row>
    <row r="51" spans="1:13">
      <c r="A51" s="2303">
        <v>5.8</v>
      </c>
      <c r="B51" s="2304">
        <v>0.94450000000000001</v>
      </c>
      <c r="C51" s="2304">
        <v>0.94450000000000001</v>
      </c>
      <c r="D51" s="2304">
        <v>0.88919999999999999</v>
      </c>
      <c r="E51" s="2304">
        <v>0.88919999999999999</v>
      </c>
      <c r="F51" s="2304">
        <v>0.88919999999999999</v>
      </c>
      <c r="G51" s="2304">
        <v>0.88919999999999999</v>
      </c>
      <c r="H51" s="2304">
        <v>0.88919999999999999</v>
      </c>
      <c r="I51" s="2304">
        <v>0.77759999999999996</v>
      </c>
      <c r="J51" s="2304">
        <v>0.77759999999999996</v>
      </c>
      <c r="K51" s="2304">
        <v>0.77759999999999996</v>
      </c>
      <c r="L51" s="2304">
        <v>0.77759999999999996</v>
      </c>
      <c r="M51" s="2305">
        <v>0.77759999999999996</v>
      </c>
    </row>
    <row r="52" spans="1:13">
      <c r="A52" s="2303">
        <v>5.9</v>
      </c>
      <c r="B52" s="2304">
        <v>0.94279999999999997</v>
      </c>
      <c r="C52" s="2304">
        <v>0.94279999999999997</v>
      </c>
      <c r="D52" s="2304">
        <v>0.88690000000000002</v>
      </c>
      <c r="E52" s="2304">
        <v>0.88690000000000002</v>
      </c>
      <c r="F52" s="2304">
        <v>0.88690000000000002</v>
      </c>
      <c r="G52" s="2304">
        <v>0.88690000000000002</v>
      </c>
      <c r="H52" s="2304">
        <v>0.88690000000000002</v>
      </c>
      <c r="I52" s="2304">
        <v>0.77410000000000001</v>
      </c>
      <c r="J52" s="2304">
        <v>0.77410000000000001</v>
      </c>
      <c r="K52" s="2304">
        <v>0.77410000000000001</v>
      </c>
      <c r="L52" s="2304">
        <v>0.77410000000000001</v>
      </c>
      <c r="M52" s="2305">
        <v>0.77410000000000001</v>
      </c>
    </row>
    <row r="53" spans="1:13">
      <c r="A53" s="2303">
        <v>6</v>
      </c>
      <c r="B53" s="2304">
        <v>0.94110000000000005</v>
      </c>
      <c r="C53" s="2304">
        <v>0.94110000000000005</v>
      </c>
      <c r="D53" s="2304">
        <v>0.88460000000000005</v>
      </c>
      <c r="E53" s="2304">
        <v>0.88460000000000005</v>
      </c>
      <c r="F53" s="2304">
        <v>0.88460000000000005</v>
      </c>
      <c r="G53" s="2304">
        <v>0.88460000000000005</v>
      </c>
      <c r="H53" s="2304">
        <v>0.88460000000000005</v>
      </c>
      <c r="I53" s="2304">
        <v>0.77070000000000005</v>
      </c>
      <c r="J53" s="2304">
        <v>0.77070000000000005</v>
      </c>
      <c r="K53" s="2304">
        <v>0.77070000000000005</v>
      </c>
      <c r="L53" s="2304">
        <v>0.77070000000000005</v>
      </c>
      <c r="M53" s="2305">
        <v>0.77070000000000005</v>
      </c>
    </row>
    <row r="54" spans="1:13">
      <c r="A54" s="2303">
        <v>6.1</v>
      </c>
      <c r="B54" s="2304">
        <v>0.93940000000000001</v>
      </c>
      <c r="C54" s="2304">
        <v>0.93940000000000001</v>
      </c>
      <c r="D54" s="2304">
        <v>0.88229999999999997</v>
      </c>
      <c r="E54" s="2304">
        <v>0.88229999999999997</v>
      </c>
      <c r="F54" s="2304">
        <v>0.88229999999999997</v>
      </c>
      <c r="G54" s="2304">
        <v>0.88229999999999997</v>
      </c>
      <c r="H54" s="2304">
        <v>0.88229999999999997</v>
      </c>
      <c r="I54" s="2304">
        <v>0.76729999999999998</v>
      </c>
      <c r="J54" s="2304">
        <v>0.76729999999999998</v>
      </c>
      <c r="K54" s="2304">
        <v>0.76729999999999998</v>
      </c>
      <c r="L54" s="2304">
        <v>0.76729999999999998</v>
      </c>
      <c r="M54" s="2305">
        <v>0.76729999999999998</v>
      </c>
    </row>
    <row r="55" spans="1:13">
      <c r="A55" s="2303">
        <v>6.2</v>
      </c>
      <c r="B55" s="2304">
        <v>0.93769999999999998</v>
      </c>
      <c r="C55" s="2304">
        <v>0.93769999999999998</v>
      </c>
      <c r="D55" s="2304">
        <v>0.88</v>
      </c>
      <c r="E55" s="2304">
        <v>0.88</v>
      </c>
      <c r="F55" s="2304">
        <v>0.88</v>
      </c>
      <c r="G55" s="2304">
        <v>0.88</v>
      </c>
      <c r="H55" s="2304">
        <v>0.88</v>
      </c>
      <c r="I55" s="2304">
        <v>0.76400000000000001</v>
      </c>
      <c r="J55" s="2304">
        <v>0.76400000000000001</v>
      </c>
      <c r="K55" s="2304">
        <v>0.76400000000000001</v>
      </c>
      <c r="L55" s="2304">
        <v>0.76400000000000001</v>
      </c>
      <c r="M55" s="2305">
        <v>0.76400000000000001</v>
      </c>
    </row>
    <row r="56" spans="1:13">
      <c r="A56" s="2303">
        <v>6.3</v>
      </c>
      <c r="B56" s="2304">
        <v>0.93610000000000004</v>
      </c>
      <c r="C56" s="2304">
        <v>0.93610000000000004</v>
      </c>
      <c r="D56" s="2304">
        <v>0.87780000000000002</v>
      </c>
      <c r="E56" s="2304">
        <v>0.87780000000000002</v>
      </c>
      <c r="F56" s="2304">
        <v>0.87780000000000002</v>
      </c>
      <c r="G56" s="2304">
        <v>0.87780000000000002</v>
      </c>
      <c r="H56" s="2304">
        <v>0.87780000000000002</v>
      </c>
      <c r="I56" s="2304">
        <v>0.76070000000000004</v>
      </c>
      <c r="J56" s="2304">
        <v>0.76070000000000004</v>
      </c>
      <c r="K56" s="2304">
        <v>0.76070000000000004</v>
      </c>
      <c r="L56" s="2304">
        <v>0.76070000000000004</v>
      </c>
      <c r="M56" s="2305">
        <v>0.76070000000000004</v>
      </c>
    </row>
    <row r="57" spans="1:13">
      <c r="A57" s="2303">
        <v>6.4</v>
      </c>
      <c r="B57" s="2304">
        <v>0.9345</v>
      </c>
      <c r="C57" s="2304">
        <v>0.9345</v>
      </c>
      <c r="D57" s="2304">
        <v>0.87560000000000004</v>
      </c>
      <c r="E57" s="2304">
        <v>0.87560000000000004</v>
      </c>
      <c r="F57" s="2304">
        <v>0.87560000000000004</v>
      </c>
      <c r="G57" s="2304">
        <v>0.87560000000000004</v>
      </c>
      <c r="H57" s="2304">
        <v>0.87560000000000004</v>
      </c>
      <c r="I57" s="2304">
        <v>0.75749999999999995</v>
      </c>
      <c r="J57" s="2304">
        <v>0.75749999999999995</v>
      </c>
      <c r="K57" s="2304">
        <v>0.75749999999999995</v>
      </c>
      <c r="L57" s="2304">
        <v>0.75749999999999995</v>
      </c>
      <c r="M57" s="2305">
        <v>0.75749999999999995</v>
      </c>
    </row>
    <row r="58" spans="1:13">
      <c r="A58" s="2303">
        <v>6.5</v>
      </c>
      <c r="B58" s="2304">
        <v>0.93289999999999995</v>
      </c>
      <c r="C58" s="2304">
        <v>0.93289999999999995</v>
      </c>
      <c r="D58" s="2304">
        <v>0.87339999999999995</v>
      </c>
      <c r="E58" s="2304">
        <v>0.87339999999999995</v>
      </c>
      <c r="F58" s="2304">
        <v>0.87339999999999995</v>
      </c>
      <c r="G58" s="2304">
        <v>0.87339999999999995</v>
      </c>
      <c r="H58" s="2304">
        <v>0.87339999999999995</v>
      </c>
      <c r="I58" s="2304">
        <v>0.75429999999999997</v>
      </c>
      <c r="J58" s="2304">
        <v>0.75429999999999997</v>
      </c>
      <c r="K58" s="2304">
        <v>0.75429999999999997</v>
      </c>
      <c r="L58" s="2304">
        <v>0.75429999999999997</v>
      </c>
      <c r="M58" s="2305">
        <v>0.75429999999999997</v>
      </c>
    </row>
    <row r="59" spans="1:13">
      <c r="A59" s="2303">
        <v>6.6</v>
      </c>
      <c r="B59" s="2304">
        <v>0.93130000000000002</v>
      </c>
      <c r="C59" s="2304">
        <v>0.93130000000000002</v>
      </c>
      <c r="D59" s="2304">
        <v>0.87119999999999997</v>
      </c>
      <c r="E59" s="2304">
        <v>0.87119999999999997</v>
      </c>
      <c r="F59" s="2304">
        <v>0.87119999999999997</v>
      </c>
      <c r="G59" s="2304">
        <v>0.87119999999999997</v>
      </c>
      <c r="H59" s="2304">
        <v>0.87119999999999997</v>
      </c>
      <c r="I59" s="2304">
        <v>0.75119999999999998</v>
      </c>
      <c r="J59" s="2304">
        <v>0.75119999999999998</v>
      </c>
      <c r="K59" s="2304">
        <v>0.75119999999999998</v>
      </c>
      <c r="L59" s="2304">
        <v>0.75119999999999998</v>
      </c>
      <c r="M59" s="2305">
        <v>0.75119999999999998</v>
      </c>
    </row>
    <row r="60" spans="1:13">
      <c r="A60" s="2303">
        <v>6.7</v>
      </c>
      <c r="B60" s="2304">
        <v>0.92969999999999997</v>
      </c>
      <c r="C60" s="2304">
        <v>0.92969999999999997</v>
      </c>
      <c r="D60" s="2304">
        <v>0.86899999999999999</v>
      </c>
      <c r="E60" s="2304">
        <v>0.86899999999999999</v>
      </c>
      <c r="F60" s="2304">
        <v>0.86899999999999999</v>
      </c>
      <c r="G60" s="2304">
        <v>0.86899999999999999</v>
      </c>
      <c r="H60" s="2304">
        <v>0.86899999999999999</v>
      </c>
      <c r="I60" s="2304">
        <v>0.74809999999999999</v>
      </c>
      <c r="J60" s="2304">
        <v>0.74809999999999999</v>
      </c>
      <c r="K60" s="2304">
        <v>0.74809999999999999</v>
      </c>
      <c r="L60" s="2304">
        <v>0.74809999999999999</v>
      </c>
      <c r="M60" s="2305">
        <v>0.74809999999999999</v>
      </c>
    </row>
    <row r="61" spans="1:13">
      <c r="A61" s="2303">
        <v>6.8</v>
      </c>
      <c r="B61" s="2304">
        <v>0.92820000000000003</v>
      </c>
      <c r="C61" s="2304">
        <v>0.92820000000000003</v>
      </c>
      <c r="D61" s="2304">
        <v>0.8669</v>
      </c>
      <c r="E61" s="2304">
        <v>0.8669</v>
      </c>
      <c r="F61" s="2304">
        <v>0.8669</v>
      </c>
      <c r="G61" s="2304">
        <v>0.8669</v>
      </c>
      <c r="H61" s="2304">
        <v>0.8669</v>
      </c>
      <c r="I61" s="2304">
        <v>0.74509999999999998</v>
      </c>
      <c r="J61" s="2304">
        <v>0.74509999999999998</v>
      </c>
      <c r="K61" s="2304">
        <v>0.74509999999999998</v>
      </c>
      <c r="L61" s="2304">
        <v>0.74509999999999998</v>
      </c>
      <c r="M61" s="2305">
        <v>0.74509999999999998</v>
      </c>
    </row>
    <row r="62" spans="1:13">
      <c r="A62" s="2303">
        <v>6.9</v>
      </c>
      <c r="B62" s="2304">
        <v>0.92669999999999997</v>
      </c>
      <c r="C62" s="2304">
        <v>0.92669999999999997</v>
      </c>
      <c r="D62" s="2304">
        <v>0.86480000000000001</v>
      </c>
      <c r="E62" s="2304">
        <v>0.86480000000000001</v>
      </c>
      <c r="F62" s="2304">
        <v>0.86480000000000001</v>
      </c>
      <c r="G62" s="2304">
        <v>0.86480000000000001</v>
      </c>
      <c r="H62" s="2304">
        <v>0.86480000000000001</v>
      </c>
      <c r="I62" s="2304">
        <v>0.74209999999999998</v>
      </c>
      <c r="J62" s="2304">
        <v>0.74209999999999998</v>
      </c>
      <c r="K62" s="2304">
        <v>0.74209999999999998</v>
      </c>
      <c r="L62" s="2304">
        <v>0.74209999999999998</v>
      </c>
      <c r="M62" s="2305">
        <v>0.74209999999999998</v>
      </c>
    </row>
    <row r="63" spans="1:13">
      <c r="A63" s="2303">
        <v>7</v>
      </c>
      <c r="B63" s="2304">
        <v>0.92520000000000002</v>
      </c>
      <c r="C63" s="2304">
        <v>0.92520000000000002</v>
      </c>
      <c r="D63" s="2304">
        <v>0.86270000000000002</v>
      </c>
      <c r="E63" s="2304">
        <v>0.86270000000000002</v>
      </c>
      <c r="F63" s="2304">
        <v>0.86270000000000002</v>
      </c>
      <c r="G63" s="2304">
        <v>0.86270000000000002</v>
      </c>
      <c r="H63" s="2304">
        <v>0.86270000000000002</v>
      </c>
      <c r="I63" s="2304">
        <v>0.73919999999999997</v>
      </c>
      <c r="J63" s="2304">
        <v>0.73919999999999997</v>
      </c>
      <c r="K63" s="2304">
        <v>0.73919999999999997</v>
      </c>
      <c r="L63" s="2304">
        <v>0.73919999999999997</v>
      </c>
      <c r="M63" s="2305">
        <v>0.73919999999999997</v>
      </c>
    </row>
    <row r="64" spans="1:13">
      <c r="A64" s="2303">
        <v>7.1</v>
      </c>
      <c r="B64" s="2304">
        <v>0.92369999999999997</v>
      </c>
      <c r="C64" s="2304">
        <v>0.92369999999999997</v>
      </c>
      <c r="D64" s="2304">
        <v>0.86060000000000003</v>
      </c>
      <c r="E64" s="2304">
        <v>0.86060000000000003</v>
      </c>
      <c r="F64" s="2304">
        <v>0.86060000000000003</v>
      </c>
      <c r="G64" s="2304">
        <v>0.86060000000000003</v>
      </c>
      <c r="H64" s="2304">
        <v>0.86060000000000003</v>
      </c>
      <c r="I64" s="2304">
        <v>0.73629999999999995</v>
      </c>
      <c r="J64" s="2304">
        <v>0.73629999999999995</v>
      </c>
      <c r="K64" s="2304">
        <v>0.73629999999999995</v>
      </c>
      <c r="L64" s="2304">
        <v>0.73629999999999995</v>
      </c>
      <c r="M64" s="2305">
        <v>0.73629999999999995</v>
      </c>
    </row>
    <row r="65" spans="1:13">
      <c r="A65" s="2303">
        <v>7.2</v>
      </c>
      <c r="B65" s="2304">
        <v>0.92220000000000002</v>
      </c>
      <c r="C65" s="2304">
        <v>0.92220000000000002</v>
      </c>
      <c r="D65" s="2304">
        <v>0.85850000000000004</v>
      </c>
      <c r="E65" s="2304">
        <v>0.85850000000000004</v>
      </c>
      <c r="F65" s="2304">
        <v>0.85850000000000004</v>
      </c>
      <c r="G65" s="2304">
        <v>0.85850000000000004</v>
      </c>
      <c r="H65" s="2304">
        <v>0.85850000000000004</v>
      </c>
      <c r="I65" s="2304">
        <v>0.73350000000000004</v>
      </c>
      <c r="J65" s="2304">
        <v>0.73350000000000004</v>
      </c>
      <c r="K65" s="2304">
        <v>0.73350000000000004</v>
      </c>
      <c r="L65" s="2304">
        <v>0.73350000000000004</v>
      </c>
      <c r="M65" s="2305">
        <v>0.73350000000000004</v>
      </c>
    </row>
    <row r="66" spans="1:13">
      <c r="A66" s="2303">
        <v>7.3</v>
      </c>
      <c r="B66" s="2304">
        <v>0.92069999999999996</v>
      </c>
      <c r="C66" s="2304">
        <v>0.92069999999999996</v>
      </c>
      <c r="D66" s="2304">
        <v>0.85650000000000004</v>
      </c>
      <c r="E66" s="2304">
        <v>0.85650000000000004</v>
      </c>
      <c r="F66" s="2304">
        <v>0.85650000000000004</v>
      </c>
      <c r="G66" s="2304">
        <v>0.85650000000000004</v>
      </c>
      <c r="H66" s="2304">
        <v>0.85650000000000004</v>
      </c>
      <c r="I66" s="2304">
        <v>0.73070000000000002</v>
      </c>
      <c r="J66" s="2304">
        <v>0.73070000000000002</v>
      </c>
      <c r="K66" s="2304">
        <v>0.73070000000000002</v>
      </c>
      <c r="L66" s="2304">
        <v>0.73070000000000002</v>
      </c>
      <c r="M66" s="2305">
        <v>0.73070000000000002</v>
      </c>
    </row>
    <row r="67" spans="1:13">
      <c r="A67" s="2303">
        <v>7.4</v>
      </c>
      <c r="B67" s="2304">
        <v>0.91930000000000001</v>
      </c>
      <c r="C67" s="2304">
        <v>0.91930000000000001</v>
      </c>
      <c r="D67" s="2304">
        <v>0.85450000000000004</v>
      </c>
      <c r="E67" s="2304">
        <v>0.85450000000000004</v>
      </c>
      <c r="F67" s="2304">
        <v>0.85450000000000004</v>
      </c>
      <c r="G67" s="2304">
        <v>0.85450000000000004</v>
      </c>
      <c r="H67" s="2304">
        <v>0.85450000000000004</v>
      </c>
      <c r="I67" s="2304">
        <v>0.72799999999999998</v>
      </c>
      <c r="J67" s="2304">
        <v>0.72799999999999998</v>
      </c>
      <c r="K67" s="2304">
        <v>0.72799999999999998</v>
      </c>
      <c r="L67" s="2304">
        <v>0.72799999999999998</v>
      </c>
      <c r="M67" s="2305">
        <v>0.72799999999999998</v>
      </c>
    </row>
    <row r="68" spans="1:13">
      <c r="A68" s="2303">
        <v>7.5</v>
      </c>
      <c r="B68" s="2304">
        <v>0.91790000000000005</v>
      </c>
      <c r="C68" s="2304">
        <v>0.91790000000000005</v>
      </c>
      <c r="D68" s="2304">
        <v>0.85250000000000004</v>
      </c>
      <c r="E68" s="2304">
        <v>0.85250000000000004</v>
      </c>
      <c r="F68" s="2304">
        <v>0.85250000000000004</v>
      </c>
      <c r="G68" s="2304">
        <v>0.85250000000000004</v>
      </c>
      <c r="H68" s="2304">
        <v>0.85250000000000004</v>
      </c>
      <c r="I68" s="2304">
        <v>0.72529999999999994</v>
      </c>
      <c r="J68" s="2304">
        <v>0.72529999999999994</v>
      </c>
      <c r="K68" s="2304">
        <v>0.72529999999999994</v>
      </c>
      <c r="L68" s="2304">
        <v>0.72529999999999994</v>
      </c>
      <c r="M68" s="2305">
        <v>0.72529999999999994</v>
      </c>
    </row>
    <row r="69" spans="1:13">
      <c r="A69" s="2303">
        <v>7.6</v>
      </c>
      <c r="B69" s="2304">
        <v>0.91649999999999998</v>
      </c>
      <c r="C69" s="2304">
        <v>0.91649999999999998</v>
      </c>
      <c r="D69" s="2304">
        <v>0.85050000000000003</v>
      </c>
      <c r="E69" s="2304">
        <v>0.85050000000000003</v>
      </c>
      <c r="F69" s="2304">
        <v>0.85050000000000003</v>
      </c>
      <c r="G69" s="2304">
        <v>0.85050000000000003</v>
      </c>
      <c r="H69" s="2304">
        <v>0.85050000000000003</v>
      </c>
      <c r="I69" s="2304">
        <v>0.72260000000000002</v>
      </c>
      <c r="J69" s="2304">
        <v>0.72260000000000002</v>
      </c>
      <c r="K69" s="2304">
        <v>0.72260000000000002</v>
      </c>
      <c r="L69" s="2304">
        <v>0.72260000000000002</v>
      </c>
      <c r="M69" s="2305">
        <v>0.72260000000000002</v>
      </c>
    </row>
    <row r="70" spans="1:13">
      <c r="A70" s="2303">
        <v>7.7</v>
      </c>
      <c r="B70" s="2304">
        <v>0.91510000000000002</v>
      </c>
      <c r="C70" s="2304">
        <v>0.91510000000000002</v>
      </c>
      <c r="D70" s="2304">
        <v>0.84850000000000003</v>
      </c>
      <c r="E70" s="2304">
        <v>0.84850000000000003</v>
      </c>
      <c r="F70" s="2304">
        <v>0.84850000000000003</v>
      </c>
      <c r="G70" s="2304">
        <v>0.84850000000000003</v>
      </c>
      <c r="H70" s="2304">
        <v>0.84850000000000003</v>
      </c>
      <c r="I70" s="2304">
        <v>0.72</v>
      </c>
      <c r="J70" s="2304">
        <v>0.72</v>
      </c>
      <c r="K70" s="2304">
        <v>0.72</v>
      </c>
      <c r="L70" s="2304">
        <v>0.72</v>
      </c>
      <c r="M70" s="2305">
        <v>0.72</v>
      </c>
    </row>
    <row r="71" spans="1:13">
      <c r="A71" s="2303">
        <v>7.8</v>
      </c>
      <c r="B71" s="2304">
        <v>0.91369999999999996</v>
      </c>
      <c r="C71" s="2304">
        <v>0.91369999999999996</v>
      </c>
      <c r="D71" s="2304">
        <v>0.84660000000000002</v>
      </c>
      <c r="E71" s="2304">
        <v>0.84660000000000002</v>
      </c>
      <c r="F71" s="2304">
        <v>0.84660000000000002</v>
      </c>
      <c r="G71" s="2304">
        <v>0.84660000000000002</v>
      </c>
      <c r="H71" s="2304">
        <v>0.84660000000000002</v>
      </c>
      <c r="I71" s="2304">
        <v>0.71740000000000004</v>
      </c>
      <c r="J71" s="2304">
        <v>0.71740000000000004</v>
      </c>
      <c r="K71" s="2304">
        <v>0.71740000000000004</v>
      </c>
      <c r="L71" s="2304">
        <v>0.71740000000000004</v>
      </c>
      <c r="M71" s="2305">
        <v>0.71740000000000004</v>
      </c>
    </row>
    <row r="72" spans="1:13">
      <c r="A72" s="2303">
        <v>7.9</v>
      </c>
      <c r="B72" s="2304">
        <v>0.9123</v>
      </c>
      <c r="C72" s="2304">
        <v>0.9123</v>
      </c>
      <c r="D72" s="2304">
        <v>0.84470000000000001</v>
      </c>
      <c r="E72" s="2304">
        <v>0.84470000000000001</v>
      </c>
      <c r="F72" s="2304">
        <v>0.84470000000000001</v>
      </c>
      <c r="G72" s="2304">
        <v>0.84470000000000001</v>
      </c>
      <c r="H72" s="2304">
        <v>0.84470000000000001</v>
      </c>
      <c r="I72" s="2304">
        <v>0.71479999999999999</v>
      </c>
      <c r="J72" s="2304">
        <v>0.71479999999999999</v>
      </c>
      <c r="K72" s="2304">
        <v>0.71479999999999999</v>
      </c>
      <c r="L72" s="2304">
        <v>0.71479999999999999</v>
      </c>
      <c r="M72" s="2305">
        <v>0.71479999999999999</v>
      </c>
    </row>
    <row r="73" spans="1:13">
      <c r="A73" s="2303">
        <v>8</v>
      </c>
      <c r="B73" s="2304">
        <v>0.91090000000000004</v>
      </c>
      <c r="C73" s="2304">
        <v>0.91090000000000004</v>
      </c>
      <c r="D73" s="2304">
        <v>0.84279999999999999</v>
      </c>
      <c r="E73" s="2304">
        <v>0.84279999999999999</v>
      </c>
      <c r="F73" s="2304">
        <v>0.84279999999999999</v>
      </c>
      <c r="G73" s="2304">
        <v>0.84279999999999999</v>
      </c>
      <c r="H73" s="2304">
        <v>0.84279999999999999</v>
      </c>
      <c r="I73" s="2304">
        <v>0.71230000000000004</v>
      </c>
      <c r="J73" s="2304">
        <v>0.71230000000000004</v>
      </c>
      <c r="K73" s="2304">
        <v>0.71230000000000004</v>
      </c>
      <c r="L73" s="2304">
        <v>0.71230000000000004</v>
      </c>
      <c r="M73" s="2305">
        <v>0.71230000000000004</v>
      </c>
    </row>
    <row r="74" spans="1:13">
      <c r="A74" s="2303">
        <v>8.1</v>
      </c>
      <c r="B74" s="2304">
        <v>0.90959999999999996</v>
      </c>
      <c r="C74" s="2304">
        <v>0.90959999999999996</v>
      </c>
      <c r="D74" s="2304">
        <v>0.84089999999999998</v>
      </c>
      <c r="E74" s="2304">
        <v>0.84089999999999998</v>
      </c>
      <c r="F74" s="2304">
        <v>0.84089999999999998</v>
      </c>
      <c r="G74" s="2304">
        <v>0.84089999999999998</v>
      </c>
      <c r="H74" s="2304">
        <v>0.84089999999999998</v>
      </c>
      <c r="I74" s="2304">
        <v>0.70979999999999999</v>
      </c>
      <c r="J74" s="2304">
        <v>0.70979999999999999</v>
      </c>
      <c r="K74" s="2304">
        <v>0.70979999999999999</v>
      </c>
      <c r="L74" s="2304">
        <v>0.70979999999999999</v>
      </c>
      <c r="M74" s="2305">
        <v>0.70979999999999999</v>
      </c>
    </row>
    <row r="75" spans="1:13">
      <c r="A75" s="2303">
        <v>8.1999999999999993</v>
      </c>
      <c r="B75" s="2304">
        <v>0.9083</v>
      </c>
      <c r="C75" s="2304">
        <v>0.9083</v>
      </c>
      <c r="D75" s="2304">
        <v>0.83899999999999997</v>
      </c>
      <c r="E75" s="2304">
        <v>0.83899999999999997</v>
      </c>
      <c r="F75" s="2304">
        <v>0.83899999999999997</v>
      </c>
      <c r="G75" s="2304">
        <v>0.83899999999999997</v>
      </c>
      <c r="H75" s="2304">
        <v>0.83899999999999997</v>
      </c>
      <c r="I75" s="2304">
        <v>0.70730000000000004</v>
      </c>
      <c r="J75" s="2304">
        <v>0.70730000000000004</v>
      </c>
      <c r="K75" s="2304">
        <v>0.70730000000000004</v>
      </c>
      <c r="L75" s="2304">
        <v>0.70730000000000004</v>
      </c>
      <c r="M75" s="2305">
        <v>0.70730000000000004</v>
      </c>
    </row>
    <row r="76" spans="1:13">
      <c r="A76" s="2303">
        <v>8.3000000000000007</v>
      </c>
      <c r="B76" s="2304">
        <v>0.90700000000000003</v>
      </c>
      <c r="C76" s="2304">
        <v>0.90700000000000003</v>
      </c>
      <c r="D76" s="2304">
        <v>0.83720000000000006</v>
      </c>
      <c r="E76" s="2304">
        <v>0.83720000000000006</v>
      </c>
      <c r="F76" s="2304">
        <v>0.83720000000000006</v>
      </c>
      <c r="G76" s="2304">
        <v>0.83720000000000006</v>
      </c>
      <c r="H76" s="2304">
        <v>0.83720000000000006</v>
      </c>
      <c r="I76" s="2304">
        <v>0.70489999999999997</v>
      </c>
      <c r="J76" s="2304">
        <v>0.70489999999999997</v>
      </c>
      <c r="K76" s="2304">
        <v>0.70489999999999997</v>
      </c>
      <c r="L76" s="2304">
        <v>0.70489999999999997</v>
      </c>
      <c r="M76" s="2305">
        <v>0.70489999999999997</v>
      </c>
    </row>
    <row r="77" spans="1:13">
      <c r="A77" s="2303">
        <v>8.4</v>
      </c>
      <c r="B77" s="2304">
        <v>0.90569999999999995</v>
      </c>
      <c r="C77" s="2304">
        <v>0.90569999999999995</v>
      </c>
      <c r="D77" s="2304">
        <v>0.83540000000000003</v>
      </c>
      <c r="E77" s="2304">
        <v>0.83540000000000003</v>
      </c>
      <c r="F77" s="2304">
        <v>0.83540000000000003</v>
      </c>
      <c r="G77" s="2304">
        <v>0.83540000000000003</v>
      </c>
      <c r="H77" s="2304">
        <v>0.83540000000000003</v>
      </c>
      <c r="I77" s="2304">
        <v>0.70250000000000001</v>
      </c>
      <c r="J77" s="2304">
        <v>0.70250000000000001</v>
      </c>
      <c r="K77" s="2304">
        <v>0.70250000000000001</v>
      </c>
      <c r="L77" s="2304">
        <v>0.70250000000000001</v>
      </c>
      <c r="M77" s="2305">
        <v>0.70250000000000001</v>
      </c>
    </row>
    <row r="78" spans="1:13">
      <c r="A78" s="2303">
        <v>8.5</v>
      </c>
      <c r="B78" s="2304">
        <v>0.90439999999999998</v>
      </c>
      <c r="C78" s="2304">
        <v>0.90439999999999998</v>
      </c>
      <c r="D78" s="2304">
        <v>0.83360000000000001</v>
      </c>
      <c r="E78" s="2304">
        <v>0.83360000000000001</v>
      </c>
      <c r="F78" s="2304">
        <v>0.83360000000000001</v>
      </c>
      <c r="G78" s="2304">
        <v>0.83360000000000001</v>
      </c>
      <c r="H78" s="2304">
        <v>0.83360000000000001</v>
      </c>
      <c r="I78" s="2304">
        <v>0.70009999999999994</v>
      </c>
      <c r="J78" s="2304">
        <v>0.70009999999999994</v>
      </c>
      <c r="K78" s="2304">
        <v>0.70009999999999994</v>
      </c>
      <c r="L78" s="2304">
        <v>0.70009999999999994</v>
      </c>
      <c r="M78" s="2305">
        <v>0.70009999999999994</v>
      </c>
    </row>
    <row r="79" spans="1:13">
      <c r="A79" s="2303">
        <v>8.6</v>
      </c>
      <c r="B79" s="2304">
        <v>0.90310000000000001</v>
      </c>
      <c r="C79" s="2304">
        <v>0.90310000000000001</v>
      </c>
      <c r="D79" s="2304">
        <v>0.83179999999999998</v>
      </c>
      <c r="E79" s="2304">
        <v>0.83179999999999998</v>
      </c>
      <c r="F79" s="2304">
        <v>0.83179999999999998</v>
      </c>
      <c r="G79" s="2304">
        <v>0.83179999999999998</v>
      </c>
      <c r="H79" s="2304">
        <v>0.83179999999999998</v>
      </c>
      <c r="I79" s="2304">
        <v>0.69779999999999998</v>
      </c>
      <c r="J79" s="2304">
        <v>0.69779999999999998</v>
      </c>
      <c r="K79" s="2304">
        <v>0.69779999999999998</v>
      </c>
      <c r="L79" s="2304">
        <v>0.69779999999999998</v>
      </c>
      <c r="M79" s="2305">
        <v>0.69779999999999998</v>
      </c>
    </row>
    <row r="80" spans="1:13">
      <c r="A80" s="2303">
        <v>8.6999999999999993</v>
      </c>
      <c r="B80" s="2304">
        <v>0.90180000000000005</v>
      </c>
      <c r="C80" s="2304">
        <v>0.90180000000000005</v>
      </c>
      <c r="D80" s="2304">
        <v>0.83</v>
      </c>
      <c r="E80" s="2304">
        <v>0.83</v>
      </c>
      <c r="F80" s="2304">
        <v>0.83</v>
      </c>
      <c r="G80" s="2304">
        <v>0.83</v>
      </c>
      <c r="H80" s="2304">
        <v>0.83</v>
      </c>
      <c r="I80" s="2304">
        <v>0.69550000000000001</v>
      </c>
      <c r="J80" s="2304">
        <v>0.69550000000000001</v>
      </c>
      <c r="K80" s="2304">
        <v>0.69550000000000001</v>
      </c>
      <c r="L80" s="2304">
        <v>0.69550000000000001</v>
      </c>
      <c r="M80" s="2305">
        <v>0.69550000000000001</v>
      </c>
    </row>
    <row r="81" spans="1:20">
      <c r="A81" s="2303">
        <v>8.8000000000000007</v>
      </c>
      <c r="B81" s="2304">
        <v>0.90059999999999996</v>
      </c>
      <c r="C81" s="2304">
        <v>0.90059999999999996</v>
      </c>
      <c r="D81" s="2304">
        <v>0.82830000000000004</v>
      </c>
      <c r="E81" s="2304">
        <v>0.82830000000000004</v>
      </c>
      <c r="F81" s="2304">
        <v>0.82830000000000004</v>
      </c>
      <c r="G81" s="2304">
        <v>0.82830000000000004</v>
      </c>
      <c r="H81" s="2304">
        <v>0.82830000000000004</v>
      </c>
      <c r="I81" s="2304">
        <v>0.69320000000000004</v>
      </c>
      <c r="J81" s="2304">
        <v>0.69320000000000004</v>
      </c>
      <c r="K81" s="2304">
        <v>0.69320000000000004</v>
      </c>
      <c r="L81" s="2304">
        <v>0.69320000000000004</v>
      </c>
      <c r="M81" s="2305">
        <v>0.69320000000000004</v>
      </c>
    </row>
    <row r="82" spans="1:20">
      <c r="A82" s="2303">
        <v>8.9</v>
      </c>
      <c r="B82" s="2304">
        <v>0.89939999999999998</v>
      </c>
      <c r="C82" s="2304">
        <v>0.89939999999999998</v>
      </c>
      <c r="D82" s="2304">
        <v>0.8266</v>
      </c>
      <c r="E82" s="2304">
        <v>0.8266</v>
      </c>
      <c r="F82" s="2304">
        <v>0.8266</v>
      </c>
      <c r="G82" s="2304">
        <v>0.8266</v>
      </c>
      <c r="H82" s="2304">
        <v>0.8266</v>
      </c>
      <c r="I82" s="2304">
        <v>0.69099999999999995</v>
      </c>
      <c r="J82" s="2304">
        <v>0.69099999999999995</v>
      </c>
      <c r="K82" s="2304">
        <v>0.69099999999999995</v>
      </c>
      <c r="L82" s="2304">
        <v>0.69099999999999995</v>
      </c>
      <c r="M82" s="2305">
        <v>0.69099999999999995</v>
      </c>
    </row>
    <row r="83" spans="1:20">
      <c r="A83" s="2306">
        <v>9</v>
      </c>
      <c r="B83" s="2304">
        <v>0.8982</v>
      </c>
      <c r="C83" s="2304">
        <v>0.8982</v>
      </c>
      <c r="D83" s="2304">
        <v>0.82489999999999997</v>
      </c>
      <c r="E83" s="2304">
        <v>0.82489999999999997</v>
      </c>
      <c r="F83" s="2304">
        <v>0.82489999999999997</v>
      </c>
      <c r="G83" s="2304">
        <v>0.82489999999999997</v>
      </c>
      <c r="H83" s="2304">
        <v>0.82489999999999997</v>
      </c>
      <c r="I83" s="2304">
        <v>0.68879999999999997</v>
      </c>
      <c r="J83" s="2304">
        <v>0.68879999999999997</v>
      </c>
      <c r="K83" s="2304">
        <v>0.68879999999999997</v>
      </c>
      <c r="L83" s="2304">
        <v>0.68879999999999997</v>
      </c>
      <c r="M83" s="2305">
        <v>0.68879999999999997</v>
      </c>
    </row>
    <row r="84" spans="1:20">
      <c r="A84" s="2306">
        <v>9.1</v>
      </c>
      <c r="B84" s="2304">
        <v>0.89700000000000002</v>
      </c>
      <c r="C84" s="2304">
        <v>0.89700000000000002</v>
      </c>
      <c r="D84" s="2304">
        <v>0.82320000000000004</v>
      </c>
      <c r="E84" s="2304">
        <v>0.82320000000000004</v>
      </c>
      <c r="F84" s="2304">
        <v>0.82320000000000004</v>
      </c>
      <c r="G84" s="2304">
        <v>0.82320000000000004</v>
      </c>
      <c r="H84" s="2304">
        <v>0.82320000000000004</v>
      </c>
      <c r="I84" s="2304">
        <v>0.68659999999999999</v>
      </c>
      <c r="J84" s="2304">
        <v>0.68659999999999999</v>
      </c>
      <c r="K84" s="2304">
        <v>0.68659999999999999</v>
      </c>
      <c r="L84" s="2304">
        <v>0.68659999999999999</v>
      </c>
      <c r="M84" s="2305">
        <v>0.68659999999999999</v>
      </c>
    </row>
    <row r="85" spans="1:20">
      <c r="A85" s="2306">
        <v>9.1999999999999993</v>
      </c>
      <c r="B85" s="2304">
        <v>0.89580000000000004</v>
      </c>
      <c r="C85" s="2304">
        <v>0.89580000000000004</v>
      </c>
      <c r="D85" s="2304">
        <v>0.82150000000000001</v>
      </c>
      <c r="E85" s="2304">
        <v>0.82150000000000001</v>
      </c>
      <c r="F85" s="2304">
        <v>0.82150000000000001</v>
      </c>
      <c r="G85" s="2304">
        <v>0.82150000000000001</v>
      </c>
      <c r="H85" s="2304">
        <v>0.82150000000000001</v>
      </c>
      <c r="I85" s="2304">
        <v>0.6845</v>
      </c>
      <c r="J85" s="2304">
        <v>0.6845</v>
      </c>
      <c r="K85" s="2304">
        <v>0.6845</v>
      </c>
      <c r="L85" s="2304">
        <v>0.6845</v>
      </c>
      <c r="M85" s="2305">
        <v>0.6845</v>
      </c>
    </row>
    <row r="86" spans="1:20">
      <c r="A86" s="2306">
        <v>9.3000000000000007</v>
      </c>
      <c r="B86" s="2304">
        <v>0.89459999999999995</v>
      </c>
      <c r="C86" s="2304">
        <v>0.89459999999999995</v>
      </c>
      <c r="D86" s="2304">
        <v>0.81989999999999996</v>
      </c>
      <c r="E86" s="2304">
        <v>0.81989999999999996</v>
      </c>
      <c r="F86" s="2304">
        <v>0.81989999999999996</v>
      </c>
      <c r="G86" s="2304">
        <v>0.81989999999999996</v>
      </c>
      <c r="H86" s="2304">
        <v>0.81989999999999996</v>
      </c>
      <c r="I86" s="2304">
        <v>0.68240000000000001</v>
      </c>
      <c r="J86" s="2304">
        <v>0.68240000000000001</v>
      </c>
      <c r="K86" s="2304">
        <v>0.68240000000000001</v>
      </c>
      <c r="L86" s="2304">
        <v>0.68240000000000001</v>
      </c>
      <c r="M86" s="2305">
        <v>0.68240000000000001</v>
      </c>
    </row>
    <row r="87" spans="1:20">
      <c r="A87" s="2306">
        <v>9.4</v>
      </c>
      <c r="B87" s="2304">
        <v>0.89339999999999997</v>
      </c>
      <c r="C87" s="2304">
        <v>0.89339999999999997</v>
      </c>
      <c r="D87" s="2304">
        <v>0.81830000000000003</v>
      </c>
      <c r="E87" s="2304">
        <v>0.81830000000000003</v>
      </c>
      <c r="F87" s="2304">
        <v>0.81830000000000003</v>
      </c>
      <c r="G87" s="2304">
        <v>0.81830000000000003</v>
      </c>
      <c r="H87" s="2304">
        <v>0.81830000000000003</v>
      </c>
      <c r="I87" s="2304">
        <v>0.68030000000000002</v>
      </c>
      <c r="J87" s="2304">
        <v>0.68030000000000002</v>
      </c>
      <c r="K87" s="2304">
        <v>0.68030000000000002</v>
      </c>
      <c r="L87" s="2304">
        <v>0.68030000000000002</v>
      </c>
      <c r="M87" s="2305">
        <v>0.68030000000000002</v>
      </c>
    </row>
    <row r="88" spans="1:20">
      <c r="A88" s="2306">
        <v>9.5</v>
      </c>
      <c r="B88" s="2304">
        <v>0.89229999999999998</v>
      </c>
      <c r="C88" s="2304">
        <v>0.89229999999999998</v>
      </c>
      <c r="D88" s="2304">
        <v>0.81669999999999998</v>
      </c>
      <c r="E88" s="2304">
        <v>0.81669999999999998</v>
      </c>
      <c r="F88" s="2304">
        <v>0.81669999999999998</v>
      </c>
      <c r="G88" s="2304">
        <v>0.81669999999999998</v>
      </c>
      <c r="H88" s="2304">
        <v>0.81669999999999998</v>
      </c>
      <c r="I88" s="2304">
        <v>0.67830000000000001</v>
      </c>
      <c r="J88" s="2304">
        <v>0.67830000000000001</v>
      </c>
      <c r="K88" s="2304">
        <v>0.67830000000000001</v>
      </c>
      <c r="L88" s="2304">
        <v>0.67830000000000001</v>
      </c>
      <c r="M88" s="2305">
        <v>0.67830000000000001</v>
      </c>
    </row>
    <row r="89" spans="1:20">
      <c r="A89" s="2306">
        <v>9.6</v>
      </c>
      <c r="B89" s="2304">
        <v>0.89119999999999999</v>
      </c>
      <c r="C89" s="2304">
        <v>0.89119999999999999</v>
      </c>
      <c r="D89" s="2304">
        <v>0.81510000000000005</v>
      </c>
      <c r="E89" s="2304">
        <v>0.81510000000000005</v>
      </c>
      <c r="F89" s="2304">
        <v>0.81510000000000005</v>
      </c>
      <c r="G89" s="2304">
        <v>0.81510000000000005</v>
      </c>
      <c r="H89" s="2304">
        <v>0.81510000000000005</v>
      </c>
      <c r="I89" s="2304">
        <v>0.67630000000000001</v>
      </c>
      <c r="J89" s="2304">
        <v>0.67630000000000001</v>
      </c>
      <c r="K89" s="2304">
        <v>0.67630000000000001</v>
      </c>
      <c r="L89" s="2304">
        <v>0.67630000000000001</v>
      </c>
      <c r="M89" s="2305">
        <v>0.67630000000000001</v>
      </c>
    </row>
    <row r="90" spans="1:20">
      <c r="A90" s="2306">
        <v>9.6999999999999993</v>
      </c>
      <c r="B90" s="2304">
        <v>0.8901</v>
      </c>
      <c r="C90" s="2304">
        <v>0.8901</v>
      </c>
      <c r="D90" s="2304">
        <v>0.8135</v>
      </c>
      <c r="E90" s="2304">
        <v>0.8135</v>
      </c>
      <c r="F90" s="2304">
        <v>0.8135</v>
      </c>
      <c r="G90" s="2304">
        <v>0.8135</v>
      </c>
      <c r="H90" s="2304">
        <v>0.8135</v>
      </c>
      <c r="I90" s="2304">
        <v>0.67430000000000001</v>
      </c>
      <c r="J90" s="2304">
        <v>0.67430000000000001</v>
      </c>
      <c r="K90" s="2304">
        <v>0.67430000000000001</v>
      </c>
      <c r="L90" s="2304">
        <v>0.67430000000000001</v>
      </c>
      <c r="M90" s="2305">
        <v>0.67430000000000001</v>
      </c>
    </row>
    <row r="91" spans="1:20">
      <c r="A91" s="2306">
        <v>9.8000000000000007</v>
      </c>
      <c r="B91" s="2304">
        <v>0.88900000000000001</v>
      </c>
      <c r="C91" s="2304">
        <v>0.88900000000000001</v>
      </c>
      <c r="D91" s="2304">
        <v>0.81200000000000006</v>
      </c>
      <c r="E91" s="2304">
        <v>0.81200000000000006</v>
      </c>
      <c r="F91" s="2304">
        <v>0.81200000000000006</v>
      </c>
      <c r="G91" s="2304">
        <v>0.81200000000000006</v>
      </c>
      <c r="H91" s="2304">
        <v>0.81200000000000006</v>
      </c>
      <c r="I91" s="2304">
        <v>0.6724</v>
      </c>
      <c r="J91" s="2304">
        <v>0.6724</v>
      </c>
      <c r="K91" s="2304">
        <v>0.6724</v>
      </c>
      <c r="L91" s="2304">
        <v>0.6724</v>
      </c>
      <c r="M91" s="2305">
        <v>0.6724</v>
      </c>
    </row>
    <row r="92" spans="1:20" ht="14.25" thickBot="1">
      <c r="A92" s="2307">
        <v>9.9</v>
      </c>
      <c r="B92" s="2308">
        <v>0.88790000000000002</v>
      </c>
      <c r="C92" s="2308">
        <v>0.88790000000000002</v>
      </c>
      <c r="D92" s="2308">
        <v>0.8105</v>
      </c>
      <c r="E92" s="2308">
        <v>0.8105</v>
      </c>
      <c r="F92" s="2308">
        <v>0.8105</v>
      </c>
      <c r="G92" s="2308">
        <v>0.8105</v>
      </c>
      <c r="H92" s="2308">
        <v>0.8105</v>
      </c>
      <c r="I92" s="2308">
        <v>0.67049999999999998</v>
      </c>
      <c r="J92" s="2308">
        <v>0.67049999999999998</v>
      </c>
      <c r="K92" s="2308">
        <v>0.67049999999999998</v>
      </c>
      <c r="L92" s="2308">
        <v>0.67049999999999998</v>
      </c>
      <c r="M92" s="2309">
        <v>0.67049999999999998</v>
      </c>
    </row>
    <row r="93" spans="1:20" ht="15" thickBot="1">
      <c r="A93" s="2297" t="s">
        <v>2685</v>
      </c>
      <c r="B93" s="2297"/>
      <c r="C93" s="2297"/>
      <c r="D93" s="2297"/>
      <c r="E93" s="2297"/>
      <c r="F93" s="2297"/>
      <c r="G93" s="2297"/>
      <c r="H93" s="2297"/>
      <c r="I93" s="2297"/>
      <c r="J93" s="2297"/>
      <c r="K93" s="2297"/>
      <c r="L93" s="2297"/>
      <c r="M93" s="2297"/>
    </row>
    <row r="94" spans="1:20">
      <c r="A94" s="2298" t="s">
        <v>2684</v>
      </c>
      <c r="B94" s="2299" t="s">
        <v>2480</v>
      </c>
      <c r="C94" s="2299" t="s">
        <v>2481</v>
      </c>
      <c r="D94" s="2299" t="s">
        <v>2482</v>
      </c>
      <c r="E94" s="2299" t="s">
        <v>2483</v>
      </c>
      <c r="F94" s="2299" t="s">
        <v>2484</v>
      </c>
      <c r="G94" s="2299" t="s">
        <v>2485</v>
      </c>
      <c r="H94" s="2300" t="s">
        <v>2486</v>
      </c>
      <c r="I94" s="2300" t="s">
        <v>2487</v>
      </c>
      <c r="J94" s="2301" t="s">
        <v>2488</v>
      </c>
      <c r="K94" s="2301" t="s">
        <v>2489</v>
      </c>
      <c r="L94" s="2301" t="s">
        <v>2490</v>
      </c>
      <c r="M94" s="2302" t="s">
        <v>2491</v>
      </c>
      <c r="N94">
        <f>SUMPRODUCT((A95:A184=ROUNDDOWN(基准地价修正!G3,1))*(B94:M94=基准地价修正!G2)*(B95:M184))</f>
        <v>0</v>
      </c>
      <c r="Q94" s="2312" t="s">
        <v>2689</v>
      </c>
      <c r="R94" s="2312" t="s">
        <v>2690</v>
      </c>
      <c r="S94" s="2312" t="s">
        <v>2691</v>
      </c>
      <c r="T94" s="2312" t="s">
        <v>2692</v>
      </c>
    </row>
    <row r="95" spans="1:20">
      <c r="A95" s="2303">
        <v>1</v>
      </c>
      <c r="B95" s="2304">
        <v>1.2501</v>
      </c>
      <c r="C95" s="2304">
        <v>1.2501</v>
      </c>
      <c r="D95" s="2304">
        <v>1.2158</v>
      </c>
      <c r="E95" s="2304">
        <v>1.2158</v>
      </c>
      <c r="F95" s="2304">
        <v>1.2158</v>
      </c>
      <c r="G95" s="2304">
        <v>1.2158</v>
      </c>
      <c r="H95" s="2304">
        <v>1.2158</v>
      </c>
      <c r="I95" s="2304">
        <v>1.2302</v>
      </c>
      <c r="J95" s="2304">
        <v>1.2302</v>
      </c>
      <c r="K95" s="2304">
        <v>1.2302</v>
      </c>
      <c r="L95" s="2304">
        <v>1.2302</v>
      </c>
      <c r="M95" s="2305">
        <v>1.2302</v>
      </c>
      <c r="Q95" s="2312">
        <v>10</v>
      </c>
      <c r="R95" s="2312">
        <f>ROUND(0.993-0.0112*Q95,4)</f>
        <v>0.88100000000000001</v>
      </c>
      <c r="S95" s="2312">
        <f>ROUND(0.9415-0.0142*Q95,4)</f>
        <v>0.79949999999999999</v>
      </c>
      <c r="T95" s="2312">
        <f>ROUND(0.8438-0.0182*Q95,4)</f>
        <v>0.66180000000000005</v>
      </c>
    </row>
    <row r="96" spans="1:20">
      <c r="A96" s="2303">
        <v>1.1000000000000001</v>
      </c>
      <c r="B96" s="2304">
        <v>1.2310000000000001</v>
      </c>
      <c r="C96" s="2304">
        <v>1.2310000000000001</v>
      </c>
      <c r="D96" s="2304">
        <v>1.1947000000000001</v>
      </c>
      <c r="E96" s="2304">
        <v>1.1947000000000001</v>
      </c>
      <c r="F96" s="2304">
        <v>1.1947000000000001</v>
      </c>
      <c r="G96" s="2304">
        <v>1.1947000000000001</v>
      </c>
      <c r="H96" s="2304">
        <v>1.1947000000000001</v>
      </c>
      <c r="I96" s="2304">
        <v>1.2008000000000001</v>
      </c>
      <c r="J96" s="2304">
        <v>1.2008000000000001</v>
      </c>
      <c r="K96" s="2304">
        <v>1.2008000000000001</v>
      </c>
      <c r="L96" s="2304">
        <v>1.2008000000000001</v>
      </c>
      <c r="M96" s="2305">
        <v>1.2008000000000001</v>
      </c>
    </row>
    <row r="97" spans="1:14">
      <c r="A97" s="2303">
        <v>1.2</v>
      </c>
      <c r="B97" s="2304">
        <v>1.2130000000000001</v>
      </c>
      <c r="C97" s="2304">
        <v>1.2130000000000001</v>
      </c>
      <c r="D97" s="2304">
        <v>1.1748000000000001</v>
      </c>
      <c r="E97" s="2304">
        <v>1.1748000000000001</v>
      </c>
      <c r="F97" s="2304">
        <v>1.1748000000000001</v>
      </c>
      <c r="G97" s="2304">
        <v>1.1748000000000001</v>
      </c>
      <c r="H97" s="2304">
        <v>1.1748000000000001</v>
      </c>
      <c r="I97" s="2304">
        <v>1.173</v>
      </c>
      <c r="J97" s="2304">
        <v>1.173</v>
      </c>
      <c r="K97" s="2304">
        <v>1.173</v>
      </c>
      <c r="L97" s="2304">
        <v>1.173</v>
      </c>
      <c r="M97" s="2305">
        <v>1.173</v>
      </c>
    </row>
    <row r="98" spans="1:14">
      <c r="A98" s="2303">
        <v>1.3</v>
      </c>
      <c r="B98" s="2304">
        <v>1.196</v>
      </c>
      <c r="C98" s="2304">
        <v>1.196</v>
      </c>
      <c r="D98" s="2304">
        <v>1.1559999999999999</v>
      </c>
      <c r="E98" s="2304">
        <v>1.1559999999999999</v>
      </c>
      <c r="F98" s="2304">
        <v>1.1559999999999999</v>
      </c>
      <c r="G98" s="2304">
        <v>1.1559999999999999</v>
      </c>
      <c r="H98" s="2304">
        <v>1.1559999999999999</v>
      </c>
      <c r="I98" s="2304">
        <v>1.1468</v>
      </c>
      <c r="J98" s="2304">
        <v>1.1468</v>
      </c>
      <c r="K98" s="2304">
        <v>1.1468</v>
      </c>
      <c r="L98" s="2304">
        <v>1.1468</v>
      </c>
      <c r="M98" s="2305">
        <v>1.1468</v>
      </c>
    </row>
    <row r="99" spans="1:14">
      <c r="A99" s="2303">
        <v>1.4</v>
      </c>
      <c r="B99" s="2304">
        <v>1.18</v>
      </c>
      <c r="C99" s="2304">
        <v>1.18</v>
      </c>
      <c r="D99" s="2304">
        <v>1.1382000000000001</v>
      </c>
      <c r="E99" s="2304">
        <v>1.1382000000000001</v>
      </c>
      <c r="F99" s="2304">
        <v>1.1382000000000001</v>
      </c>
      <c r="G99" s="2304">
        <v>1.1382000000000001</v>
      </c>
      <c r="H99" s="2304">
        <v>1.1382000000000001</v>
      </c>
      <c r="I99" s="2304">
        <v>1.1220000000000001</v>
      </c>
      <c r="J99" s="2304">
        <v>1.1220000000000001</v>
      </c>
      <c r="K99" s="2304">
        <v>1.1220000000000001</v>
      </c>
      <c r="L99" s="2304">
        <v>1.1220000000000001</v>
      </c>
      <c r="M99" s="2305">
        <v>1.1220000000000001</v>
      </c>
    </row>
    <row r="100" spans="1:14">
      <c r="A100" s="2303">
        <v>1.5</v>
      </c>
      <c r="B100" s="2304">
        <v>1.1649</v>
      </c>
      <c r="C100" s="2304">
        <v>1.1649</v>
      </c>
      <c r="D100" s="2304">
        <v>1.1214999999999999</v>
      </c>
      <c r="E100" s="2304">
        <v>1.1214999999999999</v>
      </c>
      <c r="F100" s="2304">
        <v>1.1214999999999999</v>
      </c>
      <c r="G100" s="2304">
        <v>1.1214999999999999</v>
      </c>
      <c r="H100" s="2304">
        <v>1.1214999999999999</v>
      </c>
      <c r="I100" s="2304">
        <v>1.0985</v>
      </c>
      <c r="J100" s="2304">
        <v>1.0985</v>
      </c>
      <c r="K100" s="2304">
        <v>1.0985</v>
      </c>
      <c r="L100" s="2304">
        <v>1.0985</v>
      </c>
      <c r="M100" s="2305">
        <v>1.0985</v>
      </c>
    </row>
    <row r="101" spans="1:14">
      <c r="A101" s="2303">
        <v>1.6</v>
      </c>
      <c r="B101" s="2304">
        <v>1.1507000000000001</v>
      </c>
      <c r="C101" s="2304">
        <v>1.1507000000000001</v>
      </c>
      <c r="D101" s="2304">
        <v>1.1056999999999999</v>
      </c>
      <c r="E101" s="2304">
        <v>1.1056999999999999</v>
      </c>
      <c r="F101" s="2304">
        <v>1.1056999999999999</v>
      </c>
      <c r="G101" s="2304">
        <v>1.1056999999999999</v>
      </c>
      <c r="H101" s="2304">
        <v>1.1056999999999999</v>
      </c>
      <c r="I101" s="2304">
        <v>1.0764</v>
      </c>
      <c r="J101" s="2304">
        <v>1.0764</v>
      </c>
      <c r="K101" s="2304">
        <v>1.0764</v>
      </c>
      <c r="L101" s="2304">
        <v>1.0764</v>
      </c>
      <c r="M101" s="2305">
        <v>1.0764</v>
      </c>
    </row>
    <row r="102" spans="1:14">
      <c r="A102" s="2303">
        <v>1.7</v>
      </c>
      <c r="B102" s="2304">
        <v>1.1373</v>
      </c>
      <c r="C102" s="2304">
        <v>1.1373</v>
      </c>
      <c r="D102" s="2304">
        <v>1.0908</v>
      </c>
      <c r="E102" s="2304">
        <v>1.0908</v>
      </c>
      <c r="F102" s="2304">
        <v>1.0908</v>
      </c>
      <c r="G102" s="2304">
        <v>1.0908</v>
      </c>
      <c r="H102" s="2304">
        <v>1.0908</v>
      </c>
      <c r="I102" s="2304">
        <v>1.0556000000000001</v>
      </c>
      <c r="J102" s="2304">
        <v>1.0556000000000001</v>
      </c>
      <c r="K102" s="2304">
        <v>1.0556000000000001</v>
      </c>
      <c r="L102" s="2304">
        <v>1.0556000000000001</v>
      </c>
      <c r="M102" s="2305">
        <v>1.0556000000000001</v>
      </c>
    </row>
    <row r="103" spans="1:14" ht="14.25">
      <c r="A103" s="2303">
        <v>1.8</v>
      </c>
      <c r="B103" s="2304">
        <v>1.1247</v>
      </c>
      <c r="C103" s="2304">
        <v>1.1247</v>
      </c>
      <c r="D103" s="2304">
        <v>1.0768</v>
      </c>
      <c r="E103" s="2304">
        <v>1.0768</v>
      </c>
      <c r="F103" s="2304">
        <v>1.0768</v>
      </c>
      <c r="G103" s="2304">
        <v>1.0768</v>
      </c>
      <c r="H103" s="2304">
        <v>1.0768</v>
      </c>
      <c r="I103" s="2304">
        <v>1.0359</v>
      </c>
      <c r="J103" s="2304">
        <v>1.0359</v>
      </c>
      <c r="K103" s="2304">
        <v>1.0359</v>
      </c>
      <c r="L103" s="2304">
        <v>1.0359</v>
      </c>
      <c r="M103" s="2305">
        <v>1.0359</v>
      </c>
      <c r="N103" s="512"/>
    </row>
    <row r="104" spans="1:14" ht="14.25">
      <c r="A104" s="2303">
        <v>1.9</v>
      </c>
      <c r="B104" s="2304">
        <v>1.1128</v>
      </c>
      <c r="C104" s="2304">
        <v>1.1128</v>
      </c>
      <c r="D104" s="2304">
        <v>1.0637000000000001</v>
      </c>
      <c r="E104" s="2304">
        <v>1.0637000000000001</v>
      </c>
      <c r="F104" s="2304">
        <v>1.0637000000000001</v>
      </c>
      <c r="G104" s="2304">
        <v>1.0637000000000001</v>
      </c>
      <c r="H104" s="2304">
        <v>1.0637000000000001</v>
      </c>
      <c r="I104" s="2304">
        <v>1.0174000000000001</v>
      </c>
      <c r="J104" s="2304">
        <v>1.0174000000000001</v>
      </c>
      <c r="K104" s="2304">
        <v>1.0174000000000001</v>
      </c>
      <c r="L104" s="2304">
        <v>1.0174000000000001</v>
      </c>
      <c r="M104" s="2305">
        <v>1.0174000000000001</v>
      </c>
      <c r="N104" s="512"/>
    </row>
    <row r="105" spans="1:14">
      <c r="A105" s="2303">
        <v>2</v>
      </c>
      <c r="B105" s="2304">
        <v>1.1016999999999999</v>
      </c>
      <c r="C105" s="2304">
        <v>1.1016999999999999</v>
      </c>
      <c r="D105" s="2304">
        <v>1.0512999999999999</v>
      </c>
      <c r="E105" s="2304">
        <v>1.0512999999999999</v>
      </c>
      <c r="F105" s="2304">
        <v>1.0512999999999999</v>
      </c>
      <c r="G105" s="2304">
        <v>1.0512999999999999</v>
      </c>
      <c r="H105" s="2304">
        <v>1.0512999999999999</v>
      </c>
      <c r="I105" s="2304">
        <v>1</v>
      </c>
      <c r="J105" s="2304">
        <v>1</v>
      </c>
      <c r="K105" s="2304">
        <v>1</v>
      </c>
      <c r="L105" s="2304">
        <v>1</v>
      </c>
      <c r="M105" s="2305">
        <v>1</v>
      </c>
    </row>
    <row r="106" spans="1:14">
      <c r="A106" s="2306">
        <v>2.1</v>
      </c>
      <c r="B106" s="2304">
        <v>1.0912999999999999</v>
      </c>
      <c r="C106" s="2304">
        <v>1.0912999999999999</v>
      </c>
      <c r="D106" s="2304">
        <v>1.0397000000000001</v>
      </c>
      <c r="E106" s="2304">
        <v>1.0397000000000001</v>
      </c>
      <c r="F106" s="2304">
        <v>1.0397000000000001</v>
      </c>
      <c r="G106" s="2304">
        <v>1.0397000000000001</v>
      </c>
      <c r="H106" s="2304">
        <v>1.0397000000000001</v>
      </c>
      <c r="I106" s="2304">
        <v>0.98360000000000003</v>
      </c>
      <c r="J106" s="2304">
        <v>0.98360000000000003</v>
      </c>
      <c r="K106" s="2304">
        <v>0.98360000000000003</v>
      </c>
      <c r="L106" s="2304">
        <v>0.98360000000000003</v>
      </c>
      <c r="M106" s="2305">
        <v>0.98360000000000003</v>
      </c>
    </row>
    <row r="107" spans="1:14">
      <c r="A107" s="2306">
        <v>2.2000000000000002</v>
      </c>
      <c r="B107" s="2304">
        <v>1.0814999999999999</v>
      </c>
      <c r="C107" s="2304">
        <v>1.0814999999999999</v>
      </c>
      <c r="D107" s="2304">
        <v>1.0287999999999999</v>
      </c>
      <c r="E107" s="2304">
        <v>1.0287999999999999</v>
      </c>
      <c r="F107" s="2304">
        <v>1.0287999999999999</v>
      </c>
      <c r="G107" s="2304">
        <v>1.0287999999999999</v>
      </c>
      <c r="H107" s="2304">
        <v>1.0287999999999999</v>
      </c>
      <c r="I107" s="2304">
        <v>0.96819999999999995</v>
      </c>
      <c r="J107" s="2304">
        <v>0.96819999999999995</v>
      </c>
      <c r="K107" s="2304">
        <v>0.96819999999999995</v>
      </c>
      <c r="L107" s="2304">
        <v>0.96819999999999995</v>
      </c>
      <c r="M107" s="2305">
        <v>0.96819999999999995</v>
      </c>
    </row>
    <row r="108" spans="1:14">
      <c r="A108" s="2306">
        <v>2.2999999999999998</v>
      </c>
      <c r="B108" s="2304">
        <v>1.0724</v>
      </c>
      <c r="C108" s="2304">
        <v>1.0724</v>
      </c>
      <c r="D108" s="2304">
        <v>1.0185999999999999</v>
      </c>
      <c r="E108" s="2304">
        <v>1.0185999999999999</v>
      </c>
      <c r="F108" s="2304">
        <v>1.0185999999999999</v>
      </c>
      <c r="G108" s="2304">
        <v>1.0185999999999999</v>
      </c>
      <c r="H108" s="2304">
        <v>1.0185999999999999</v>
      </c>
      <c r="I108" s="2304">
        <v>0.95369999999999999</v>
      </c>
      <c r="J108" s="2304">
        <v>0.95369999999999999</v>
      </c>
      <c r="K108" s="2304">
        <v>0.95369999999999999</v>
      </c>
      <c r="L108" s="2304">
        <v>0.95369999999999999</v>
      </c>
      <c r="M108" s="2305">
        <v>0.95369999999999999</v>
      </c>
    </row>
    <row r="109" spans="1:14">
      <c r="A109" s="2306">
        <v>2.4</v>
      </c>
      <c r="B109" s="2304">
        <v>1.0638000000000001</v>
      </c>
      <c r="C109" s="2304">
        <v>1.0638000000000001</v>
      </c>
      <c r="D109" s="2304">
        <v>1.0089999999999999</v>
      </c>
      <c r="E109" s="2304">
        <v>1.0089999999999999</v>
      </c>
      <c r="F109" s="2304">
        <v>1.0089999999999999</v>
      </c>
      <c r="G109" s="2304">
        <v>1.0089999999999999</v>
      </c>
      <c r="H109" s="2304">
        <v>1.0089999999999999</v>
      </c>
      <c r="I109" s="2304">
        <v>0.94010000000000005</v>
      </c>
      <c r="J109" s="2304">
        <v>0.94010000000000005</v>
      </c>
      <c r="K109" s="2304">
        <v>0.94010000000000005</v>
      </c>
      <c r="L109" s="2304">
        <v>0.94010000000000005</v>
      </c>
      <c r="M109" s="2305">
        <v>0.94010000000000005</v>
      </c>
    </row>
    <row r="110" spans="1:14">
      <c r="A110" s="2306">
        <v>2.5</v>
      </c>
      <c r="B110" s="2304">
        <v>1.0558000000000001</v>
      </c>
      <c r="C110" s="2304">
        <v>1.0558000000000001</v>
      </c>
      <c r="D110" s="2304">
        <v>1</v>
      </c>
      <c r="E110" s="2304">
        <v>1</v>
      </c>
      <c r="F110" s="2304">
        <v>1</v>
      </c>
      <c r="G110" s="2304">
        <v>1</v>
      </c>
      <c r="H110" s="2304">
        <v>1</v>
      </c>
      <c r="I110" s="2304">
        <v>0.9274</v>
      </c>
      <c r="J110" s="2304">
        <v>0.9274</v>
      </c>
      <c r="K110" s="2304">
        <v>0.9274</v>
      </c>
      <c r="L110" s="2304">
        <v>0.9274</v>
      </c>
      <c r="M110" s="2305">
        <v>0.9274</v>
      </c>
    </row>
    <row r="111" spans="1:14">
      <c r="A111" s="2306">
        <v>2.6</v>
      </c>
      <c r="B111" s="2304">
        <v>1.0483</v>
      </c>
      <c r="C111" s="2304">
        <v>1.0483</v>
      </c>
      <c r="D111" s="2304">
        <v>0.99160000000000004</v>
      </c>
      <c r="E111" s="2304">
        <v>0.99160000000000004</v>
      </c>
      <c r="F111" s="2304">
        <v>0.99160000000000004</v>
      </c>
      <c r="G111" s="2304">
        <v>0.99160000000000004</v>
      </c>
      <c r="H111" s="2304">
        <v>0.99160000000000004</v>
      </c>
      <c r="I111" s="2304">
        <v>0.91539999999999999</v>
      </c>
      <c r="J111" s="2304">
        <v>0.91539999999999999</v>
      </c>
      <c r="K111" s="2304">
        <v>0.91539999999999999</v>
      </c>
      <c r="L111" s="2304">
        <v>0.91539999999999999</v>
      </c>
      <c r="M111" s="2305">
        <v>0.91539999999999999</v>
      </c>
    </row>
    <row r="112" spans="1:14">
      <c r="A112" s="2306">
        <v>2.7</v>
      </c>
      <c r="B112" s="2304">
        <v>1.0412999999999999</v>
      </c>
      <c r="C112" s="2304">
        <v>1.0412999999999999</v>
      </c>
      <c r="D112" s="2304">
        <v>0.98370000000000002</v>
      </c>
      <c r="E112" s="2304">
        <v>0.98370000000000002</v>
      </c>
      <c r="F112" s="2304">
        <v>0.98370000000000002</v>
      </c>
      <c r="G112" s="2304">
        <v>0.98370000000000002</v>
      </c>
      <c r="H112" s="2304">
        <v>0.98370000000000002</v>
      </c>
      <c r="I112" s="2304">
        <v>0.90429999999999999</v>
      </c>
      <c r="J112" s="2304">
        <v>0.90429999999999999</v>
      </c>
      <c r="K112" s="2304">
        <v>0.90429999999999999</v>
      </c>
      <c r="L112" s="2304">
        <v>0.90429999999999999</v>
      </c>
      <c r="M112" s="2305">
        <v>0.90429999999999999</v>
      </c>
    </row>
    <row r="113" spans="1:13">
      <c r="A113" s="2306">
        <v>2.8</v>
      </c>
      <c r="B113" s="2304">
        <v>1.0347999999999999</v>
      </c>
      <c r="C113" s="2304">
        <v>1.0347999999999999</v>
      </c>
      <c r="D113" s="2304">
        <v>0.97640000000000005</v>
      </c>
      <c r="E113" s="2304">
        <v>0.97640000000000005</v>
      </c>
      <c r="F113" s="2304">
        <v>0.97640000000000005</v>
      </c>
      <c r="G113" s="2304">
        <v>0.97640000000000005</v>
      </c>
      <c r="H113" s="2304">
        <v>0.97640000000000005</v>
      </c>
      <c r="I113" s="2304">
        <v>0.89370000000000005</v>
      </c>
      <c r="J113" s="2304">
        <v>0.89370000000000005</v>
      </c>
      <c r="K113" s="2304">
        <v>0.89370000000000005</v>
      </c>
      <c r="L113" s="2304">
        <v>0.89370000000000005</v>
      </c>
      <c r="M113" s="2305">
        <v>0.89370000000000005</v>
      </c>
    </row>
    <row r="114" spans="1:13">
      <c r="A114" s="2306">
        <v>2.9</v>
      </c>
      <c r="B114" s="2304">
        <v>1.0286999999999999</v>
      </c>
      <c r="C114" s="2304">
        <v>1.0286999999999999</v>
      </c>
      <c r="D114" s="2304">
        <v>0.96950000000000003</v>
      </c>
      <c r="E114" s="2304">
        <v>0.96950000000000003</v>
      </c>
      <c r="F114" s="2304">
        <v>0.96950000000000003</v>
      </c>
      <c r="G114" s="2304">
        <v>0.96950000000000003</v>
      </c>
      <c r="H114" s="2304">
        <v>0.96950000000000003</v>
      </c>
      <c r="I114" s="2304">
        <v>0.88390000000000002</v>
      </c>
      <c r="J114" s="2304">
        <v>0.88390000000000002</v>
      </c>
      <c r="K114" s="2304">
        <v>0.88390000000000002</v>
      </c>
      <c r="L114" s="2304">
        <v>0.88390000000000002</v>
      </c>
      <c r="M114" s="2305">
        <v>0.88390000000000002</v>
      </c>
    </row>
    <row r="115" spans="1:13">
      <c r="A115" s="2306">
        <v>3</v>
      </c>
      <c r="B115" s="2304">
        <v>1.0229999999999999</v>
      </c>
      <c r="C115" s="2304">
        <v>1.0229999999999999</v>
      </c>
      <c r="D115" s="2304">
        <v>0.96309999999999996</v>
      </c>
      <c r="E115" s="2304">
        <v>0.96309999999999996</v>
      </c>
      <c r="F115" s="2304">
        <v>0.96309999999999996</v>
      </c>
      <c r="G115" s="2304">
        <v>0.96309999999999996</v>
      </c>
      <c r="H115" s="2304">
        <v>0.96309999999999996</v>
      </c>
      <c r="I115" s="2304">
        <v>0.87460000000000004</v>
      </c>
      <c r="J115" s="2304">
        <v>0.87460000000000004</v>
      </c>
      <c r="K115" s="2304">
        <v>0.87460000000000004</v>
      </c>
      <c r="L115" s="2304">
        <v>0.87460000000000004</v>
      </c>
      <c r="M115" s="2305">
        <v>0.87460000000000004</v>
      </c>
    </row>
    <row r="116" spans="1:13">
      <c r="A116" s="2306">
        <v>3.1</v>
      </c>
      <c r="B116" s="2304">
        <v>1.0177</v>
      </c>
      <c r="C116" s="2304">
        <v>1.0177</v>
      </c>
      <c r="D116" s="2304">
        <v>0.95709999999999995</v>
      </c>
      <c r="E116" s="2304">
        <v>0.95709999999999995</v>
      </c>
      <c r="F116" s="2304">
        <v>0.95709999999999995</v>
      </c>
      <c r="G116" s="2304">
        <v>0.95709999999999995</v>
      </c>
      <c r="H116" s="2304">
        <v>0.95709999999999995</v>
      </c>
      <c r="I116" s="2304">
        <v>0.8659</v>
      </c>
      <c r="J116" s="2304">
        <v>0.8659</v>
      </c>
      <c r="K116" s="2304">
        <v>0.8659</v>
      </c>
      <c r="L116" s="2304">
        <v>0.8659</v>
      </c>
      <c r="M116" s="2305">
        <v>0.8659</v>
      </c>
    </row>
    <row r="117" spans="1:13">
      <c r="A117" s="2306">
        <v>3.2</v>
      </c>
      <c r="B117" s="2304">
        <v>1.0127999999999999</v>
      </c>
      <c r="C117" s="2304">
        <v>1.0127999999999999</v>
      </c>
      <c r="D117" s="2304">
        <v>0.9516</v>
      </c>
      <c r="E117" s="2304">
        <v>0.9516</v>
      </c>
      <c r="F117" s="2304">
        <v>0.9516</v>
      </c>
      <c r="G117" s="2304">
        <v>0.9516</v>
      </c>
      <c r="H117" s="2304">
        <v>0.9516</v>
      </c>
      <c r="I117" s="2304">
        <v>0.85780000000000001</v>
      </c>
      <c r="J117" s="2304">
        <v>0.85780000000000001</v>
      </c>
      <c r="K117" s="2304">
        <v>0.85780000000000001</v>
      </c>
      <c r="L117" s="2304">
        <v>0.85780000000000001</v>
      </c>
      <c r="M117" s="2305">
        <v>0.85780000000000001</v>
      </c>
    </row>
    <row r="118" spans="1:13">
      <c r="A118" s="2306">
        <v>3.3</v>
      </c>
      <c r="B118" s="2304">
        <v>1.0082</v>
      </c>
      <c r="C118" s="2304">
        <v>1.0082</v>
      </c>
      <c r="D118" s="2304">
        <v>0.94640000000000002</v>
      </c>
      <c r="E118" s="2304">
        <v>0.94640000000000002</v>
      </c>
      <c r="F118" s="2304">
        <v>0.94640000000000002</v>
      </c>
      <c r="G118" s="2304">
        <v>0.94640000000000002</v>
      </c>
      <c r="H118" s="2304">
        <v>0.94640000000000002</v>
      </c>
      <c r="I118" s="2304">
        <v>0.85029999999999994</v>
      </c>
      <c r="J118" s="2304">
        <v>0.85029999999999994</v>
      </c>
      <c r="K118" s="2304">
        <v>0.85029999999999994</v>
      </c>
      <c r="L118" s="2304">
        <v>0.85029999999999994</v>
      </c>
      <c r="M118" s="2305">
        <v>0.85029999999999994</v>
      </c>
    </row>
    <row r="119" spans="1:13">
      <c r="A119" s="2306">
        <v>3.4</v>
      </c>
      <c r="B119" s="2304">
        <v>1.004</v>
      </c>
      <c r="C119" s="2304">
        <v>1.004</v>
      </c>
      <c r="D119" s="2304">
        <v>0.9415</v>
      </c>
      <c r="E119" s="2304">
        <v>0.9415</v>
      </c>
      <c r="F119" s="2304">
        <v>0.9415</v>
      </c>
      <c r="G119" s="2304">
        <v>0.9415</v>
      </c>
      <c r="H119" s="2304">
        <v>0.9415</v>
      </c>
      <c r="I119" s="2304">
        <v>0.84319999999999995</v>
      </c>
      <c r="J119" s="2304">
        <v>0.84319999999999995</v>
      </c>
      <c r="K119" s="2304">
        <v>0.84319999999999995</v>
      </c>
      <c r="L119" s="2304">
        <v>0.84319999999999995</v>
      </c>
      <c r="M119" s="2305">
        <v>0.84319999999999995</v>
      </c>
    </row>
    <row r="120" spans="1:13">
      <c r="A120" s="2306">
        <v>3.5</v>
      </c>
      <c r="B120" s="2304">
        <v>1</v>
      </c>
      <c r="C120" s="2304">
        <v>1</v>
      </c>
      <c r="D120" s="2304">
        <v>0.93700000000000006</v>
      </c>
      <c r="E120" s="2304">
        <v>0.93700000000000006</v>
      </c>
      <c r="F120" s="2304">
        <v>0.93700000000000006</v>
      </c>
      <c r="G120" s="2304">
        <v>0.93700000000000006</v>
      </c>
      <c r="H120" s="2304">
        <v>0.93700000000000006</v>
      </c>
      <c r="I120" s="2304">
        <v>0.83660000000000001</v>
      </c>
      <c r="J120" s="2304">
        <v>0.83660000000000001</v>
      </c>
      <c r="K120" s="2304">
        <v>0.83660000000000001</v>
      </c>
      <c r="L120" s="2304">
        <v>0.83660000000000001</v>
      </c>
      <c r="M120" s="2305">
        <v>0.83660000000000001</v>
      </c>
    </row>
    <row r="121" spans="1:13">
      <c r="A121" s="2306">
        <v>3.6</v>
      </c>
      <c r="B121" s="2304">
        <v>0.99629999999999996</v>
      </c>
      <c r="C121" s="2304">
        <v>0.99629999999999996</v>
      </c>
      <c r="D121" s="2304">
        <v>0.93279999999999996</v>
      </c>
      <c r="E121" s="2304">
        <v>0.93279999999999996</v>
      </c>
      <c r="F121" s="2304">
        <v>0.93279999999999996</v>
      </c>
      <c r="G121" s="2304">
        <v>0.93279999999999996</v>
      </c>
      <c r="H121" s="2304">
        <v>0.93279999999999996</v>
      </c>
      <c r="I121" s="2304">
        <v>0.83040000000000003</v>
      </c>
      <c r="J121" s="2304">
        <v>0.83040000000000003</v>
      </c>
      <c r="K121" s="2304">
        <v>0.83040000000000003</v>
      </c>
      <c r="L121" s="2304">
        <v>0.83040000000000003</v>
      </c>
      <c r="M121" s="2305">
        <v>0.83040000000000003</v>
      </c>
    </row>
    <row r="122" spans="1:13">
      <c r="A122" s="2306">
        <v>3.7</v>
      </c>
      <c r="B122" s="2304">
        <v>0.9929</v>
      </c>
      <c r="C122" s="2304">
        <v>0.9929</v>
      </c>
      <c r="D122" s="2304">
        <v>0.92879999999999996</v>
      </c>
      <c r="E122" s="2304">
        <v>0.92879999999999996</v>
      </c>
      <c r="F122" s="2304">
        <v>0.92879999999999996</v>
      </c>
      <c r="G122" s="2304">
        <v>0.92879999999999996</v>
      </c>
      <c r="H122" s="2304">
        <v>0.92879999999999996</v>
      </c>
      <c r="I122" s="2304">
        <v>0.8246</v>
      </c>
      <c r="J122" s="2304">
        <v>0.8246</v>
      </c>
      <c r="K122" s="2304">
        <v>0.8246</v>
      </c>
      <c r="L122" s="2304">
        <v>0.8246</v>
      </c>
      <c r="M122" s="2305">
        <v>0.8246</v>
      </c>
    </row>
    <row r="123" spans="1:13">
      <c r="A123" s="2306">
        <v>3.8</v>
      </c>
      <c r="B123" s="2304">
        <v>0.98970000000000002</v>
      </c>
      <c r="C123" s="2304">
        <v>0.98970000000000002</v>
      </c>
      <c r="D123" s="2304">
        <v>0.92520000000000002</v>
      </c>
      <c r="E123" s="2304">
        <v>0.92520000000000002</v>
      </c>
      <c r="F123" s="2304">
        <v>0.92520000000000002</v>
      </c>
      <c r="G123" s="2304">
        <v>0.92520000000000002</v>
      </c>
      <c r="H123" s="2304">
        <v>0.92520000000000002</v>
      </c>
      <c r="I123" s="2304">
        <v>0.81920000000000004</v>
      </c>
      <c r="J123" s="2304">
        <v>0.81920000000000004</v>
      </c>
      <c r="K123" s="2304">
        <v>0.81920000000000004</v>
      </c>
      <c r="L123" s="2304">
        <v>0.81920000000000004</v>
      </c>
      <c r="M123" s="2305">
        <v>0.81920000000000004</v>
      </c>
    </row>
    <row r="124" spans="1:13">
      <c r="A124" s="2306">
        <v>3.9</v>
      </c>
      <c r="B124" s="2304">
        <v>0.98670000000000002</v>
      </c>
      <c r="C124" s="2304">
        <v>0.98670000000000002</v>
      </c>
      <c r="D124" s="2304">
        <v>0.92179999999999995</v>
      </c>
      <c r="E124" s="2304">
        <v>0.92179999999999995</v>
      </c>
      <c r="F124" s="2304">
        <v>0.92179999999999995</v>
      </c>
      <c r="G124" s="2304">
        <v>0.92179999999999995</v>
      </c>
      <c r="H124" s="2304">
        <v>0.92179999999999995</v>
      </c>
      <c r="I124" s="2304">
        <v>0.81410000000000005</v>
      </c>
      <c r="J124" s="2304">
        <v>0.81410000000000005</v>
      </c>
      <c r="K124" s="2304">
        <v>0.81410000000000005</v>
      </c>
      <c r="L124" s="2304">
        <v>0.81410000000000005</v>
      </c>
      <c r="M124" s="2305">
        <v>0.81410000000000005</v>
      </c>
    </row>
    <row r="125" spans="1:13">
      <c r="A125" s="2306">
        <v>4</v>
      </c>
      <c r="B125" s="2304">
        <v>0.98380000000000001</v>
      </c>
      <c r="C125" s="2304">
        <v>0.98380000000000001</v>
      </c>
      <c r="D125" s="2304">
        <v>0.91859999999999997</v>
      </c>
      <c r="E125" s="2304">
        <v>0.91859999999999997</v>
      </c>
      <c r="F125" s="2304">
        <v>0.91859999999999997</v>
      </c>
      <c r="G125" s="2304">
        <v>0.91859999999999997</v>
      </c>
      <c r="H125" s="2304">
        <v>0.91859999999999997</v>
      </c>
      <c r="I125" s="2304">
        <v>0.80940000000000001</v>
      </c>
      <c r="J125" s="2304">
        <v>0.80940000000000001</v>
      </c>
      <c r="K125" s="2304">
        <v>0.80940000000000001</v>
      </c>
      <c r="L125" s="2304">
        <v>0.80940000000000001</v>
      </c>
      <c r="M125" s="2305">
        <v>0.80940000000000001</v>
      </c>
    </row>
    <row r="126" spans="1:13">
      <c r="A126" s="2306">
        <v>4.0999999999999996</v>
      </c>
      <c r="B126" s="2304">
        <v>0.98099999999999998</v>
      </c>
      <c r="C126" s="2304">
        <v>0.98099999999999998</v>
      </c>
      <c r="D126" s="2304">
        <v>0.91559999999999997</v>
      </c>
      <c r="E126" s="2304">
        <v>0.91559999999999997</v>
      </c>
      <c r="F126" s="2304">
        <v>0.91559999999999997</v>
      </c>
      <c r="G126" s="2304">
        <v>0.91559999999999997</v>
      </c>
      <c r="H126" s="2304">
        <v>0.91559999999999997</v>
      </c>
      <c r="I126" s="2304">
        <v>0.80489999999999995</v>
      </c>
      <c r="J126" s="2304">
        <v>0.80489999999999995</v>
      </c>
      <c r="K126" s="2304">
        <v>0.80489999999999995</v>
      </c>
      <c r="L126" s="2304">
        <v>0.80489999999999995</v>
      </c>
      <c r="M126" s="2305">
        <v>0.80489999999999995</v>
      </c>
    </row>
    <row r="127" spans="1:13">
      <c r="A127" s="2306">
        <v>4.2</v>
      </c>
      <c r="B127" s="2304">
        <v>0.97829999999999995</v>
      </c>
      <c r="C127" s="2304">
        <v>0.97829999999999995</v>
      </c>
      <c r="D127" s="2304">
        <v>0.91269999999999996</v>
      </c>
      <c r="E127" s="2304">
        <v>0.91269999999999996</v>
      </c>
      <c r="F127" s="2304">
        <v>0.91269999999999996</v>
      </c>
      <c r="G127" s="2304">
        <v>0.91269999999999996</v>
      </c>
      <c r="H127" s="2304">
        <v>0.91269999999999996</v>
      </c>
      <c r="I127" s="2304">
        <v>0.80059999999999998</v>
      </c>
      <c r="J127" s="2304">
        <v>0.80059999999999998</v>
      </c>
      <c r="K127" s="2304">
        <v>0.80059999999999998</v>
      </c>
      <c r="L127" s="2304">
        <v>0.80059999999999998</v>
      </c>
      <c r="M127" s="2305">
        <v>0.80059999999999998</v>
      </c>
    </row>
    <row r="128" spans="1:13">
      <c r="A128" s="2306">
        <v>4.3</v>
      </c>
      <c r="B128" s="2304">
        <v>0.97570000000000001</v>
      </c>
      <c r="C128" s="2304">
        <v>0.97570000000000001</v>
      </c>
      <c r="D128" s="2304">
        <v>0.90990000000000004</v>
      </c>
      <c r="E128" s="2304">
        <v>0.90990000000000004</v>
      </c>
      <c r="F128" s="2304">
        <v>0.90990000000000004</v>
      </c>
      <c r="G128" s="2304">
        <v>0.90990000000000004</v>
      </c>
      <c r="H128" s="2304">
        <v>0.90990000000000004</v>
      </c>
      <c r="I128" s="2304">
        <v>0.79649999999999999</v>
      </c>
      <c r="J128" s="2304">
        <v>0.79649999999999999</v>
      </c>
      <c r="K128" s="2304">
        <v>0.79649999999999999</v>
      </c>
      <c r="L128" s="2304">
        <v>0.79649999999999999</v>
      </c>
      <c r="M128" s="2305">
        <v>0.79649999999999999</v>
      </c>
    </row>
    <row r="129" spans="1:13">
      <c r="A129" s="2306">
        <v>4.4000000000000004</v>
      </c>
      <c r="B129" s="2304">
        <v>0.97319999999999995</v>
      </c>
      <c r="C129" s="2304">
        <v>0.97319999999999995</v>
      </c>
      <c r="D129" s="2304">
        <v>0.90720000000000001</v>
      </c>
      <c r="E129" s="2304">
        <v>0.90720000000000001</v>
      </c>
      <c r="F129" s="2304">
        <v>0.90720000000000001</v>
      </c>
      <c r="G129" s="2304">
        <v>0.90720000000000001</v>
      </c>
      <c r="H129" s="2304">
        <v>0.90720000000000001</v>
      </c>
      <c r="I129" s="2304">
        <v>0.79259999999999997</v>
      </c>
      <c r="J129" s="2304">
        <v>0.79259999999999997</v>
      </c>
      <c r="K129" s="2304">
        <v>0.79259999999999997</v>
      </c>
      <c r="L129" s="2304">
        <v>0.79259999999999997</v>
      </c>
      <c r="M129" s="2305">
        <v>0.79259999999999997</v>
      </c>
    </row>
    <row r="130" spans="1:13">
      <c r="A130" s="2306">
        <v>4.5</v>
      </c>
      <c r="B130" s="2304">
        <v>0.9708</v>
      </c>
      <c r="C130" s="2304">
        <v>0.9708</v>
      </c>
      <c r="D130" s="2304">
        <v>0.90459999999999996</v>
      </c>
      <c r="E130" s="2304">
        <v>0.90459999999999996</v>
      </c>
      <c r="F130" s="2304">
        <v>0.90459999999999996</v>
      </c>
      <c r="G130" s="2304">
        <v>0.90459999999999996</v>
      </c>
      <c r="H130" s="2304">
        <v>0.90459999999999996</v>
      </c>
      <c r="I130" s="2304">
        <v>0.78890000000000005</v>
      </c>
      <c r="J130" s="2304">
        <v>0.78890000000000005</v>
      </c>
      <c r="K130" s="2304">
        <v>0.78890000000000005</v>
      </c>
      <c r="L130" s="2304">
        <v>0.78890000000000005</v>
      </c>
      <c r="M130" s="2305">
        <v>0.78890000000000005</v>
      </c>
    </row>
    <row r="131" spans="1:13">
      <c r="A131" s="2306">
        <v>4.5999999999999996</v>
      </c>
      <c r="B131" s="2304">
        <v>0.96850000000000003</v>
      </c>
      <c r="C131" s="2304">
        <v>0.96850000000000003</v>
      </c>
      <c r="D131" s="2304">
        <v>0.90210000000000001</v>
      </c>
      <c r="E131" s="2304">
        <v>0.90210000000000001</v>
      </c>
      <c r="F131" s="2304">
        <v>0.90210000000000001</v>
      </c>
      <c r="G131" s="2304">
        <v>0.90210000000000001</v>
      </c>
      <c r="H131" s="2304">
        <v>0.90210000000000001</v>
      </c>
      <c r="I131" s="2304">
        <v>0.78539999999999999</v>
      </c>
      <c r="J131" s="2304">
        <v>0.78539999999999999</v>
      </c>
      <c r="K131" s="2304">
        <v>0.78539999999999999</v>
      </c>
      <c r="L131" s="2304">
        <v>0.78539999999999999</v>
      </c>
      <c r="M131" s="2305">
        <v>0.78539999999999999</v>
      </c>
    </row>
    <row r="132" spans="1:13">
      <c r="A132" s="2306">
        <v>4.7</v>
      </c>
      <c r="B132" s="2304">
        <v>0.96630000000000005</v>
      </c>
      <c r="C132" s="2304">
        <v>0.96630000000000005</v>
      </c>
      <c r="D132" s="2304">
        <v>0.89959999999999996</v>
      </c>
      <c r="E132" s="2304">
        <v>0.89959999999999996</v>
      </c>
      <c r="F132" s="2304">
        <v>0.89959999999999996</v>
      </c>
      <c r="G132" s="2304">
        <v>0.89959999999999996</v>
      </c>
      <c r="H132" s="2304">
        <v>0.89959999999999996</v>
      </c>
      <c r="I132" s="2304">
        <v>0.78210000000000002</v>
      </c>
      <c r="J132" s="2304">
        <v>0.78210000000000002</v>
      </c>
      <c r="K132" s="2304">
        <v>0.78210000000000002</v>
      </c>
      <c r="L132" s="2304">
        <v>0.78210000000000002</v>
      </c>
      <c r="M132" s="2305">
        <v>0.78210000000000002</v>
      </c>
    </row>
    <row r="133" spans="1:13">
      <c r="A133" s="2306">
        <v>4.8</v>
      </c>
      <c r="B133" s="2304">
        <v>0.96409999999999996</v>
      </c>
      <c r="C133" s="2304">
        <v>0.96409999999999996</v>
      </c>
      <c r="D133" s="2304">
        <v>0.8972</v>
      </c>
      <c r="E133" s="2304">
        <v>0.8972</v>
      </c>
      <c r="F133" s="2304">
        <v>0.8972</v>
      </c>
      <c r="G133" s="2304">
        <v>0.8972</v>
      </c>
      <c r="H133" s="2304">
        <v>0.8972</v>
      </c>
      <c r="I133" s="2304">
        <v>0.77890000000000004</v>
      </c>
      <c r="J133" s="2304">
        <v>0.77890000000000004</v>
      </c>
      <c r="K133" s="2304">
        <v>0.77890000000000004</v>
      </c>
      <c r="L133" s="2304">
        <v>0.77890000000000004</v>
      </c>
      <c r="M133" s="2305">
        <v>0.77890000000000004</v>
      </c>
    </row>
    <row r="134" spans="1:13">
      <c r="A134" s="2306">
        <v>4.9000000000000004</v>
      </c>
      <c r="B134" s="2304">
        <v>0.96199999999999997</v>
      </c>
      <c r="C134" s="2304">
        <v>0.96199999999999997</v>
      </c>
      <c r="D134" s="2304">
        <v>0.89480000000000004</v>
      </c>
      <c r="E134" s="2304">
        <v>0.89480000000000004</v>
      </c>
      <c r="F134" s="2304">
        <v>0.89480000000000004</v>
      </c>
      <c r="G134" s="2304">
        <v>0.89480000000000004</v>
      </c>
      <c r="H134" s="2304">
        <v>0.89480000000000004</v>
      </c>
      <c r="I134" s="2304">
        <v>0.77580000000000005</v>
      </c>
      <c r="J134" s="2304">
        <v>0.77580000000000005</v>
      </c>
      <c r="K134" s="2304">
        <v>0.77580000000000005</v>
      </c>
      <c r="L134" s="2304">
        <v>0.77580000000000005</v>
      </c>
      <c r="M134" s="2305">
        <v>0.77580000000000005</v>
      </c>
    </row>
    <row r="135" spans="1:13">
      <c r="A135" s="2306">
        <v>5</v>
      </c>
      <c r="B135" s="2304">
        <v>0.95989999999999998</v>
      </c>
      <c r="C135" s="2304">
        <v>0.95989999999999998</v>
      </c>
      <c r="D135" s="2304">
        <v>0.89239999999999997</v>
      </c>
      <c r="E135" s="2304">
        <v>0.89239999999999997</v>
      </c>
      <c r="F135" s="2304">
        <v>0.89239999999999997</v>
      </c>
      <c r="G135" s="2304">
        <v>0.89239999999999997</v>
      </c>
      <c r="H135" s="2304">
        <v>0.89239999999999997</v>
      </c>
      <c r="I135" s="2304">
        <v>0.77280000000000004</v>
      </c>
      <c r="J135" s="2304">
        <v>0.77280000000000004</v>
      </c>
      <c r="K135" s="2304">
        <v>0.77280000000000004</v>
      </c>
      <c r="L135" s="2304">
        <v>0.77280000000000004</v>
      </c>
      <c r="M135" s="2305">
        <v>0.77280000000000004</v>
      </c>
    </row>
    <row r="136" spans="1:13">
      <c r="A136" s="2303">
        <v>5.0999999999999996</v>
      </c>
      <c r="B136" s="2304">
        <v>0.95779999999999998</v>
      </c>
      <c r="C136" s="2304">
        <v>0.95779999999999998</v>
      </c>
      <c r="D136" s="2304">
        <v>0.8901</v>
      </c>
      <c r="E136" s="2304">
        <v>0.8901</v>
      </c>
      <c r="F136" s="2304">
        <v>0.8901</v>
      </c>
      <c r="G136" s="2304">
        <v>0.8901</v>
      </c>
      <c r="H136" s="2304">
        <v>0.8901</v>
      </c>
      <c r="I136" s="2304">
        <v>0.76990000000000003</v>
      </c>
      <c r="J136" s="2304">
        <v>0.76990000000000003</v>
      </c>
      <c r="K136" s="2304">
        <v>0.76990000000000003</v>
      </c>
      <c r="L136" s="2304">
        <v>0.76990000000000003</v>
      </c>
      <c r="M136" s="2305">
        <v>0.76990000000000003</v>
      </c>
    </row>
    <row r="137" spans="1:13">
      <c r="A137" s="2303">
        <v>5.2</v>
      </c>
      <c r="B137" s="2304">
        <v>0.95579999999999998</v>
      </c>
      <c r="C137" s="2304">
        <v>0.95579999999999998</v>
      </c>
      <c r="D137" s="2304">
        <v>0.88780000000000003</v>
      </c>
      <c r="E137" s="2304">
        <v>0.88780000000000003</v>
      </c>
      <c r="F137" s="2304">
        <v>0.88780000000000003</v>
      </c>
      <c r="G137" s="2304">
        <v>0.88780000000000003</v>
      </c>
      <c r="H137" s="2304">
        <v>0.88780000000000003</v>
      </c>
      <c r="I137" s="2304">
        <v>0.76700000000000002</v>
      </c>
      <c r="J137" s="2304">
        <v>0.76700000000000002</v>
      </c>
      <c r="K137" s="2304">
        <v>0.76700000000000002</v>
      </c>
      <c r="L137" s="2304">
        <v>0.76700000000000002</v>
      </c>
      <c r="M137" s="2305">
        <v>0.76700000000000002</v>
      </c>
    </row>
    <row r="138" spans="1:13">
      <c r="A138" s="2303">
        <v>5.3</v>
      </c>
      <c r="B138" s="2304">
        <v>0.95379999999999998</v>
      </c>
      <c r="C138" s="2304">
        <v>0.95379999999999998</v>
      </c>
      <c r="D138" s="2304">
        <v>0.88549999999999995</v>
      </c>
      <c r="E138" s="2304">
        <v>0.88549999999999995</v>
      </c>
      <c r="F138" s="2304">
        <v>0.88549999999999995</v>
      </c>
      <c r="G138" s="2304">
        <v>0.88549999999999995</v>
      </c>
      <c r="H138" s="2304">
        <v>0.88549999999999995</v>
      </c>
      <c r="I138" s="2304">
        <v>0.76419999999999999</v>
      </c>
      <c r="J138" s="2304">
        <v>0.76419999999999999</v>
      </c>
      <c r="K138" s="2304">
        <v>0.76419999999999999</v>
      </c>
      <c r="L138" s="2304">
        <v>0.76419999999999999</v>
      </c>
      <c r="M138" s="2305">
        <v>0.76419999999999999</v>
      </c>
    </row>
    <row r="139" spans="1:13">
      <c r="A139" s="2303">
        <v>5.4</v>
      </c>
      <c r="B139" s="2304">
        <v>0.95179999999999998</v>
      </c>
      <c r="C139" s="2304">
        <v>0.95179999999999998</v>
      </c>
      <c r="D139" s="2304">
        <v>0.88329999999999997</v>
      </c>
      <c r="E139" s="2304">
        <v>0.88329999999999997</v>
      </c>
      <c r="F139" s="2304">
        <v>0.88329999999999997</v>
      </c>
      <c r="G139" s="2304">
        <v>0.88329999999999997</v>
      </c>
      <c r="H139" s="2304">
        <v>0.88329999999999997</v>
      </c>
      <c r="I139" s="2304">
        <v>0.76139999999999997</v>
      </c>
      <c r="J139" s="2304">
        <v>0.76139999999999997</v>
      </c>
      <c r="K139" s="2304">
        <v>0.76139999999999997</v>
      </c>
      <c r="L139" s="2304">
        <v>0.76139999999999997</v>
      </c>
      <c r="M139" s="2305">
        <v>0.76139999999999997</v>
      </c>
    </row>
    <row r="140" spans="1:13">
      <c r="A140" s="2303">
        <v>5.5</v>
      </c>
      <c r="B140" s="2304">
        <v>0.94979999999999998</v>
      </c>
      <c r="C140" s="2304">
        <v>0.94979999999999998</v>
      </c>
      <c r="D140" s="2304">
        <v>0.88109999999999999</v>
      </c>
      <c r="E140" s="2304">
        <v>0.88109999999999999</v>
      </c>
      <c r="F140" s="2304">
        <v>0.88109999999999999</v>
      </c>
      <c r="G140" s="2304">
        <v>0.88109999999999999</v>
      </c>
      <c r="H140" s="2304">
        <v>0.88109999999999999</v>
      </c>
      <c r="I140" s="2304">
        <v>0.75860000000000005</v>
      </c>
      <c r="J140" s="2304">
        <v>0.75860000000000005</v>
      </c>
      <c r="K140" s="2304">
        <v>0.75860000000000005</v>
      </c>
      <c r="L140" s="2304">
        <v>0.75860000000000005</v>
      </c>
      <c r="M140" s="2305">
        <v>0.75860000000000005</v>
      </c>
    </row>
    <row r="141" spans="1:13">
      <c r="A141" s="2303">
        <v>5.6</v>
      </c>
      <c r="B141" s="2304">
        <v>0.94789999999999996</v>
      </c>
      <c r="C141" s="2304">
        <v>0.94789999999999996</v>
      </c>
      <c r="D141" s="2304">
        <v>0.87890000000000001</v>
      </c>
      <c r="E141" s="2304">
        <v>0.87890000000000001</v>
      </c>
      <c r="F141" s="2304">
        <v>0.87890000000000001</v>
      </c>
      <c r="G141" s="2304">
        <v>0.87890000000000001</v>
      </c>
      <c r="H141" s="2304">
        <v>0.87890000000000001</v>
      </c>
      <c r="I141" s="2304">
        <v>0.75590000000000002</v>
      </c>
      <c r="J141" s="2304">
        <v>0.75590000000000002</v>
      </c>
      <c r="K141" s="2304">
        <v>0.75590000000000002</v>
      </c>
      <c r="L141" s="2304">
        <v>0.75590000000000002</v>
      </c>
      <c r="M141" s="2305">
        <v>0.75590000000000002</v>
      </c>
    </row>
    <row r="142" spans="1:13">
      <c r="A142" s="2306">
        <v>5.7</v>
      </c>
      <c r="B142" s="2304">
        <v>0.94599999999999995</v>
      </c>
      <c r="C142" s="2304">
        <v>0.94599999999999995</v>
      </c>
      <c r="D142" s="2304">
        <v>0.87670000000000003</v>
      </c>
      <c r="E142" s="2304">
        <v>0.87670000000000003</v>
      </c>
      <c r="F142" s="2304">
        <v>0.87670000000000003</v>
      </c>
      <c r="G142" s="2304">
        <v>0.87670000000000003</v>
      </c>
      <c r="H142" s="2304">
        <v>0.87670000000000003</v>
      </c>
      <c r="I142" s="2304">
        <v>0.75319999999999998</v>
      </c>
      <c r="J142" s="2304">
        <v>0.75319999999999998</v>
      </c>
      <c r="K142" s="2304">
        <v>0.75319999999999998</v>
      </c>
      <c r="L142" s="2304">
        <v>0.75319999999999998</v>
      </c>
      <c r="M142" s="2305">
        <v>0.75319999999999998</v>
      </c>
    </row>
    <row r="143" spans="1:13">
      <c r="A143" s="2303">
        <v>5.8</v>
      </c>
      <c r="B143" s="2304">
        <v>0.94410000000000005</v>
      </c>
      <c r="C143" s="2304">
        <v>0.94410000000000005</v>
      </c>
      <c r="D143" s="2304">
        <v>0.87460000000000004</v>
      </c>
      <c r="E143" s="2304">
        <v>0.87460000000000004</v>
      </c>
      <c r="F143" s="2304">
        <v>0.87460000000000004</v>
      </c>
      <c r="G143" s="2304">
        <v>0.87460000000000004</v>
      </c>
      <c r="H143" s="2304">
        <v>0.87460000000000004</v>
      </c>
      <c r="I143" s="2304">
        <v>0.75049999999999994</v>
      </c>
      <c r="J143" s="2304">
        <v>0.75049999999999994</v>
      </c>
      <c r="K143" s="2304">
        <v>0.75049999999999994</v>
      </c>
      <c r="L143" s="2304">
        <v>0.75049999999999994</v>
      </c>
      <c r="M143" s="2305">
        <v>0.75049999999999994</v>
      </c>
    </row>
    <row r="144" spans="1:13">
      <c r="A144" s="2303">
        <v>5.9</v>
      </c>
      <c r="B144" s="2304">
        <v>0.94220000000000004</v>
      </c>
      <c r="C144" s="2304">
        <v>0.94220000000000004</v>
      </c>
      <c r="D144" s="2304">
        <v>0.87250000000000005</v>
      </c>
      <c r="E144" s="2304">
        <v>0.87250000000000005</v>
      </c>
      <c r="F144" s="2304">
        <v>0.87250000000000005</v>
      </c>
      <c r="G144" s="2304">
        <v>0.87250000000000005</v>
      </c>
      <c r="H144" s="2304">
        <v>0.87250000000000005</v>
      </c>
      <c r="I144" s="2304">
        <v>0.74780000000000002</v>
      </c>
      <c r="J144" s="2304">
        <v>0.74780000000000002</v>
      </c>
      <c r="K144" s="2304">
        <v>0.74780000000000002</v>
      </c>
      <c r="L144" s="2304">
        <v>0.74780000000000002</v>
      </c>
      <c r="M144" s="2305">
        <v>0.74780000000000002</v>
      </c>
    </row>
    <row r="145" spans="1:13">
      <c r="A145" s="2303">
        <v>6</v>
      </c>
      <c r="B145" s="2304">
        <v>0.94040000000000001</v>
      </c>
      <c r="C145" s="2304">
        <v>0.94040000000000001</v>
      </c>
      <c r="D145" s="2304">
        <v>0.87039999999999995</v>
      </c>
      <c r="E145" s="2304">
        <v>0.87039999999999995</v>
      </c>
      <c r="F145" s="2304">
        <v>0.87039999999999995</v>
      </c>
      <c r="G145" s="2304">
        <v>0.87039999999999995</v>
      </c>
      <c r="H145" s="2304">
        <v>0.87039999999999995</v>
      </c>
      <c r="I145" s="2304">
        <v>0.74519999999999997</v>
      </c>
      <c r="J145" s="2304">
        <v>0.74519999999999997</v>
      </c>
      <c r="K145" s="2304">
        <v>0.74519999999999997</v>
      </c>
      <c r="L145" s="2304">
        <v>0.74519999999999997</v>
      </c>
      <c r="M145" s="2305">
        <v>0.74519999999999997</v>
      </c>
    </row>
    <row r="146" spans="1:13">
      <c r="A146" s="2303">
        <v>6.1</v>
      </c>
      <c r="B146" s="2304">
        <v>0.93859999999999999</v>
      </c>
      <c r="C146" s="2304">
        <v>0.93859999999999999</v>
      </c>
      <c r="D146" s="2304">
        <v>0.86829999999999996</v>
      </c>
      <c r="E146" s="2304">
        <v>0.86829999999999996</v>
      </c>
      <c r="F146" s="2304">
        <v>0.86829999999999996</v>
      </c>
      <c r="G146" s="2304">
        <v>0.86829999999999996</v>
      </c>
      <c r="H146" s="2304">
        <v>0.86829999999999996</v>
      </c>
      <c r="I146" s="2304">
        <v>0.74260000000000004</v>
      </c>
      <c r="J146" s="2304">
        <v>0.74260000000000004</v>
      </c>
      <c r="K146" s="2304">
        <v>0.74260000000000004</v>
      </c>
      <c r="L146" s="2304">
        <v>0.74260000000000004</v>
      </c>
      <c r="M146" s="2305">
        <v>0.74260000000000004</v>
      </c>
    </row>
    <row r="147" spans="1:13">
      <c r="A147" s="2303">
        <v>6.2</v>
      </c>
      <c r="B147" s="2304">
        <v>0.93679999999999997</v>
      </c>
      <c r="C147" s="2304">
        <v>0.93679999999999997</v>
      </c>
      <c r="D147" s="2304">
        <v>0.86619999999999997</v>
      </c>
      <c r="E147" s="2304">
        <v>0.86619999999999997</v>
      </c>
      <c r="F147" s="2304">
        <v>0.86619999999999997</v>
      </c>
      <c r="G147" s="2304">
        <v>0.86619999999999997</v>
      </c>
      <c r="H147" s="2304">
        <v>0.86619999999999997</v>
      </c>
      <c r="I147" s="2304">
        <v>0.74</v>
      </c>
      <c r="J147" s="2304">
        <v>0.74</v>
      </c>
      <c r="K147" s="2304">
        <v>0.74</v>
      </c>
      <c r="L147" s="2304">
        <v>0.74</v>
      </c>
      <c r="M147" s="2305">
        <v>0.74</v>
      </c>
    </row>
    <row r="148" spans="1:13">
      <c r="A148" s="2303">
        <v>6.3</v>
      </c>
      <c r="B148" s="2304">
        <v>0.93500000000000005</v>
      </c>
      <c r="C148" s="2304">
        <v>0.93500000000000005</v>
      </c>
      <c r="D148" s="2304">
        <v>0.86409999999999998</v>
      </c>
      <c r="E148" s="2304">
        <v>0.86409999999999998</v>
      </c>
      <c r="F148" s="2304">
        <v>0.86409999999999998</v>
      </c>
      <c r="G148" s="2304">
        <v>0.86409999999999998</v>
      </c>
      <c r="H148" s="2304">
        <v>0.86409999999999998</v>
      </c>
      <c r="I148" s="2304">
        <v>0.73740000000000006</v>
      </c>
      <c r="J148" s="2304">
        <v>0.73740000000000006</v>
      </c>
      <c r="K148" s="2304">
        <v>0.73740000000000006</v>
      </c>
      <c r="L148" s="2304">
        <v>0.73740000000000006</v>
      </c>
      <c r="M148" s="2305">
        <v>0.73740000000000006</v>
      </c>
    </row>
    <row r="149" spans="1:13">
      <c r="A149" s="2303">
        <v>6.4</v>
      </c>
      <c r="B149" s="2304">
        <v>0.93320000000000003</v>
      </c>
      <c r="C149" s="2304">
        <v>0.93320000000000003</v>
      </c>
      <c r="D149" s="2304">
        <v>0.86209999999999998</v>
      </c>
      <c r="E149" s="2304">
        <v>0.86209999999999998</v>
      </c>
      <c r="F149" s="2304">
        <v>0.86209999999999998</v>
      </c>
      <c r="G149" s="2304">
        <v>0.86209999999999998</v>
      </c>
      <c r="H149" s="2304">
        <v>0.86209999999999998</v>
      </c>
      <c r="I149" s="2304">
        <v>0.73480000000000001</v>
      </c>
      <c r="J149" s="2304">
        <v>0.73480000000000001</v>
      </c>
      <c r="K149" s="2304">
        <v>0.73480000000000001</v>
      </c>
      <c r="L149" s="2304">
        <v>0.73480000000000001</v>
      </c>
      <c r="M149" s="2305">
        <v>0.73480000000000001</v>
      </c>
    </row>
    <row r="150" spans="1:13">
      <c r="A150" s="2303">
        <v>6.5</v>
      </c>
      <c r="B150" s="2304">
        <v>0.93149999999999999</v>
      </c>
      <c r="C150" s="2304">
        <v>0.93149999999999999</v>
      </c>
      <c r="D150" s="2304">
        <v>0.86009999999999998</v>
      </c>
      <c r="E150" s="2304">
        <v>0.86009999999999998</v>
      </c>
      <c r="F150" s="2304">
        <v>0.86009999999999998</v>
      </c>
      <c r="G150" s="2304">
        <v>0.86009999999999998</v>
      </c>
      <c r="H150" s="2304">
        <v>0.86009999999999998</v>
      </c>
      <c r="I150" s="2304">
        <v>0.73229999999999995</v>
      </c>
      <c r="J150" s="2304">
        <v>0.73229999999999995</v>
      </c>
      <c r="K150" s="2304">
        <v>0.73229999999999995</v>
      </c>
      <c r="L150" s="2304">
        <v>0.73229999999999995</v>
      </c>
      <c r="M150" s="2305">
        <v>0.73229999999999995</v>
      </c>
    </row>
    <row r="151" spans="1:13">
      <c r="A151" s="2303">
        <v>6.6</v>
      </c>
      <c r="B151" s="2304">
        <v>0.92979999999999996</v>
      </c>
      <c r="C151" s="2304">
        <v>0.92979999999999996</v>
      </c>
      <c r="D151" s="2304">
        <v>0.85809999999999997</v>
      </c>
      <c r="E151" s="2304">
        <v>0.85809999999999997</v>
      </c>
      <c r="F151" s="2304">
        <v>0.85809999999999997</v>
      </c>
      <c r="G151" s="2304">
        <v>0.85809999999999997</v>
      </c>
      <c r="H151" s="2304">
        <v>0.85809999999999997</v>
      </c>
      <c r="I151" s="2304">
        <v>0.7298</v>
      </c>
      <c r="J151" s="2304">
        <v>0.7298</v>
      </c>
      <c r="K151" s="2304">
        <v>0.7298</v>
      </c>
      <c r="L151" s="2304">
        <v>0.7298</v>
      </c>
      <c r="M151" s="2305">
        <v>0.7298</v>
      </c>
    </row>
    <row r="152" spans="1:13">
      <c r="A152" s="2303">
        <v>6.7</v>
      </c>
      <c r="B152" s="2304">
        <v>0.92810000000000004</v>
      </c>
      <c r="C152" s="2304">
        <v>0.92810000000000004</v>
      </c>
      <c r="D152" s="2304">
        <v>0.85609999999999997</v>
      </c>
      <c r="E152" s="2304">
        <v>0.85609999999999997</v>
      </c>
      <c r="F152" s="2304">
        <v>0.85609999999999997</v>
      </c>
      <c r="G152" s="2304">
        <v>0.85609999999999997</v>
      </c>
      <c r="H152" s="2304">
        <v>0.85609999999999997</v>
      </c>
      <c r="I152" s="2304">
        <v>0.72729999999999995</v>
      </c>
      <c r="J152" s="2304">
        <v>0.72729999999999995</v>
      </c>
      <c r="K152" s="2304">
        <v>0.72729999999999995</v>
      </c>
      <c r="L152" s="2304">
        <v>0.72729999999999995</v>
      </c>
      <c r="M152" s="2305">
        <v>0.72729999999999995</v>
      </c>
    </row>
    <row r="153" spans="1:13">
      <c r="A153" s="2303">
        <v>6.8</v>
      </c>
      <c r="B153" s="2304">
        <v>0.9264</v>
      </c>
      <c r="C153" s="2304">
        <v>0.9264</v>
      </c>
      <c r="D153" s="2304">
        <v>0.85409999999999997</v>
      </c>
      <c r="E153" s="2304">
        <v>0.85409999999999997</v>
      </c>
      <c r="F153" s="2304">
        <v>0.85409999999999997</v>
      </c>
      <c r="G153" s="2304">
        <v>0.85409999999999997</v>
      </c>
      <c r="H153" s="2304">
        <v>0.85409999999999997</v>
      </c>
      <c r="I153" s="2304">
        <v>0.7248</v>
      </c>
      <c r="J153" s="2304">
        <v>0.7248</v>
      </c>
      <c r="K153" s="2304">
        <v>0.7248</v>
      </c>
      <c r="L153" s="2304">
        <v>0.7248</v>
      </c>
      <c r="M153" s="2305">
        <v>0.7248</v>
      </c>
    </row>
    <row r="154" spans="1:13">
      <c r="A154" s="2303">
        <v>6.9</v>
      </c>
      <c r="B154" s="2304">
        <v>0.92469999999999997</v>
      </c>
      <c r="C154" s="2304">
        <v>0.92469999999999997</v>
      </c>
      <c r="D154" s="2304">
        <v>0.85209999999999997</v>
      </c>
      <c r="E154" s="2304">
        <v>0.85209999999999997</v>
      </c>
      <c r="F154" s="2304">
        <v>0.85209999999999997</v>
      </c>
      <c r="G154" s="2304">
        <v>0.85209999999999997</v>
      </c>
      <c r="H154" s="2304">
        <v>0.85209999999999997</v>
      </c>
      <c r="I154" s="2304">
        <v>0.72230000000000005</v>
      </c>
      <c r="J154" s="2304">
        <v>0.72230000000000005</v>
      </c>
      <c r="K154" s="2304">
        <v>0.72230000000000005</v>
      </c>
      <c r="L154" s="2304">
        <v>0.72230000000000005</v>
      </c>
      <c r="M154" s="2305">
        <v>0.72230000000000005</v>
      </c>
    </row>
    <row r="155" spans="1:13">
      <c r="A155" s="2303">
        <v>7</v>
      </c>
      <c r="B155" s="2304">
        <v>0.92300000000000004</v>
      </c>
      <c r="C155" s="2304">
        <v>0.92300000000000004</v>
      </c>
      <c r="D155" s="2304">
        <v>0.85019999999999996</v>
      </c>
      <c r="E155" s="2304">
        <v>0.85019999999999996</v>
      </c>
      <c r="F155" s="2304">
        <v>0.85019999999999996</v>
      </c>
      <c r="G155" s="2304">
        <v>0.85019999999999996</v>
      </c>
      <c r="H155" s="2304">
        <v>0.85019999999999996</v>
      </c>
      <c r="I155" s="2304">
        <v>0.71989999999999998</v>
      </c>
      <c r="J155" s="2304">
        <v>0.71989999999999998</v>
      </c>
      <c r="K155" s="2304">
        <v>0.71989999999999998</v>
      </c>
      <c r="L155" s="2304">
        <v>0.71989999999999998</v>
      </c>
      <c r="M155" s="2305">
        <v>0.71989999999999998</v>
      </c>
    </row>
    <row r="156" spans="1:13">
      <c r="A156" s="2303">
        <v>7.1</v>
      </c>
      <c r="B156" s="2304">
        <v>0.9214</v>
      </c>
      <c r="C156" s="2304">
        <v>0.9214</v>
      </c>
      <c r="D156" s="2304">
        <v>0.84830000000000005</v>
      </c>
      <c r="E156" s="2304">
        <v>0.84830000000000005</v>
      </c>
      <c r="F156" s="2304">
        <v>0.84830000000000005</v>
      </c>
      <c r="G156" s="2304">
        <v>0.84830000000000005</v>
      </c>
      <c r="H156" s="2304">
        <v>0.84830000000000005</v>
      </c>
      <c r="I156" s="2304">
        <v>0.71750000000000003</v>
      </c>
      <c r="J156" s="2304">
        <v>0.71750000000000003</v>
      </c>
      <c r="K156" s="2304">
        <v>0.71750000000000003</v>
      </c>
      <c r="L156" s="2304">
        <v>0.71750000000000003</v>
      </c>
      <c r="M156" s="2305">
        <v>0.71750000000000003</v>
      </c>
    </row>
    <row r="157" spans="1:13">
      <c r="A157" s="2303">
        <v>7.2</v>
      </c>
      <c r="B157" s="2304">
        <v>0.91979999999999995</v>
      </c>
      <c r="C157" s="2304">
        <v>0.91979999999999995</v>
      </c>
      <c r="D157" s="2304">
        <v>0.84640000000000004</v>
      </c>
      <c r="E157" s="2304">
        <v>0.84640000000000004</v>
      </c>
      <c r="F157" s="2304">
        <v>0.84640000000000004</v>
      </c>
      <c r="G157" s="2304">
        <v>0.84640000000000004</v>
      </c>
      <c r="H157" s="2304">
        <v>0.84640000000000004</v>
      </c>
      <c r="I157" s="2304">
        <v>0.71509999999999996</v>
      </c>
      <c r="J157" s="2304">
        <v>0.71509999999999996</v>
      </c>
      <c r="K157" s="2304">
        <v>0.71509999999999996</v>
      </c>
      <c r="L157" s="2304">
        <v>0.71509999999999996</v>
      </c>
      <c r="M157" s="2305">
        <v>0.71509999999999996</v>
      </c>
    </row>
    <row r="158" spans="1:13">
      <c r="A158" s="2303">
        <v>7.3</v>
      </c>
      <c r="B158" s="2304">
        <v>0.91820000000000002</v>
      </c>
      <c r="C158" s="2304">
        <v>0.91820000000000002</v>
      </c>
      <c r="D158" s="2304">
        <v>0.84450000000000003</v>
      </c>
      <c r="E158" s="2304">
        <v>0.84450000000000003</v>
      </c>
      <c r="F158" s="2304">
        <v>0.84450000000000003</v>
      </c>
      <c r="G158" s="2304">
        <v>0.84450000000000003</v>
      </c>
      <c r="H158" s="2304">
        <v>0.84450000000000003</v>
      </c>
      <c r="I158" s="2304">
        <v>0.7127</v>
      </c>
      <c r="J158" s="2304">
        <v>0.7127</v>
      </c>
      <c r="K158" s="2304">
        <v>0.7127</v>
      </c>
      <c r="L158" s="2304">
        <v>0.7127</v>
      </c>
      <c r="M158" s="2305">
        <v>0.7127</v>
      </c>
    </row>
    <row r="159" spans="1:13">
      <c r="A159" s="2303">
        <v>7.4</v>
      </c>
      <c r="B159" s="2304">
        <v>0.91659999999999997</v>
      </c>
      <c r="C159" s="2304">
        <v>0.91659999999999997</v>
      </c>
      <c r="D159" s="2304">
        <v>0.84260000000000002</v>
      </c>
      <c r="E159" s="2304">
        <v>0.84260000000000002</v>
      </c>
      <c r="F159" s="2304">
        <v>0.84260000000000002</v>
      </c>
      <c r="G159" s="2304">
        <v>0.84260000000000002</v>
      </c>
      <c r="H159" s="2304">
        <v>0.84260000000000002</v>
      </c>
      <c r="I159" s="2304">
        <v>0.71030000000000004</v>
      </c>
      <c r="J159" s="2304">
        <v>0.71030000000000004</v>
      </c>
      <c r="K159" s="2304">
        <v>0.71030000000000004</v>
      </c>
      <c r="L159" s="2304">
        <v>0.71030000000000004</v>
      </c>
      <c r="M159" s="2305">
        <v>0.71030000000000004</v>
      </c>
    </row>
    <row r="160" spans="1:13">
      <c r="A160" s="2303">
        <v>7.5</v>
      </c>
      <c r="B160" s="2304">
        <v>0.91500000000000004</v>
      </c>
      <c r="C160" s="2304">
        <v>0.91500000000000004</v>
      </c>
      <c r="D160" s="2304">
        <v>0.8407</v>
      </c>
      <c r="E160" s="2304">
        <v>0.8407</v>
      </c>
      <c r="F160" s="2304">
        <v>0.8407</v>
      </c>
      <c r="G160" s="2304">
        <v>0.8407</v>
      </c>
      <c r="H160" s="2304">
        <v>0.8407</v>
      </c>
      <c r="I160" s="2304">
        <v>0.70799999999999996</v>
      </c>
      <c r="J160" s="2304">
        <v>0.70799999999999996</v>
      </c>
      <c r="K160" s="2304">
        <v>0.70799999999999996</v>
      </c>
      <c r="L160" s="2304">
        <v>0.70799999999999996</v>
      </c>
      <c r="M160" s="2305">
        <v>0.70799999999999996</v>
      </c>
    </row>
    <row r="161" spans="1:13">
      <c r="A161" s="2303">
        <v>7.6</v>
      </c>
      <c r="B161" s="2304">
        <v>0.91339999999999999</v>
      </c>
      <c r="C161" s="2304">
        <v>0.91339999999999999</v>
      </c>
      <c r="D161" s="2304">
        <v>0.83889999999999998</v>
      </c>
      <c r="E161" s="2304">
        <v>0.83889999999999998</v>
      </c>
      <c r="F161" s="2304">
        <v>0.83889999999999998</v>
      </c>
      <c r="G161" s="2304">
        <v>0.83889999999999998</v>
      </c>
      <c r="H161" s="2304">
        <v>0.83889999999999998</v>
      </c>
      <c r="I161" s="2304">
        <v>0.70569999999999999</v>
      </c>
      <c r="J161" s="2304">
        <v>0.70569999999999999</v>
      </c>
      <c r="K161" s="2304">
        <v>0.70569999999999999</v>
      </c>
      <c r="L161" s="2304">
        <v>0.70569999999999999</v>
      </c>
      <c r="M161" s="2305">
        <v>0.70569999999999999</v>
      </c>
    </row>
    <row r="162" spans="1:13">
      <c r="A162" s="2303">
        <v>7.7</v>
      </c>
      <c r="B162" s="2304">
        <v>0.91190000000000004</v>
      </c>
      <c r="C162" s="2304">
        <v>0.91190000000000004</v>
      </c>
      <c r="D162" s="2304">
        <v>0.83709999999999996</v>
      </c>
      <c r="E162" s="2304">
        <v>0.83709999999999996</v>
      </c>
      <c r="F162" s="2304">
        <v>0.83709999999999996</v>
      </c>
      <c r="G162" s="2304">
        <v>0.83709999999999996</v>
      </c>
      <c r="H162" s="2304">
        <v>0.83709999999999996</v>
      </c>
      <c r="I162" s="2304">
        <v>0.70340000000000003</v>
      </c>
      <c r="J162" s="2304">
        <v>0.70340000000000003</v>
      </c>
      <c r="K162" s="2304">
        <v>0.70340000000000003</v>
      </c>
      <c r="L162" s="2304">
        <v>0.70340000000000003</v>
      </c>
      <c r="M162" s="2305">
        <v>0.70340000000000003</v>
      </c>
    </row>
    <row r="163" spans="1:13">
      <c r="A163" s="2303">
        <v>7.8</v>
      </c>
      <c r="B163" s="2304">
        <v>0.91039999999999999</v>
      </c>
      <c r="C163" s="2304">
        <v>0.91039999999999999</v>
      </c>
      <c r="D163" s="2304">
        <v>0.83530000000000004</v>
      </c>
      <c r="E163" s="2304">
        <v>0.83530000000000004</v>
      </c>
      <c r="F163" s="2304">
        <v>0.83530000000000004</v>
      </c>
      <c r="G163" s="2304">
        <v>0.83530000000000004</v>
      </c>
      <c r="H163" s="2304">
        <v>0.83530000000000004</v>
      </c>
      <c r="I163" s="2304">
        <v>0.70109999999999995</v>
      </c>
      <c r="J163" s="2304">
        <v>0.70109999999999995</v>
      </c>
      <c r="K163" s="2304">
        <v>0.70109999999999995</v>
      </c>
      <c r="L163" s="2304">
        <v>0.70109999999999995</v>
      </c>
      <c r="M163" s="2305">
        <v>0.70109999999999995</v>
      </c>
    </row>
    <row r="164" spans="1:13">
      <c r="A164" s="2303">
        <v>7.9</v>
      </c>
      <c r="B164" s="2304">
        <v>0.90890000000000004</v>
      </c>
      <c r="C164" s="2304">
        <v>0.90890000000000004</v>
      </c>
      <c r="D164" s="2304">
        <v>0.83350000000000002</v>
      </c>
      <c r="E164" s="2304">
        <v>0.83350000000000002</v>
      </c>
      <c r="F164" s="2304">
        <v>0.83350000000000002</v>
      </c>
      <c r="G164" s="2304">
        <v>0.83350000000000002</v>
      </c>
      <c r="H164" s="2304">
        <v>0.83350000000000002</v>
      </c>
      <c r="I164" s="2304">
        <v>0.69879999999999998</v>
      </c>
      <c r="J164" s="2304">
        <v>0.69879999999999998</v>
      </c>
      <c r="K164" s="2304">
        <v>0.69879999999999998</v>
      </c>
      <c r="L164" s="2304">
        <v>0.69879999999999998</v>
      </c>
      <c r="M164" s="2305">
        <v>0.69879999999999998</v>
      </c>
    </row>
    <row r="165" spans="1:13">
      <c r="A165" s="2303">
        <v>8</v>
      </c>
      <c r="B165" s="2304">
        <v>0.90739999999999998</v>
      </c>
      <c r="C165" s="2304">
        <v>0.90739999999999998</v>
      </c>
      <c r="D165" s="2304">
        <v>0.83169999999999999</v>
      </c>
      <c r="E165" s="2304">
        <v>0.83169999999999999</v>
      </c>
      <c r="F165" s="2304">
        <v>0.83169999999999999</v>
      </c>
      <c r="G165" s="2304">
        <v>0.83169999999999999</v>
      </c>
      <c r="H165" s="2304">
        <v>0.83169999999999999</v>
      </c>
      <c r="I165" s="2304">
        <v>0.6966</v>
      </c>
      <c r="J165" s="2304">
        <v>0.6966</v>
      </c>
      <c r="K165" s="2304">
        <v>0.6966</v>
      </c>
      <c r="L165" s="2304">
        <v>0.6966</v>
      </c>
      <c r="M165" s="2305">
        <v>0.6966</v>
      </c>
    </row>
    <row r="166" spans="1:13">
      <c r="A166" s="2303">
        <v>8.1</v>
      </c>
      <c r="B166" s="2304">
        <v>0.90590000000000004</v>
      </c>
      <c r="C166" s="2304">
        <v>0.90590000000000004</v>
      </c>
      <c r="D166" s="2304">
        <v>0.82989999999999997</v>
      </c>
      <c r="E166" s="2304">
        <v>0.82989999999999997</v>
      </c>
      <c r="F166" s="2304">
        <v>0.82989999999999997</v>
      </c>
      <c r="G166" s="2304">
        <v>0.82989999999999997</v>
      </c>
      <c r="H166" s="2304">
        <v>0.82989999999999997</v>
      </c>
      <c r="I166" s="2304">
        <v>0.69440000000000002</v>
      </c>
      <c r="J166" s="2304">
        <v>0.69440000000000002</v>
      </c>
      <c r="K166" s="2304">
        <v>0.69440000000000002</v>
      </c>
      <c r="L166" s="2304">
        <v>0.69440000000000002</v>
      </c>
      <c r="M166" s="2305">
        <v>0.69440000000000002</v>
      </c>
    </row>
    <row r="167" spans="1:13">
      <c r="A167" s="2303">
        <v>8.1999999999999993</v>
      </c>
      <c r="B167" s="2304">
        <v>0.90439999999999998</v>
      </c>
      <c r="C167" s="2304">
        <v>0.90439999999999998</v>
      </c>
      <c r="D167" s="2304">
        <v>0.82820000000000005</v>
      </c>
      <c r="E167" s="2304">
        <v>0.82820000000000005</v>
      </c>
      <c r="F167" s="2304">
        <v>0.82820000000000005</v>
      </c>
      <c r="G167" s="2304">
        <v>0.82820000000000005</v>
      </c>
      <c r="H167" s="2304">
        <v>0.82820000000000005</v>
      </c>
      <c r="I167" s="2304">
        <v>0.69220000000000004</v>
      </c>
      <c r="J167" s="2304">
        <v>0.69220000000000004</v>
      </c>
      <c r="K167" s="2304">
        <v>0.69220000000000004</v>
      </c>
      <c r="L167" s="2304">
        <v>0.69220000000000004</v>
      </c>
      <c r="M167" s="2305">
        <v>0.69220000000000004</v>
      </c>
    </row>
    <row r="168" spans="1:13">
      <c r="A168" s="2303">
        <v>8.3000000000000007</v>
      </c>
      <c r="B168" s="2304">
        <v>0.90300000000000002</v>
      </c>
      <c r="C168" s="2304">
        <v>0.90300000000000002</v>
      </c>
      <c r="D168" s="2304">
        <v>0.82650000000000001</v>
      </c>
      <c r="E168" s="2304">
        <v>0.82650000000000001</v>
      </c>
      <c r="F168" s="2304">
        <v>0.82650000000000001</v>
      </c>
      <c r="G168" s="2304">
        <v>0.82650000000000001</v>
      </c>
      <c r="H168" s="2304">
        <v>0.82650000000000001</v>
      </c>
      <c r="I168" s="2304">
        <v>0.69</v>
      </c>
      <c r="J168" s="2304">
        <v>0.69</v>
      </c>
      <c r="K168" s="2304">
        <v>0.69</v>
      </c>
      <c r="L168" s="2304">
        <v>0.69</v>
      </c>
      <c r="M168" s="2305">
        <v>0.69</v>
      </c>
    </row>
    <row r="169" spans="1:13">
      <c r="A169" s="2303">
        <v>8.4</v>
      </c>
      <c r="B169" s="2304">
        <v>0.90159999999999996</v>
      </c>
      <c r="C169" s="2304">
        <v>0.90159999999999996</v>
      </c>
      <c r="D169" s="2304">
        <v>0.82479999999999998</v>
      </c>
      <c r="E169" s="2304">
        <v>0.82479999999999998</v>
      </c>
      <c r="F169" s="2304">
        <v>0.82479999999999998</v>
      </c>
      <c r="G169" s="2304">
        <v>0.82479999999999998</v>
      </c>
      <c r="H169" s="2304">
        <v>0.82479999999999998</v>
      </c>
      <c r="I169" s="2304">
        <v>0.68779999999999997</v>
      </c>
      <c r="J169" s="2304">
        <v>0.68779999999999997</v>
      </c>
      <c r="K169" s="2304">
        <v>0.68779999999999997</v>
      </c>
      <c r="L169" s="2304">
        <v>0.68779999999999997</v>
      </c>
      <c r="M169" s="2305">
        <v>0.68779999999999997</v>
      </c>
    </row>
    <row r="170" spans="1:13">
      <c r="A170" s="2303">
        <v>8.5</v>
      </c>
      <c r="B170" s="2304">
        <v>0.9002</v>
      </c>
      <c r="C170" s="2304">
        <v>0.9002</v>
      </c>
      <c r="D170" s="2304">
        <v>0.82310000000000005</v>
      </c>
      <c r="E170" s="2304">
        <v>0.82310000000000005</v>
      </c>
      <c r="F170" s="2304">
        <v>0.82310000000000005</v>
      </c>
      <c r="G170" s="2304">
        <v>0.82310000000000005</v>
      </c>
      <c r="H170" s="2304">
        <v>0.82310000000000005</v>
      </c>
      <c r="I170" s="2304">
        <v>0.68569999999999998</v>
      </c>
      <c r="J170" s="2304">
        <v>0.68569999999999998</v>
      </c>
      <c r="K170" s="2304">
        <v>0.68569999999999998</v>
      </c>
      <c r="L170" s="2304">
        <v>0.68569999999999998</v>
      </c>
      <c r="M170" s="2305">
        <v>0.68569999999999998</v>
      </c>
    </row>
    <row r="171" spans="1:13">
      <c r="A171" s="2303">
        <v>8.6</v>
      </c>
      <c r="B171" s="2304">
        <v>0.89880000000000004</v>
      </c>
      <c r="C171" s="2304">
        <v>0.89880000000000004</v>
      </c>
      <c r="D171" s="2304">
        <v>0.82140000000000002</v>
      </c>
      <c r="E171" s="2304">
        <v>0.82140000000000002</v>
      </c>
      <c r="F171" s="2304">
        <v>0.82140000000000002</v>
      </c>
      <c r="G171" s="2304">
        <v>0.82140000000000002</v>
      </c>
      <c r="H171" s="2304">
        <v>0.82140000000000002</v>
      </c>
      <c r="I171" s="2304">
        <v>0.68359999999999999</v>
      </c>
      <c r="J171" s="2304">
        <v>0.68359999999999999</v>
      </c>
      <c r="K171" s="2304">
        <v>0.68359999999999999</v>
      </c>
      <c r="L171" s="2304">
        <v>0.68359999999999999</v>
      </c>
      <c r="M171" s="2305">
        <v>0.68359999999999999</v>
      </c>
    </row>
    <row r="172" spans="1:13">
      <c r="A172" s="2303">
        <v>8.6999999999999993</v>
      </c>
      <c r="B172" s="2304">
        <v>0.89739999999999998</v>
      </c>
      <c r="C172" s="2304">
        <v>0.89739999999999998</v>
      </c>
      <c r="D172" s="2304">
        <v>0.81969999999999998</v>
      </c>
      <c r="E172" s="2304">
        <v>0.81969999999999998</v>
      </c>
      <c r="F172" s="2304">
        <v>0.81969999999999998</v>
      </c>
      <c r="G172" s="2304">
        <v>0.81969999999999998</v>
      </c>
      <c r="H172" s="2304">
        <v>0.81969999999999998</v>
      </c>
      <c r="I172" s="2304">
        <v>0.68149999999999999</v>
      </c>
      <c r="J172" s="2304">
        <v>0.68149999999999999</v>
      </c>
      <c r="K172" s="2304">
        <v>0.68149999999999999</v>
      </c>
      <c r="L172" s="2304">
        <v>0.68149999999999999</v>
      </c>
      <c r="M172" s="2305">
        <v>0.68149999999999999</v>
      </c>
    </row>
    <row r="173" spans="1:13">
      <c r="A173" s="2303">
        <v>8.8000000000000007</v>
      </c>
      <c r="B173" s="2304">
        <v>0.89600000000000002</v>
      </c>
      <c r="C173" s="2304">
        <v>0.89600000000000002</v>
      </c>
      <c r="D173" s="2304">
        <v>0.81810000000000005</v>
      </c>
      <c r="E173" s="2304">
        <v>0.81810000000000005</v>
      </c>
      <c r="F173" s="2304">
        <v>0.81810000000000005</v>
      </c>
      <c r="G173" s="2304">
        <v>0.81810000000000005</v>
      </c>
      <c r="H173" s="2304">
        <v>0.81810000000000005</v>
      </c>
      <c r="I173" s="2304">
        <v>0.6794</v>
      </c>
      <c r="J173" s="2304">
        <v>0.6794</v>
      </c>
      <c r="K173" s="2304">
        <v>0.6794</v>
      </c>
      <c r="L173" s="2304">
        <v>0.6794</v>
      </c>
      <c r="M173" s="2305">
        <v>0.6794</v>
      </c>
    </row>
    <row r="174" spans="1:13">
      <c r="A174" s="2303">
        <v>8.9</v>
      </c>
      <c r="B174" s="2304">
        <v>0.89470000000000005</v>
      </c>
      <c r="C174" s="2304">
        <v>0.89470000000000005</v>
      </c>
      <c r="D174" s="2304">
        <v>0.8165</v>
      </c>
      <c r="E174" s="2304">
        <v>0.8165</v>
      </c>
      <c r="F174" s="2304">
        <v>0.8165</v>
      </c>
      <c r="G174" s="2304">
        <v>0.8165</v>
      </c>
      <c r="H174" s="2304">
        <v>0.8165</v>
      </c>
      <c r="I174" s="2304">
        <v>0.6774</v>
      </c>
      <c r="J174" s="2304">
        <v>0.6774</v>
      </c>
      <c r="K174" s="2304">
        <v>0.6774</v>
      </c>
      <c r="L174" s="2304">
        <v>0.6774</v>
      </c>
      <c r="M174" s="2305">
        <v>0.6774</v>
      </c>
    </row>
    <row r="175" spans="1:13">
      <c r="A175" s="2306">
        <v>9</v>
      </c>
      <c r="B175" s="2304">
        <v>0.89339999999999997</v>
      </c>
      <c r="C175" s="2304">
        <v>0.89339999999999997</v>
      </c>
      <c r="D175" s="2304">
        <v>0.81489999999999996</v>
      </c>
      <c r="E175" s="2304">
        <v>0.81489999999999996</v>
      </c>
      <c r="F175" s="2304">
        <v>0.81489999999999996</v>
      </c>
      <c r="G175" s="2304">
        <v>0.81489999999999996</v>
      </c>
      <c r="H175" s="2304">
        <v>0.81489999999999996</v>
      </c>
      <c r="I175" s="2304">
        <v>0.6754</v>
      </c>
      <c r="J175" s="2304">
        <v>0.6754</v>
      </c>
      <c r="K175" s="2304">
        <v>0.6754</v>
      </c>
      <c r="L175" s="2304">
        <v>0.6754</v>
      </c>
      <c r="M175" s="2305">
        <v>0.6754</v>
      </c>
    </row>
    <row r="176" spans="1:13">
      <c r="A176" s="2306">
        <v>9.1</v>
      </c>
      <c r="B176" s="2304">
        <v>0.8921</v>
      </c>
      <c r="C176" s="2304">
        <v>0.8921</v>
      </c>
      <c r="D176" s="2304">
        <v>0.81330000000000002</v>
      </c>
      <c r="E176" s="2304">
        <v>0.81330000000000002</v>
      </c>
      <c r="F176" s="2304">
        <v>0.81330000000000002</v>
      </c>
      <c r="G176" s="2304">
        <v>0.81330000000000002</v>
      </c>
      <c r="H176" s="2304">
        <v>0.81330000000000002</v>
      </c>
      <c r="I176" s="2304">
        <v>0.6734</v>
      </c>
      <c r="J176" s="2304">
        <v>0.6734</v>
      </c>
      <c r="K176" s="2304">
        <v>0.6734</v>
      </c>
      <c r="L176" s="2304">
        <v>0.6734</v>
      </c>
      <c r="M176" s="2305">
        <v>0.6734</v>
      </c>
    </row>
    <row r="177" spans="1:20">
      <c r="A177" s="2306">
        <v>9.1999999999999993</v>
      </c>
      <c r="B177" s="2304">
        <v>0.89080000000000004</v>
      </c>
      <c r="C177" s="2304">
        <v>0.89080000000000004</v>
      </c>
      <c r="D177" s="2304">
        <v>0.81169999999999998</v>
      </c>
      <c r="E177" s="2304">
        <v>0.81169999999999998</v>
      </c>
      <c r="F177" s="2304">
        <v>0.81169999999999998</v>
      </c>
      <c r="G177" s="2304">
        <v>0.81169999999999998</v>
      </c>
      <c r="H177" s="2304">
        <v>0.81169999999999998</v>
      </c>
      <c r="I177" s="2304">
        <v>0.6714</v>
      </c>
      <c r="J177" s="2304">
        <v>0.6714</v>
      </c>
      <c r="K177" s="2304">
        <v>0.6714</v>
      </c>
      <c r="L177" s="2304">
        <v>0.6714</v>
      </c>
      <c r="M177" s="2305">
        <v>0.6714</v>
      </c>
    </row>
    <row r="178" spans="1:20">
      <c r="A178" s="2306">
        <v>9.3000000000000007</v>
      </c>
      <c r="B178" s="2304">
        <v>0.88949999999999996</v>
      </c>
      <c r="C178" s="2304">
        <v>0.88949999999999996</v>
      </c>
      <c r="D178" s="2304">
        <v>0.81010000000000004</v>
      </c>
      <c r="E178" s="2304">
        <v>0.81010000000000004</v>
      </c>
      <c r="F178" s="2304">
        <v>0.81010000000000004</v>
      </c>
      <c r="G178" s="2304">
        <v>0.81010000000000004</v>
      </c>
      <c r="H178" s="2304">
        <v>0.81010000000000004</v>
      </c>
      <c r="I178" s="2304">
        <v>0.6694</v>
      </c>
      <c r="J178" s="2304">
        <v>0.6694</v>
      </c>
      <c r="K178" s="2304">
        <v>0.6694</v>
      </c>
      <c r="L178" s="2304">
        <v>0.6694</v>
      </c>
      <c r="M178" s="2305">
        <v>0.6694</v>
      </c>
    </row>
    <row r="179" spans="1:20">
      <c r="A179" s="2306">
        <v>9.4</v>
      </c>
      <c r="B179" s="2304">
        <v>0.88819999999999999</v>
      </c>
      <c r="C179" s="2304">
        <v>0.88819999999999999</v>
      </c>
      <c r="D179" s="2304">
        <v>0.8085</v>
      </c>
      <c r="E179" s="2304">
        <v>0.8085</v>
      </c>
      <c r="F179" s="2304">
        <v>0.8085</v>
      </c>
      <c r="G179" s="2304">
        <v>0.8085</v>
      </c>
      <c r="H179" s="2304">
        <v>0.8085</v>
      </c>
      <c r="I179" s="2304">
        <v>0.66739999999999999</v>
      </c>
      <c r="J179" s="2304">
        <v>0.66739999999999999</v>
      </c>
      <c r="K179" s="2304">
        <v>0.66739999999999999</v>
      </c>
      <c r="L179" s="2304">
        <v>0.66739999999999999</v>
      </c>
      <c r="M179" s="2305">
        <v>0.66739999999999999</v>
      </c>
    </row>
    <row r="180" spans="1:20">
      <c r="A180" s="2306">
        <v>9.5</v>
      </c>
      <c r="B180" s="2304">
        <v>0.88700000000000001</v>
      </c>
      <c r="C180" s="2304">
        <v>0.88700000000000001</v>
      </c>
      <c r="D180" s="2304">
        <v>0.80700000000000005</v>
      </c>
      <c r="E180" s="2304">
        <v>0.80700000000000005</v>
      </c>
      <c r="F180" s="2304">
        <v>0.80700000000000005</v>
      </c>
      <c r="G180" s="2304">
        <v>0.80700000000000005</v>
      </c>
      <c r="H180" s="2304">
        <v>0.80700000000000005</v>
      </c>
      <c r="I180" s="2304">
        <v>0.66549999999999998</v>
      </c>
      <c r="J180" s="2304">
        <v>0.66549999999999998</v>
      </c>
      <c r="K180" s="2304">
        <v>0.66549999999999998</v>
      </c>
      <c r="L180" s="2304">
        <v>0.66549999999999998</v>
      </c>
      <c r="M180" s="2305">
        <v>0.66549999999999998</v>
      </c>
    </row>
    <row r="181" spans="1:20">
      <c r="A181" s="2306">
        <v>9.6</v>
      </c>
      <c r="B181" s="2304">
        <v>0.88580000000000003</v>
      </c>
      <c r="C181" s="2304">
        <v>0.88580000000000003</v>
      </c>
      <c r="D181" s="2304">
        <v>0.80549999999999999</v>
      </c>
      <c r="E181" s="2304">
        <v>0.80549999999999999</v>
      </c>
      <c r="F181" s="2304">
        <v>0.80549999999999999</v>
      </c>
      <c r="G181" s="2304">
        <v>0.80549999999999999</v>
      </c>
      <c r="H181" s="2304">
        <v>0.80549999999999999</v>
      </c>
      <c r="I181" s="2304">
        <v>0.66359999999999997</v>
      </c>
      <c r="J181" s="2304">
        <v>0.66359999999999997</v>
      </c>
      <c r="K181" s="2304">
        <v>0.66359999999999997</v>
      </c>
      <c r="L181" s="2304">
        <v>0.66359999999999997</v>
      </c>
      <c r="M181" s="2305">
        <v>0.66359999999999997</v>
      </c>
    </row>
    <row r="182" spans="1:20">
      <c r="A182" s="2306">
        <v>9.6999999999999993</v>
      </c>
      <c r="B182" s="2304">
        <v>0.88460000000000005</v>
      </c>
      <c r="C182" s="2304">
        <v>0.88460000000000005</v>
      </c>
      <c r="D182" s="2304">
        <v>0.80400000000000005</v>
      </c>
      <c r="E182" s="2304">
        <v>0.80400000000000005</v>
      </c>
      <c r="F182" s="2304">
        <v>0.80400000000000005</v>
      </c>
      <c r="G182" s="2304">
        <v>0.80400000000000005</v>
      </c>
      <c r="H182" s="2304">
        <v>0.80400000000000005</v>
      </c>
      <c r="I182" s="2304">
        <v>0.66169999999999995</v>
      </c>
      <c r="J182" s="2304">
        <v>0.66169999999999995</v>
      </c>
      <c r="K182" s="2304">
        <v>0.66169999999999995</v>
      </c>
      <c r="L182" s="2304">
        <v>0.66169999999999995</v>
      </c>
      <c r="M182" s="2305">
        <v>0.66169999999999995</v>
      </c>
    </row>
    <row r="183" spans="1:20">
      <c r="A183" s="2306">
        <v>9.8000000000000007</v>
      </c>
      <c r="B183" s="2304">
        <v>0.88339999999999996</v>
      </c>
      <c r="C183" s="2304">
        <v>0.88339999999999996</v>
      </c>
      <c r="D183" s="2304">
        <v>0.80249999999999999</v>
      </c>
      <c r="E183" s="2304">
        <v>0.80249999999999999</v>
      </c>
      <c r="F183" s="2304">
        <v>0.80249999999999999</v>
      </c>
      <c r="G183" s="2304">
        <v>0.80249999999999999</v>
      </c>
      <c r="H183" s="2304">
        <v>0.80249999999999999</v>
      </c>
      <c r="I183" s="2304">
        <v>0.65980000000000005</v>
      </c>
      <c r="J183" s="2304">
        <v>0.65980000000000005</v>
      </c>
      <c r="K183" s="2304">
        <v>0.65980000000000005</v>
      </c>
      <c r="L183" s="2304">
        <v>0.65980000000000005</v>
      </c>
      <c r="M183" s="2305">
        <v>0.65980000000000005</v>
      </c>
    </row>
    <row r="184" spans="1:20" ht="14.25" thickBot="1">
      <c r="A184" s="2307">
        <v>9.9</v>
      </c>
      <c r="B184" s="2308">
        <v>0.88219999999999998</v>
      </c>
      <c r="C184" s="2308">
        <v>0.88219999999999998</v>
      </c>
      <c r="D184" s="2308">
        <v>0.80100000000000005</v>
      </c>
      <c r="E184" s="2308">
        <v>0.80100000000000005</v>
      </c>
      <c r="F184" s="2308">
        <v>0.80100000000000005</v>
      </c>
      <c r="G184" s="2308">
        <v>0.80100000000000005</v>
      </c>
      <c r="H184" s="2308">
        <v>0.80100000000000005</v>
      </c>
      <c r="I184" s="2308">
        <v>0.65790000000000004</v>
      </c>
      <c r="J184" s="2308">
        <v>0.65790000000000004</v>
      </c>
      <c r="K184" s="2308">
        <v>0.65790000000000004</v>
      </c>
      <c r="L184" s="2308">
        <v>0.65790000000000004</v>
      </c>
      <c r="M184" s="2309">
        <v>0.65790000000000004</v>
      </c>
    </row>
    <row r="185" spans="1:20" ht="15" thickBot="1">
      <c r="A185" s="2297" t="s">
        <v>2686</v>
      </c>
      <c r="B185" s="2297"/>
      <c r="C185" s="2297"/>
      <c r="D185" s="2297"/>
      <c r="E185" s="2297"/>
      <c r="F185" s="2297"/>
      <c r="G185" s="2297"/>
      <c r="H185" s="2297"/>
      <c r="I185" s="2297"/>
      <c r="J185" s="2297"/>
      <c r="K185" s="2297"/>
      <c r="L185" s="2297"/>
      <c r="M185" s="2297"/>
    </row>
    <row r="186" spans="1:20">
      <c r="A186" s="2298" t="s">
        <v>2684</v>
      </c>
      <c r="B186" s="2299" t="s">
        <v>2480</v>
      </c>
      <c r="C186" s="2299" t="s">
        <v>2481</v>
      </c>
      <c r="D186" s="2299" t="s">
        <v>2482</v>
      </c>
      <c r="E186" s="2299" t="s">
        <v>2483</v>
      </c>
      <c r="F186" s="2299" t="s">
        <v>2484</v>
      </c>
      <c r="G186" s="2299" t="s">
        <v>2485</v>
      </c>
      <c r="H186" s="2300" t="s">
        <v>2486</v>
      </c>
      <c r="I186" s="2300" t="s">
        <v>2487</v>
      </c>
      <c r="J186" s="2301" t="s">
        <v>2488</v>
      </c>
      <c r="K186" s="2301" t="s">
        <v>2489</v>
      </c>
      <c r="L186" s="2301" t="s">
        <v>2490</v>
      </c>
      <c r="M186" s="2302" t="s">
        <v>2491</v>
      </c>
      <c r="Q186" s="2312" t="s">
        <v>2689</v>
      </c>
      <c r="R186" s="2312" t="s">
        <v>2690</v>
      </c>
      <c r="S186" s="2312" t="s">
        <v>2691</v>
      </c>
      <c r="T186" s="2312" t="s">
        <v>2692</v>
      </c>
    </row>
    <row r="187" spans="1:20">
      <c r="A187" s="2303">
        <v>1</v>
      </c>
      <c r="B187" s="2304">
        <v>1.1901999999999999</v>
      </c>
      <c r="C187" s="2304">
        <v>1.1901999999999999</v>
      </c>
      <c r="D187" s="2304">
        <v>1.222</v>
      </c>
      <c r="E187" s="2304">
        <v>1.222</v>
      </c>
      <c r="F187" s="2304">
        <v>1.222</v>
      </c>
      <c r="G187" s="2304">
        <v>1.222</v>
      </c>
      <c r="H187" s="2304">
        <v>1.222</v>
      </c>
      <c r="I187" s="2304">
        <v>1.1054999999999999</v>
      </c>
      <c r="J187" s="2304">
        <v>1.1054999999999999</v>
      </c>
      <c r="K187" s="2304">
        <v>1.1054999999999999</v>
      </c>
      <c r="L187" s="2304">
        <v>1.1054999999999999</v>
      </c>
      <c r="M187" s="2305">
        <v>1.1054999999999999</v>
      </c>
      <c r="Q187" s="2312">
        <v>10</v>
      </c>
      <c r="R187" s="2312">
        <f>ROUND(0.9448-0.0115*Q187,4)</f>
        <v>0.82979999999999998</v>
      </c>
      <c r="S187" s="2312">
        <f>ROUND(0.937-0.0145*Q187,4)</f>
        <v>0.79200000000000004</v>
      </c>
      <c r="T187" s="2312">
        <f>ROUND(0.7965-0.0185*Q187,4)</f>
        <v>0.61150000000000004</v>
      </c>
    </row>
    <row r="188" spans="1:20">
      <c r="A188" s="2303">
        <v>1.1000000000000001</v>
      </c>
      <c r="B188" s="2304">
        <v>1.1715</v>
      </c>
      <c r="C188" s="2304">
        <v>1.1715</v>
      </c>
      <c r="D188" s="2304">
        <v>1.2002999999999999</v>
      </c>
      <c r="E188" s="2304">
        <v>1.2002999999999999</v>
      </c>
      <c r="F188" s="2304">
        <v>1.2002999999999999</v>
      </c>
      <c r="G188" s="2304">
        <v>1.2002999999999999</v>
      </c>
      <c r="H188" s="2304">
        <v>1.2002999999999999</v>
      </c>
      <c r="I188" s="2304">
        <v>1.0819000000000001</v>
      </c>
      <c r="J188" s="2304">
        <v>1.0819000000000001</v>
      </c>
      <c r="K188" s="2304">
        <v>1.0819000000000001</v>
      </c>
      <c r="L188" s="2304">
        <v>1.0819000000000001</v>
      </c>
      <c r="M188" s="2305">
        <v>1.0819000000000001</v>
      </c>
    </row>
    <row r="189" spans="1:20">
      <c r="A189" s="2303">
        <v>1.2</v>
      </c>
      <c r="B189" s="2304">
        <v>1.1538999999999999</v>
      </c>
      <c r="C189" s="2304">
        <v>1.1538999999999999</v>
      </c>
      <c r="D189" s="2304">
        <v>1.1798</v>
      </c>
      <c r="E189" s="2304">
        <v>1.1798</v>
      </c>
      <c r="F189" s="2304">
        <v>1.1798</v>
      </c>
      <c r="G189" s="2304">
        <v>1.1798</v>
      </c>
      <c r="H189" s="2304">
        <v>1.1798</v>
      </c>
      <c r="I189" s="2304">
        <v>1.0597000000000001</v>
      </c>
      <c r="J189" s="2304">
        <v>1.0597000000000001</v>
      </c>
      <c r="K189" s="2304">
        <v>1.0597000000000001</v>
      </c>
      <c r="L189" s="2304">
        <v>1.0597000000000001</v>
      </c>
      <c r="M189" s="2305">
        <v>1.0597000000000001</v>
      </c>
    </row>
    <row r="190" spans="1:20">
      <c r="A190" s="2303">
        <v>1.3</v>
      </c>
      <c r="B190" s="2304">
        <v>1.1372</v>
      </c>
      <c r="C190" s="2304">
        <v>1.1372</v>
      </c>
      <c r="D190" s="2304">
        <v>1.1605000000000001</v>
      </c>
      <c r="E190" s="2304">
        <v>1.1605000000000001</v>
      </c>
      <c r="F190" s="2304">
        <v>1.1605000000000001</v>
      </c>
      <c r="G190" s="2304">
        <v>1.1605000000000001</v>
      </c>
      <c r="H190" s="2304">
        <v>1.1605000000000001</v>
      </c>
      <c r="I190" s="2304">
        <v>1.0386</v>
      </c>
      <c r="J190" s="2304">
        <v>1.0386</v>
      </c>
      <c r="K190" s="2304">
        <v>1.0386</v>
      </c>
      <c r="L190" s="2304">
        <v>1.0386</v>
      </c>
      <c r="M190" s="2305">
        <v>1.0386</v>
      </c>
    </row>
    <row r="191" spans="1:20">
      <c r="A191" s="2303">
        <v>1.4</v>
      </c>
      <c r="B191" s="2304">
        <v>1.1215999999999999</v>
      </c>
      <c r="C191" s="2304">
        <v>1.1215999999999999</v>
      </c>
      <c r="D191" s="2304">
        <v>1.1422000000000001</v>
      </c>
      <c r="E191" s="2304">
        <v>1.1422000000000001</v>
      </c>
      <c r="F191" s="2304">
        <v>1.1422000000000001</v>
      </c>
      <c r="G191" s="2304">
        <v>1.1422000000000001</v>
      </c>
      <c r="H191" s="2304">
        <v>1.1422000000000001</v>
      </c>
      <c r="I191" s="2304">
        <v>1.0187999999999999</v>
      </c>
      <c r="J191" s="2304">
        <v>1.0187999999999999</v>
      </c>
      <c r="K191" s="2304">
        <v>1.0187999999999999</v>
      </c>
      <c r="L191" s="2304">
        <v>1.0187999999999999</v>
      </c>
      <c r="M191" s="2305">
        <v>1.0187999999999999</v>
      </c>
    </row>
    <row r="192" spans="1:20">
      <c r="A192" s="2303">
        <v>1.5</v>
      </c>
      <c r="B192" s="2304">
        <v>1.1069</v>
      </c>
      <c r="C192" s="2304">
        <v>1.1069</v>
      </c>
      <c r="D192" s="2304">
        <v>1.125</v>
      </c>
      <c r="E192" s="2304">
        <v>1.125</v>
      </c>
      <c r="F192" s="2304">
        <v>1.125</v>
      </c>
      <c r="G192" s="2304">
        <v>1.125</v>
      </c>
      <c r="H192" s="2304">
        <v>1.125</v>
      </c>
      <c r="I192" s="2304">
        <v>1</v>
      </c>
      <c r="J192" s="2304">
        <v>1</v>
      </c>
      <c r="K192" s="2304">
        <v>1</v>
      </c>
      <c r="L192" s="2304">
        <v>1</v>
      </c>
      <c r="M192" s="2305">
        <v>1</v>
      </c>
    </row>
    <row r="193" spans="1:13">
      <c r="A193" s="2303">
        <v>1.6</v>
      </c>
      <c r="B193" s="2304">
        <v>1.0929</v>
      </c>
      <c r="C193" s="2304">
        <v>1.0929</v>
      </c>
      <c r="D193" s="2304">
        <v>1.1087</v>
      </c>
      <c r="E193" s="2304">
        <v>1.1087</v>
      </c>
      <c r="F193" s="2304">
        <v>1.1087</v>
      </c>
      <c r="G193" s="2304">
        <v>1.1087</v>
      </c>
      <c r="H193" s="2304">
        <v>1.1087</v>
      </c>
      <c r="I193" s="2304">
        <v>0.98229999999999995</v>
      </c>
      <c r="J193" s="2304">
        <v>0.98229999999999995</v>
      </c>
      <c r="K193" s="2304">
        <v>0.98229999999999995</v>
      </c>
      <c r="L193" s="2304">
        <v>0.98229999999999995</v>
      </c>
      <c r="M193" s="2305">
        <v>0.98229999999999995</v>
      </c>
    </row>
    <row r="194" spans="1:13">
      <c r="A194" s="2303">
        <v>1.7</v>
      </c>
      <c r="B194" s="2304">
        <v>1.0798000000000001</v>
      </c>
      <c r="C194" s="2304">
        <v>1.0798000000000001</v>
      </c>
      <c r="D194" s="2304">
        <v>1.0933999999999999</v>
      </c>
      <c r="E194" s="2304">
        <v>1.0933999999999999</v>
      </c>
      <c r="F194" s="2304">
        <v>1.0933999999999999</v>
      </c>
      <c r="G194" s="2304">
        <v>1.0933999999999999</v>
      </c>
      <c r="H194" s="2304">
        <v>1.0933999999999999</v>
      </c>
      <c r="I194" s="2304">
        <v>0.96560000000000001</v>
      </c>
      <c r="J194" s="2304">
        <v>0.96560000000000001</v>
      </c>
      <c r="K194" s="2304">
        <v>0.96560000000000001</v>
      </c>
      <c r="L194" s="2304">
        <v>0.96560000000000001</v>
      </c>
      <c r="M194" s="2305">
        <v>0.96560000000000001</v>
      </c>
    </row>
    <row r="195" spans="1:13">
      <c r="A195" s="2303">
        <v>1.8</v>
      </c>
      <c r="B195" s="2304">
        <v>1.0674999999999999</v>
      </c>
      <c r="C195" s="2304">
        <v>1.0674999999999999</v>
      </c>
      <c r="D195" s="2304">
        <v>1.0790999999999999</v>
      </c>
      <c r="E195" s="2304">
        <v>1.0790999999999999</v>
      </c>
      <c r="F195" s="2304">
        <v>1.0790999999999999</v>
      </c>
      <c r="G195" s="2304">
        <v>1.0790999999999999</v>
      </c>
      <c r="H195" s="2304">
        <v>1.0790999999999999</v>
      </c>
      <c r="I195" s="2304">
        <v>0.94989999999999997</v>
      </c>
      <c r="J195" s="2304">
        <v>0.94989999999999997</v>
      </c>
      <c r="K195" s="2304">
        <v>0.94989999999999997</v>
      </c>
      <c r="L195" s="2304">
        <v>0.94989999999999997</v>
      </c>
      <c r="M195" s="2305">
        <v>0.94989999999999997</v>
      </c>
    </row>
    <row r="196" spans="1:13">
      <c r="A196" s="2303">
        <v>1.9</v>
      </c>
      <c r="B196" s="2304">
        <v>1.0558000000000001</v>
      </c>
      <c r="C196" s="2304">
        <v>1.0558000000000001</v>
      </c>
      <c r="D196" s="2304">
        <v>1.0654999999999999</v>
      </c>
      <c r="E196" s="2304">
        <v>1.0654999999999999</v>
      </c>
      <c r="F196" s="2304">
        <v>1.0654999999999999</v>
      </c>
      <c r="G196" s="2304">
        <v>1.0654999999999999</v>
      </c>
      <c r="H196" s="2304">
        <v>1.0654999999999999</v>
      </c>
      <c r="I196" s="2304">
        <v>0.93520000000000003</v>
      </c>
      <c r="J196" s="2304">
        <v>0.93520000000000003</v>
      </c>
      <c r="K196" s="2304">
        <v>0.93520000000000003</v>
      </c>
      <c r="L196" s="2304">
        <v>0.93520000000000003</v>
      </c>
      <c r="M196" s="2305">
        <v>0.93520000000000003</v>
      </c>
    </row>
    <row r="197" spans="1:13">
      <c r="A197" s="2303">
        <v>2</v>
      </c>
      <c r="B197" s="2304">
        <v>1.0449999999999999</v>
      </c>
      <c r="C197" s="2304">
        <v>1.0449999999999999</v>
      </c>
      <c r="D197" s="2304">
        <v>1.0528</v>
      </c>
      <c r="E197" s="2304">
        <v>1.0528</v>
      </c>
      <c r="F197" s="2304">
        <v>1.0528</v>
      </c>
      <c r="G197" s="2304">
        <v>1.0528</v>
      </c>
      <c r="H197" s="2304">
        <v>1.0528</v>
      </c>
      <c r="I197" s="2304">
        <v>0.92130000000000001</v>
      </c>
      <c r="J197" s="2304">
        <v>0.92130000000000001</v>
      </c>
      <c r="K197" s="2304">
        <v>0.92130000000000001</v>
      </c>
      <c r="L197" s="2304">
        <v>0.92130000000000001</v>
      </c>
      <c r="M197" s="2305">
        <v>0.92130000000000001</v>
      </c>
    </row>
    <row r="198" spans="1:13">
      <c r="A198" s="2306">
        <v>2.1</v>
      </c>
      <c r="B198" s="2304">
        <v>1.0347999999999999</v>
      </c>
      <c r="C198" s="2304">
        <v>1.0347999999999999</v>
      </c>
      <c r="D198" s="2304">
        <v>1.0407999999999999</v>
      </c>
      <c r="E198" s="2304">
        <v>1.0407999999999999</v>
      </c>
      <c r="F198" s="2304">
        <v>1.0407999999999999</v>
      </c>
      <c r="G198" s="2304">
        <v>1.0407999999999999</v>
      </c>
      <c r="H198" s="2304">
        <v>1.0407999999999999</v>
      </c>
      <c r="I198" s="2304">
        <v>0.90820000000000001</v>
      </c>
      <c r="J198" s="2304">
        <v>0.90820000000000001</v>
      </c>
      <c r="K198" s="2304">
        <v>0.90820000000000001</v>
      </c>
      <c r="L198" s="2304">
        <v>0.90820000000000001</v>
      </c>
      <c r="M198" s="2305">
        <v>0.90820000000000001</v>
      </c>
    </row>
    <row r="199" spans="1:13">
      <c r="A199" s="2306">
        <v>2.2000000000000002</v>
      </c>
      <c r="B199" s="2304">
        <v>1.0251999999999999</v>
      </c>
      <c r="C199" s="2304">
        <v>1.0251999999999999</v>
      </c>
      <c r="D199" s="2304">
        <v>1.0296000000000001</v>
      </c>
      <c r="E199" s="2304">
        <v>1.0296000000000001</v>
      </c>
      <c r="F199" s="2304">
        <v>1.0296000000000001</v>
      </c>
      <c r="G199" s="2304">
        <v>1.0296000000000001</v>
      </c>
      <c r="H199" s="2304">
        <v>1.0296000000000001</v>
      </c>
      <c r="I199" s="2304">
        <v>0.89570000000000005</v>
      </c>
      <c r="J199" s="2304">
        <v>0.89570000000000005</v>
      </c>
      <c r="K199" s="2304">
        <v>0.89570000000000005</v>
      </c>
      <c r="L199" s="2304">
        <v>0.89570000000000005</v>
      </c>
      <c r="M199" s="2305">
        <v>0.89570000000000005</v>
      </c>
    </row>
    <row r="200" spans="1:13">
      <c r="A200" s="2306">
        <v>2.2999999999999998</v>
      </c>
      <c r="B200" s="2304">
        <v>1.0162</v>
      </c>
      <c r="C200" s="2304">
        <v>1.0162</v>
      </c>
      <c r="D200" s="2304">
        <v>1.0190999999999999</v>
      </c>
      <c r="E200" s="2304">
        <v>1.0190999999999999</v>
      </c>
      <c r="F200" s="2304">
        <v>1.0190999999999999</v>
      </c>
      <c r="G200" s="2304">
        <v>1.0190999999999999</v>
      </c>
      <c r="H200" s="2304">
        <v>1.0190999999999999</v>
      </c>
      <c r="I200" s="2304">
        <v>0.88419999999999999</v>
      </c>
      <c r="J200" s="2304">
        <v>0.88419999999999999</v>
      </c>
      <c r="K200" s="2304">
        <v>0.88419999999999999</v>
      </c>
      <c r="L200" s="2304">
        <v>0.88419999999999999</v>
      </c>
      <c r="M200" s="2305">
        <v>0.88419999999999999</v>
      </c>
    </row>
    <row r="201" spans="1:13">
      <c r="A201" s="2306">
        <v>2.4</v>
      </c>
      <c r="B201" s="2304">
        <v>1.0078</v>
      </c>
      <c r="C201" s="2304">
        <v>1.0078</v>
      </c>
      <c r="D201" s="2304">
        <v>1.0092000000000001</v>
      </c>
      <c r="E201" s="2304">
        <v>1.0092000000000001</v>
      </c>
      <c r="F201" s="2304">
        <v>1.0092000000000001</v>
      </c>
      <c r="G201" s="2304">
        <v>1.0092000000000001</v>
      </c>
      <c r="H201" s="2304">
        <v>1.0092000000000001</v>
      </c>
      <c r="I201" s="2304">
        <v>0.87329999999999997</v>
      </c>
      <c r="J201" s="2304">
        <v>0.87329999999999997</v>
      </c>
      <c r="K201" s="2304">
        <v>0.87329999999999997</v>
      </c>
      <c r="L201" s="2304">
        <v>0.87329999999999997</v>
      </c>
      <c r="M201" s="2305">
        <v>0.87329999999999997</v>
      </c>
    </row>
    <row r="202" spans="1:13">
      <c r="A202" s="2306">
        <v>2.5</v>
      </c>
      <c r="B202" s="2304">
        <v>1</v>
      </c>
      <c r="C202" s="2304">
        <v>1</v>
      </c>
      <c r="D202" s="2304">
        <v>1</v>
      </c>
      <c r="E202" s="2304">
        <v>1</v>
      </c>
      <c r="F202" s="2304">
        <v>1</v>
      </c>
      <c r="G202" s="2304">
        <v>1</v>
      </c>
      <c r="H202" s="2304">
        <v>1</v>
      </c>
      <c r="I202" s="2304">
        <v>0.86299999999999999</v>
      </c>
      <c r="J202" s="2304">
        <v>0.86299999999999999</v>
      </c>
      <c r="K202" s="2304">
        <v>0.86299999999999999</v>
      </c>
      <c r="L202" s="2304">
        <v>0.86299999999999999</v>
      </c>
      <c r="M202" s="2305">
        <v>0.86299999999999999</v>
      </c>
    </row>
    <row r="203" spans="1:13">
      <c r="A203" s="2306">
        <v>2.6</v>
      </c>
      <c r="B203" s="2304">
        <v>0.99270000000000003</v>
      </c>
      <c r="C203" s="2304">
        <v>0.99270000000000003</v>
      </c>
      <c r="D203" s="2304">
        <v>0.99139999999999995</v>
      </c>
      <c r="E203" s="2304">
        <v>0.99139999999999995</v>
      </c>
      <c r="F203" s="2304">
        <v>0.99139999999999995</v>
      </c>
      <c r="G203" s="2304">
        <v>0.99139999999999995</v>
      </c>
      <c r="H203" s="2304">
        <v>0.99139999999999995</v>
      </c>
      <c r="I203" s="2304">
        <v>0.85340000000000005</v>
      </c>
      <c r="J203" s="2304">
        <v>0.85340000000000005</v>
      </c>
      <c r="K203" s="2304">
        <v>0.85340000000000005</v>
      </c>
      <c r="L203" s="2304">
        <v>0.85340000000000005</v>
      </c>
      <c r="M203" s="2305">
        <v>0.85340000000000005</v>
      </c>
    </row>
    <row r="204" spans="1:13">
      <c r="A204" s="2306">
        <v>2.7</v>
      </c>
      <c r="B204" s="2304">
        <v>0.98580000000000001</v>
      </c>
      <c r="C204" s="2304">
        <v>0.98580000000000001</v>
      </c>
      <c r="D204" s="2304">
        <v>0.98329999999999995</v>
      </c>
      <c r="E204" s="2304">
        <v>0.98329999999999995</v>
      </c>
      <c r="F204" s="2304">
        <v>0.98329999999999995</v>
      </c>
      <c r="G204" s="2304">
        <v>0.98329999999999995</v>
      </c>
      <c r="H204" s="2304">
        <v>0.98329999999999995</v>
      </c>
      <c r="I204" s="2304">
        <v>0.84440000000000004</v>
      </c>
      <c r="J204" s="2304">
        <v>0.84440000000000004</v>
      </c>
      <c r="K204" s="2304">
        <v>0.84440000000000004</v>
      </c>
      <c r="L204" s="2304">
        <v>0.84440000000000004</v>
      </c>
      <c r="M204" s="2305">
        <v>0.84440000000000004</v>
      </c>
    </row>
    <row r="205" spans="1:13">
      <c r="A205" s="2306">
        <v>2.8</v>
      </c>
      <c r="B205" s="2304">
        <v>0.97940000000000005</v>
      </c>
      <c r="C205" s="2304">
        <v>0.97940000000000005</v>
      </c>
      <c r="D205" s="2304">
        <v>0.97570000000000001</v>
      </c>
      <c r="E205" s="2304">
        <v>0.97570000000000001</v>
      </c>
      <c r="F205" s="2304">
        <v>0.97570000000000001</v>
      </c>
      <c r="G205" s="2304">
        <v>0.97570000000000001</v>
      </c>
      <c r="H205" s="2304">
        <v>0.97570000000000001</v>
      </c>
      <c r="I205" s="2304">
        <v>0.83599999999999997</v>
      </c>
      <c r="J205" s="2304">
        <v>0.83599999999999997</v>
      </c>
      <c r="K205" s="2304">
        <v>0.83599999999999997</v>
      </c>
      <c r="L205" s="2304">
        <v>0.83599999999999997</v>
      </c>
      <c r="M205" s="2305">
        <v>0.83599999999999997</v>
      </c>
    </row>
    <row r="206" spans="1:13">
      <c r="A206" s="2306">
        <v>2.9</v>
      </c>
      <c r="B206" s="2304">
        <v>0.97350000000000003</v>
      </c>
      <c r="C206" s="2304">
        <v>0.97350000000000003</v>
      </c>
      <c r="D206" s="2304">
        <v>0.96870000000000001</v>
      </c>
      <c r="E206" s="2304">
        <v>0.96870000000000001</v>
      </c>
      <c r="F206" s="2304">
        <v>0.96870000000000001</v>
      </c>
      <c r="G206" s="2304">
        <v>0.96870000000000001</v>
      </c>
      <c r="H206" s="2304">
        <v>0.96870000000000001</v>
      </c>
      <c r="I206" s="2304">
        <v>0.82820000000000005</v>
      </c>
      <c r="J206" s="2304">
        <v>0.82820000000000005</v>
      </c>
      <c r="K206" s="2304">
        <v>0.82820000000000005</v>
      </c>
      <c r="L206" s="2304">
        <v>0.82820000000000005</v>
      </c>
      <c r="M206" s="2305">
        <v>0.82820000000000005</v>
      </c>
    </row>
    <row r="207" spans="1:13">
      <c r="A207" s="2306">
        <v>3</v>
      </c>
      <c r="B207" s="2304">
        <v>0.96789999999999998</v>
      </c>
      <c r="C207" s="2304">
        <v>0.96789999999999998</v>
      </c>
      <c r="D207" s="2304">
        <v>0.96209999999999996</v>
      </c>
      <c r="E207" s="2304">
        <v>0.96209999999999996</v>
      </c>
      <c r="F207" s="2304">
        <v>0.96209999999999996</v>
      </c>
      <c r="G207" s="2304">
        <v>0.96209999999999996</v>
      </c>
      <c r="H207" s="2304">
        <v>0.96209999999999996</v>
      </c>
      <c r="I207" s="2304">
        <v>0.82079999999999997</v>
      </c>
      <c r="J207" s="2304">
        <v>0.82079999999999997</v>
      </c>
      <c r="K207" s="2304">
        <v>0.82079999999999997</v>
      </c>
      <c r="L207" s="2304">
        <v>0.82079999999999997</v>
      </c>
      <c r="M207" s="2305">
        <v>0.82079999999999997</v>
      </c>
    </row>
    <row r="208" spans="1:13">
      <c r="A208" s="2306">
        <v>3.1</v>
      </c>
      <c r="B208" s="2304">
        <v>0.9627</v>
      </c>
      <c r="C208" s="2304">
        <v>0.9627</v>
      </c>
      <c r="D208" s="2304">
        <v>0.95589999999999997</v>
      </c>
      <c r="E208" s="2304">
        <v>0.95589999999999997</v>
      </c>
      <c r="F208" s="2304">
        <v>0.95589999999999997</v>
      </c>
      <c r="G208" s="2304">
        <v>0.95589999999999997</v>
      </c>
      <c r="H208" s="2304">
        <v>0.95589999999999997</v>
      </c>
      <c r="I208" s="2304">
        <v>0.81389999999999996</v>
      </c>
      <c r="J208" s="2304">
        <v>0.81389999999999996</v>
      </c>
      <c r="K208" s="2304">
        <v>0.81389999999999996</v>
      </c>
      <c r="L208" s="2304">
        <v>0.81389999999999996</v>
      </c>
      <c r="M208" s="2305">
        <v>0.81389999999999996</v>
      </c>
    </row>
    <row r="209" spans="1:13">
      <c r="A209" s="2306">
        <v>3.2</v>
      </c>
      <c r="B209" s="2304">
        <v>0.95789999999999997</v>
      </c>
      <c r="C209" s="2304">
        <v>0.95789999999999997</v>
      </c>
      <c r="D209" s="2304">
        <v>0.95020000000000004</v>
      </c>
      <c r="E209" s="2304">
        <v>0.95020000000000004</v>
      </c>
      <c r="F209" s="2304">
        <v>0.95020000000000004</v>
      </c>
      <c r="G209" s="2304">
        <v>0.95020000000000004</v>
      </c>
      <c r="H209" s="2304">
        <v>0.95020000000000004</v>
      </c>
      <c r="I209" s="2304">
        <v>0.8075</v>
      </c>
      <c r="J209" s="2304">
        <v>0.8075</v>
      </c>
      <c r="K209" s="2304">
        <v>0.8075</v>
      </c>
      <c r="L209" s="2304">
        <v>0.8075</v>
      </c>
      <c r="M209" s="2305">
        <v>0.8075</v>
      </c>
    </row>
    <row r="210" spans="1:13">
      <c r="A210" s="2306">
        <v>3.3</v>
      </c>
      <c r="B210" s="2304">
        <v>0.95340000000000003</v>
      </c>
      <c r="C210" s="2304">
        <v>0.95340000000000003</v>
      </c>
      <c r="D210" s="2304">
        <v>0.94479999999999997</v>
      </c>
      <c r="E210" s="2304">
        <v>0.94479999999999997</v>
      </c>
      <c r="F210" s="2304">
        <v>0.94479999999999997</v>
      </c>
      <c r="G210" s="2304">
        <v>0.94479999999999997</v>
      </c>
      <c r="H210" s="2304">
        <v>0.94479999999999997</v>
      </c>
      <c r="I210" s="2304">
        <v>0.80149999999999999</v>
      </c>
      <c r="J210" s="2304">
        <v>0.80149999999999999</v>
      </c>
      <c r="K210" s="2304">
        <v>0.80149999999999999</v>
      </c>
      <c r="L210" s="2304">
        <v>0.80149999999999999</v>
      </c>
      <c r="M210" s="2305">
        <v>0.80149999999999999</v>
      </c>
    </row>
    <row r="211" spans="1:13">
      <c r="A211" s="2306">
        <v>3.4</v>
      </c>
      <c r="B211" s="2304">
        <v>0.94920000000000004</v>
      </c>
      <c r="C211" s="2304">
        <v>0.94920000000000004</v>
      </c>
      <c r="D211" s="2304">
        <v>0.93989999999999996</v>
      </c>
      <c r="E211" s="2304">
        <v>0.93989999999999996</v>
      </c>
      <c r="F211" s="2304">
        <v>0.93989999999999996</v>
      </c>
      <c r="G211" s="2304">
        <v>0.93989999999999996</v>
      </c>
      <c r="H211" s="2304">
        <v>0.93989999999999996</v>
      </c>
      <c r="I211" s="2304">
        <v>0.79590000000000005</v>
      </c>
      <c r="J211" s="2304">
        <v>0.79590000000000005</v>
      </c>
      <c r="K211" s="2304">
        <v>0.79590000000000005</v>
      </c>
      <c r="L211" s="2304">
        <v>0.79590000000000005</v>
      </c>
      <c r="M211" s="2305">
        <v>0.79590000000000005</v>
      </c>
    </row>
    <row r="212" spans="1:13">
      <c r="A212" s="2306">
        <v>3.5</v>
      </c>
      <c r="B212" s="2304">
        <v>0.94540000000000002</v>
      </c>
      <c r="C212" s="2304">
        <v>0.94540000000000002</v>
      </c>
      <c r="D212" s="2304">
        <v>0.93520000000000003</v>
      </c>
      <c r="E212" s="2304">
        <v>0.93520000000000003</v>
      </c>
      <c r="F212" s="2304">
        <v>0.93520000000000003</v>
      </c>
      <c r="G212" s="2304">
        <v>0.93520000000000003</v>
      </c>
      <c r="H212" s="2304">
        <v>0.93520000000000003</v>
      </c>
      <c r="I212" s="2304">
        <v>0.79059999999999997</v>
      </c>
      <c r="J212" s="2304">
        <v>0.79059999999999997</v>
      </c>
      <c r="K212" s="2304">
        <v>0.79059999999999997</v>
      </c>
      <c r="L212" s="2304">
        <v>0.79059999999999997</v>
      </c>
      <c r="M212" s="2305">
        <v>0.79059999999999997</v>
      </c>
    </row>
    <row r="213" spans="1:13">
      <c r="A213" s="2306">
        <v>3.6</v>
      </c>
      <c r="B213" s="2304">
        <v>0.94179999999999997</v>
      </c>
      <c r="C213" s="2304">
        <v>0.94179999999999997</v>
      </c>
      <c r="D213" s="2304">
        <v>0.93089999999999995</v>
      </c>
      <c r="E213" s="2304">
        <v>0.93089999999999995</v>
      </c>
      <c r="F213" s="2304">
        <v>0.93089999999999995</v>
      </c>
      <c r="G213" s="2304">
        <v>0.93089999999999995</v>
      </c>
      <c r="H213" s="2304">
        <v>0.93089999999999995</v>
      </c>
      <c r="I213" s="2304">
        <v>0.78569999999999995</v>
      </c>
      <c r="J213" s="2304">
        <v>0.78569999999999995</v>
      </c>
      <c r="K213" s="2304">
        <v>0.78569999999999995</v>
      </c>
      <c r="L213" s="2304">
        <v>0.78569999999999995</v>
      </c>
      <c r="M213" s="2305">
        <v>0.78569999999999995</v>
      </c>
    </row>
    <row r="214" spans="1:13">
      <c r="A214" s="2306">
        <v>3.7</v>
      </c>
      <c r="B214" s="2304">
        <v>0.93840000000000001</v>
      </c>
      <c r="C214" s="2304">
        <v>0.93840000000000001</v>
      </c>
      <c r="D214" s="2304">
        <v>0.92689999999999995</v>
      </c>
      <c r="E214" s="2304">
        <v>0.92689999999999995</v>
      </c>
      <c r="F214" s="2304">
        <v>0.92689999999999995</v>
      </c>
      <c r="G214" s="2304">
        <v>0.92689999999999995</v>
      </c>
      <c r="H214" s="2304">
        <v>0.92689999999999995</v>
      </c>
      <c r="I214" s="2304">
        <v>0.78110000000000002</v>
      </c>
      <c r="J214" s="2304">
        <v>0.78110000000000002</v>
      </c>
      <c r="K214" s="2304">
        <v>0.78110000000000002</v>
      </c>
      <c r="L214" s="2304">
        <v>0.78110000000000002</v>
      </c>
      <c r="M214" s="2305">
        <v>0.78110000000000002</v>
      </c>
    </row>
    <row r="215" spans="1:13">
      <c r="A215" s="2306">
        <v>3.8</v>
      </c>
      <c r="B215" s="2304">
        <v>0.93530000000000002</v>
      </c>
      <c r="C215" s="2304">
        <v>0.93530000000000002</v>
      </c>
      <c r="D215" s="2304">
        <v>0.92310000000000003</v>
      </c>
      <c r="E215" s="2304">
        <v>0.92310000000000003</v>
      </c>
      <c r="F215" s="2304">
        <v>0.92310000000000003</v>
      </c>
      <c r="G215" s="2304">
        <v>0.92310000000000003</v>
      </c>
      <c r="H215" s="2304">
        <v>0.92310000000000003</v>
      </c>
      <c r="I215" s="2304">
        <v>0.77680000000000005</v>
      </c>
      <c r="J215" s="2304">
        <v>0.77680000000000005</v>
      </c>
      <c r="K215" s="2304">
        <v>0.77680000000000005</v>
      </c>
      <c r="L215" s="2304">
        <v>0.77680000000000005</v>
      </c>
      <c r="M215" s="2305">
        <v>0.77680000000000005</v>
      </c>
    </row>
    <row r="216" spans="1:13">
      <c r="A216" s="2306">
        <v>3.9</v>
      </c>
      <c r="B216" s="2304">
        <v>0.93240000000000001</v>
      </c>
      <c r="C216" s="2304">
        <v>0.93240000000000001</v>
      </c>
      <c r="D216" s="2304">
        <v>0.91959999999999997</v>
      </c>
      <c r="E216" s="2304">
        <v>0.91959999999999997</v>
      </c>
      <c r="F216" s="2304">
        <v>0.91959999999999997</v>
      </c>
      <c r="G216" s="2304">
        <v>0.91959999999999997</v>
      </c>
      <c r="H216" s="2304">
        <v>0.91959999999999997</v>
      </c>
      <c r="I216" s="2304">
        <v>0.77270000000000005</v>
      </c>
      <c r="J216" s="2304">
        <v>0.77270000000000005</v>
      </c>
      <c r="K216" s="2304">
        <v>0.77270000000000005</v>
      </c>
      <c r="L216" s="2304">
        <v>0.77270000000000005</v>
      </c>
      <c r="M216" s="2305">
        <v>0.77270000000000005</v>
      </c>
    </row>
    <row r="217" spans="1:13">
      <c r="A217" s="2306">
        <v>4</v>
      </c>
      <c r="B217" s="2304">
        <v>0.92969999999999997</v>
      </c>
      <c r="C217" s="2304">
        <v>0.92969999999999997</v>
      </c>
      <c r="D217" s="2304">
        <v>0.9163</v>
      </c>
      <c r="E217" s="2304">
        <v>0.9163</v>
      </c>
      <c r="F217" s="2304">
        <v>0.9163</v>
      </c>
      <c r="G217" s="2304">
        <v>0.9163</v>
      </c>
      <c r="H217" s="2304">
        <v>0.9163</v>
      </c>
      <c r="I217" s="2304">
        <v>0.76880000000000004</v>
      </c>
      <c r="J217" s="2304">
        <v>0.76880000000000004</v>
      </c>
      <c r="K217" s="2304">
        <v>0.76880000000000004</v>
      </c>
      <c r="L217" s="2304">
        <v>0.76880000000000004</v>
      </c>
      <c r="M217" s="2305">
        <v>0.76880000000000004</v>
      </c>
    </row>
    <row r="218" spans="1:13">
      <c r="A218" s="2306">
        <v>4.0999999999999996</v>
      </c>
      <c r="B218" s="2304">
        <v>0.92720000000000002</v>
      </c>
      <c r="C218" s="2304">
        <v>0.92720000000000002</v>
      </c>
      <c r="D218" s="2304">
        <v>0.91320000000000001</v>
      </c>
      <c r="E218" s="2304">
        <v>0.91320000000000001</v>
      </c>
      <c r="F218" s="2304">
        <v>0.91320000000000001</v>
      </c>
      <c r="G218" s="2304">
        <v>0.91320000000000001</v>
      </c>
      <c r="H218" s="2304">
        <v>0.91320000000000001</v>
      </c>
      <c r="I218" s="2304">
        <v>0.7651</v>
      </c>
      <c r="J218" s="2304">
        <v>0.7651</v>
      </c>
      <c r="K218" s="2304">
        <v>0.7651</v>
      </c>
      <c r="L218" s="2304">
        <v>0.7651</v>
      </c>
      <c r="M218" s="2305">
        <v>0.7651</v>
      </c>
    </row>
    <row r="219" spans="1:13">
      <c r="A219" s="2306">
        <v>4.2</v>
      </c>
      <c r="B219" s="2304">
        <v>0.92479999999999996</v>
      </c>
      <c r="C219" s="2304">
        <v>0.92479999999999996</v>
      </c>
      <c r="D219" s="2304">
        <v>0.91020000000000001</v>
      </c>
      <c r="E219" s="2304">
        <v>0.91020000000000001</v>
      </c>
      <c r="F219" s="2304">
        <v>0.91020000000000001</v>
      </c>
      <c r="G219" s="2304">
        <v>0.91020000000000001</v>
      </c>
      <c r="H219" s="2304">
        <v>0.91020000000000001</v>
      </c>
      <c r="I219" s="2304">
        <v>0.76149999999999995</v>
      </c>
      <c r="J219" s="2304">
        <v>0.76149999999999995</v>
      </c>
      <c r="K219" s="2304">
        <v>0.76149999999999995</v>
      </c>
      <c r="L219" s="2304">
        <v>0.76149999999999995</v>
      </c>
      <c r="M219" s="2305">
        <v>0.76149999999999995</v>
      </c>
    </row>
    <row r="220" spans="1:13">
      <c r="A220" s="2306">
        <v>4.3</v>
      </c>
      <c r="B220" s="2304">
        <v>0.92249999999999999</v>
      </c>
      <c r="C220" s="2304">
        <v>0.92249999999999999</v>
      </c>
      <c r="D220" s="2304">
        <v>0.9073</v>
      </c>
      <c r="E220" s="2304">
        <v>0.9073</v>
      </c>
      <c r="F220" s="2304">
        <v>0.9073</v>
      </c>
      <c r="G220" s="2304">
        <v>0.9073</v>
      </c>
      <c r="H220" s="2304">
        <v>0.9073</v>
      </c>
      <c r="I220" s="2304">
        <v>0.75800000000000001</v>
      </c>
      <c r="J220" s="2304">
        <v>0.75800000000000001</v>
      </c>
      <c r="K220" s="2304">
        <v>0.75800000000000001</v>
      </c>
      <c r="L220" s="2304">
        <v>0.75800000000000001</v>
      </c>
      <c r="M220" s="2305">
        <v>0.75800000000000001</v>
      </c>
    </row>
    <row r="221" spans="1:13">
      <c r="A221" s="2306">
        <v>4.4000000000000004</v>
      </c>
      <c r="B221" s="2304">
        <v>0.92030000000000001</v>
      </c>
      <c r="C221" s="2304">
        <v>0.92030000000000001</v>
      </c>
      <c r="D221" s="2304">
        <v>0.90449999999999997</v>
      </c>
      <c r="E221" s="2304">
        <v>0.90449999999999997</v>
      </c>
      <c r="F221" s="2304">
        <v>0.90449999999999997</v>
      </c>
      <c r="G221" s="2304">
        <v>0.90449999999999997</v>
      </c>
      <c r="H221" s="2304">
        <v>0.90449999999999997</v>
      </c>
      <c r="I221" s="2304">
        <v>0.75460000000000005</v>
      </c>
      <c r="J221" s="2304">
        <v>0.75460000000000005</v>
      </c>
      <c r="K221" s="2304">
        <v>0.75460000000000005</v>
      </c>
      <c r="L221" s="2304">
        <v>0.75460000000000005</v>
      </c>
      <c r="M221" s="2305">
        <v>0.75460000000000005</v>
      </c>
    </row>
    <row r="222" spans="1:13">
      <c r="A222" s="2306">
        <v>4.5</v>
      </c>
      <c r="B222" s="2304">
        <v>0.91810000000000003</v>
      </c>
      <c r="C222" s="2304">
        <v>0.91810000000000003</v>
      </c>
      <c r="D222" s="2304">
        <v>0.90180000000000005</v>
      </c>
      <c r="E222" s="2304">
        <v>0.90180000000000005</v>
      </c>
      <c r="F222" s="2304">
        <v>0.90180000000000005</v>
      </c>
      <c r="G222" s="2304">
        <v>0.90180000000000005</v>
      </c>
      <c r="H222" s="2304">
        <v>0.90180000000000005</v>
      </c>
      <c r="I222" s="2304">
        <v>0.75129999999999997</v>
      </c>
      <c r="J222" s="2304">
        <v>0.75129999999999997</v>
      </c>
      <c r="K222" s="2304">
        <v>0.75129999999999997</v>
      </c>
      <c r="L222" s="2304">
        <v>0.75129999999999997</v>
      </c>
      <c r="M222" s="2305">
        <v>0.75129999999999997</v>
      </c>
    </row>
    <row r="223" spans="1:13">
      <c r="A223" s="2306">
        <v>4.5999999999999996</v>
      </c>
      <c r="B223" s="2304">
        <v>0.91600000000000004</v>
      </c>
      <c r="C223" s="2304">
        <v>0.91600000000000004</v>
      </c>
      <c r="D223" s="2304">
        <v>0.8992</v>
      </c>
      <c r="E223" s="2304">
        <v>0.8992</v>
      </c>
      <c r="F223" s="2304">
        <v>0.8992</v>
      </c>
      <c r="G223" s="2304">
        <v>0.8992</v>
      </c>
      <c r="H223" s="2304">
        <v>0.8992</v>
      </c>
      <c r="I223" s="2304">
        <v>0.748</v>
      </c>
      <c r="J223" s="2304">
        <v>0.748</v>
      </c>
      <c r="K223" s="2304">
        <v>0.748</v>
      </c>
      <c r="L223" s="2304">
        <v>0.748</v>
      </c>
      <c r="M223" s="2305">
        <v>0.748</v>
      </c>
    </row>
    <row r="224" spans="1:13">
      <c r="A224" s="2306">
        <v>4.7</v>
      </c>
      <c r="B224" s="2304">
        <v>0.91390000000000005</v>
      </c>
      <c r="C224" s="2304">
        <v>0.91390000000000005</v>
      </c>
      <c r="D224" s="2304">
        <v>0.89659999999999995</v>
      </c>
      <c r="E224" s="2304">
        <v>0.89659999999999995</v>
      </c>
      <c r="F224" s="2304">
        <v>0.89659999999999995</v>
      </c>
      <c r="G224" s="2304">
        <v>0.89659999999999995</v>
      </c>
      <c r="H224" s="2304">
        <v>0.89659999999999995</v>
      </c>
      <c r="I224" s="2304">
        <v>0.74480000000000002</v>
      </c>
      <c r="J224" s="2304">
        <v>0.74480000000000002</v>
      </c>
      <c r="K224" s="2304">
        <v>0.74480000000000002</v>
      </c>
      <c r="L224" s="2304">
        <v>0.74480000000000002</v>
      </c>
      <c r="M224" s="2305">
        <v>0.74480000000000002</v>
      </c>
    </row>
    <row r="225" spans="1:13">
      <c r="A225" s="2306">
        <v>4.8</v>
      </c>
      <c r="B225" s="2304">
        <v>0.91180000000000005</v>
      </c>
      <c r="C225" s="2304">
        <v>0.91180000000000005</v>
      </c>
      <c r="D225" s="2304">
        <v>0.89410000000000001</v>
      </c>
      <c r="E225" s="2304">
        <v>0.89410000000000001</v>
      </c>
      <c r="F225" s="2304">
        <v>0.89410000000000001</v>
      </c>
      <c r="G225" s="2304">
        <v>0.89410000000000001</v>
      </c>
      <c r="H225" s="2304">
        <v>0.89410000000000001</v>
      </c>
      <c r="I225" s="2304">
        <v>0.74160000000000004</v>
      </c>
      <c r="J225" s="2304">
        <v>0.74160000000000004</v>
      </c>
      <c r="K225" s="2304">
        <v>0.74160000000000004</v>
      </c>
      <c r="L225" s="2304">
        <v>0.74160000000000004</v>
      </c>
      <c r="M225" s="2305">
        <v>0.74160000000000004</v>
      </c>
    </row>
    <row r="226" spans="1:13">
      <c r="A226" s="2306">
        <v>4.9000000000000004</v>
      </c>
      <c r="B226" s="2304">
        <v>0.90980000000000005</v>
      </c>
      <c r="C226" s="2304">
        <v>0.90980000000000005</v>
      </c>
      <c r="D226" s="2304">
        <v>0.89159999999999995</v>
      </c>
      <c r="E226" s="2304">
        <v>0.89159999999999995</v>
      </c>
      <c r="F226" s="2304">
        <v>0.89159999999999995</v>
      </c>
      <c r="G226" s="2304">
        <v>0.89159999999999995</v>
      </c>
      <c r="H226" s="2304">
        <v>0.89159999999999995</v>
      </c>
      <c r="I226" s="2304">
        <v>0.73839999999999995</v>
      </c>
      <c r="J226" s="2304">
        <v>0.73839999999999995</v>
      </c>
      <c r="K226" s="2304">
        <v>0.73839999999999995</v>
      </c>
      <c r="L226" s="2304">
        <v>0.73839999999999995</v>
      </c>
      <c r="M226" s="2305">
        <v>0.73839999999999995</v>
      </c>
    </row>
    <row r="227" spans="1:13">
      <c r="A227" s="2306">
        <v>5</v>
      </c>
      <c r="B227" s="2304">
        <v>0.90780000000000005</v>
      </c>
      <c r="C227" s="2304">
        <v>0.90780000000000005</v>
      </c>
      <c r="D227" s="2304">
        <v>0.8891</v>
      </c>
      <c r="E227" s="2304">
        <v>0.8891</v>
      </c>
      <c r="F227" s="2304">
        <v>0.8891</v>
      </c>
      <c r="G227" s="2304">
        <v>0.8891</v>
      </c>
      <c r="H227" s="2304">
        <v>0.8891</v>
      </c>
      <c r="I227" s="2304">
        <v>0.73529999999999995</v>
      </c>
      <c r="J227" s="2304">
        <v>0.73529999999999995</v>
      </c>
      <c r="K227" s="2304">
        <v>0.73529999999999995</v>
      </c>
      <c r="L227" s="2304">
        <v>0.73529999999999995</v>
      </c>
      <c r="M227" s="2305">
        <v>0.73529999999999995</v>
      </c>
    </row>
    <row r="228" spans="1:13">
      <c r="A228" s="2303">
        <v>5.0999999999999996</v>
      </c>
      <c r="B228" s="2304">
        <v>0.90580000000000005</v>
      </c>
      <c r="C228" s="2304">
        <v>0.90580000000000005</v>
      </c>
      <c r="D228" s="2304">
        <v>0.88670000000000004</v>
      </c>
      <c r="E228" s="2304">
        <v>0.88670000000000004</v>
      </c>
      <c r="F228" s="2304">
        <v>0.88670000000000004</v>
      </c>
      <c r="G228" s="2304">
        <v>0.88670000000000004</v>
      </c>
      <c r="H228" s="2304">
        <v>0.88670000000000004</v>
      </c>
      <c r="I228" s="2304">
        <v>0.73219999999999996</v>
      </c>
      <c r="J228" s="2304">
        <v>0.73219999999999996</v>
      </c>
      <c r="K228" s="2304">
        <v>0.73219999999999996</v>
      </c>
      <c r="L228" s="2304">
        <v>0.73219999999999996</v>
      </c>
      <c r="M228" s="2305">
        <v>0.73219999999999996</v>
      </c>
    </row>
    <row r="229" spans="1:13">
      <c r="A229" s="2303">
        <v>5.2</v>
      </c>
      <c r="B229" s="2304">
        <v>0.90380000000000005</v>
      </c>
      <c r="C229" s="2304">
        <v>0.90380000000000005</v>
      </c>
      <c r="D229" s="2304">
        <v>0.88429999999999997</v>
      </c>
      <c r="E229" s="2304">
        <v>0.88429999999999997</v>
      </c>
      <c r="F229" s="2304">
        <v>0.88429999999999997</v>
      </c>
      <c r="G229" s="2304">
        <v>0.88429999999999997</v>
      </c>
      <c r="H229" s="2304">
        <v>0.88429999999999997</v>
      </c>
      <c r="I229" s="2304">
        <v>0.72909999999999997</v>
      </c>
      <c r="J229" s="2304">
        <v>0.72909999999999997</v>
      </c>
      <c r="K229" s="2304">
        <v>0.72909999999999997</v>
      </c>
      <c r="L229" s="2304">
        <v>0.72909999999999997</v>
      </c>
      <c r="M229" s="2305">
        <v>0.72909999999999997</v>
      </c>
    </row>
    <row r="230" spans="1:13">
      <c r="A230" s="2303">
        <v>5.3</v>
      </c>
      <c r="B230" s="2304">
        <v>0.90190000000000003</v>
      </c>
      <c r="C230" s="2304">
        <v>0.90190000000000003</v>
      </c>
      <c r="D230" s="2304">
        <v>0.88190000000000002</v>
      </c>
      <c r="E230" s="2304">
        <v>0.88190000000000002</v>
      </c>
      <c r="F230" s="2304">
        <v>0.88190000000000002</v>
      </c>
      <c r="G230" s="2304">
        <v>0.88190000000000002</v>
      </c>
      <c r="H230" s="2304">
        <v>0.88190000000000002</v>
      </c>
      <c r="I230" s="2304">
        <v>0.72609999999999997</v>
      </c>
      <c r="J230" s="2304">
        <v>0.72609999999999997</v>
      </c>
      <c r="K230" s="2304">
        <v>0.72609999999999997</v>
      </c>
      <c r="L230" s="2304">
        <v>0.72609999999999997</v>
      </c>
      <c r="M230" s="2305">
        <v>0.72609999999999997</v>
      </c>
    </row>
    <row r="231" spans="1:13">
      <c r="A231" s="2303">
        <v>5.4</v>
      </c>
      <c r="B231" s="2304">
        <v>0.9</v>
      </c>
      <c r="C231" s="2304">
        <v>0.9</v>
      </c>
      <c r="D231" s="2304">
        <v>0.87949999999999995</v>
      </c>
      <c r="E231" s="2304">
        <v>0.87949999999999995</v>
      </c>
      <c r="F231" s="2304">
        <v>0.87949999999999995</v>
      </c>
      <c r="G231" s="2304">
        <v>0.87949999999999995</v>
      </c>
      <c r="H231" s="2304">
        <v>0.87949999999999995</v>
      </c>
      <c r="I231" s="2304">
        <v>0.72309999999999997</v>
      </c>
      <c r="J231" s="2304">
        <v>0.72309999999999997</v>
      </c>
      <c r="K231" s="2304">
        <v>0.72309999999999997</v>
      </c>
      <c r="L231" s="2304">
        <v>0.72309999999999997</v>
      </c>
      <c r="M231" s="2305">
        <v>0.72309999999999997</v>
      </c>
    </row>
    <row r="232" spans="1:13">
      <c r="A232" s="2303">
        <v>5.5</v>
      </c>
      <c r="B232" s="2304">
        <v>0.89810000000000001</v>
      </c>
      <c r="C232" s="2304">
        <v>0.89810000000000001</v>
      </c>
      <c r="D232" s="2304">
        <v>0.87719999999999998</v>
      </c>
      <c r="E232" s="2304">
        <v>0.87719999999999998</v>
      </c>
      <c r="F232" s="2304">
        <v>0.87719999999999998</v>
      </c>
      <c r="G232" s="2304">
        <v>0.87719999999999998</v>
      </c>
      <c r="H232" s="2304">
        <v>0.87719999999999998</v>
      </c>
      <c r="I232" s="2304">
        <v>0.72009999999999996</v>
      </c>
      <c r="J232" s="2304">
        <v>0.72009999999999996</v>
      </c>
      <c r="K232" s="2304">
        <v>0.72009999999999996</v>
      </c>
      <c r="L232" s="2304">
        <v>0.72009999999999996</v>
      </c>
      <c r="M232" s="2305">
        <v>0.72009999999999996</v>
      </c>
    </row>
    <row r="233" spans="1:13">
      <c r="A233" s="2303">
        <v>5.6</v>
      </c>
      <c r="B233" s="2304">
        <v>0.8962</v>
      </c>
      <c r="C233" s="2304">
        <v>0.8962</v>
      </c>
      <c r="D233" s="2304">
        <v>0.87490000000000001</v>
      </c>
      <c r="E233" s="2304">
        <v>0.87490000000000001</v>
      </c>
      <c r="F233" s="2304">
        <v>0.87490000000000001</v>
      </c>
      <c r="G233" s="2304">
        <v>0.87490000000000001</v>
      </c>
      <c r="H233" s="2304">
        <v>0.87490000000000001</v>
      </c>
      <c r="I233" s="2304">
        <v>0.71709999999999996</v>
      </c>
      <c r="J233" s="2304">
        <v>0.71709999999999996</v>
      </c>
      <c r="K233" s="2304">
        <v>0.71709999999999996</v>
      </c>
      <c r="L233" s="2304">
        <v>0.71709999999999996</v>
      </c>
      <c r="M233" s="2305">
        <v>0.71709999999999996</v>
      </c>
    </row>
    <row r="234" spans="1:13">
      <c r="A234" s="2306">
        <v>5.7</v>
      </c>
      <c r="B234" s="2304">
        <v>0.89429999999999998</v>
      </c>
      <c r="C234" s="2304">
        <v>0.89429999999999998</v>
      </c>
      <c r="D234" s="2304">
        <v>0.87260000000000004</v>
      </c>
      <c r="E234" s="2304">
        <v>0.87260000000000004</v>
      </c>
      <c r="F234" s="2304">
        <v>0.87260000000000004</v>
      </c>
      <c r="G234" s="2304">
        <v>0.87260000000000004</v>
      </c>
      <c r="H234" s="2304">
        <v>0.87260000000000004</v>
      </c>
      <c r="I234" s="2304">
        <v>0.71419999999999995</v>
      </c>
      <c r="J234" s="2304">
        <v>0.71419999999999995</v>
      </c>
      <c r="K234" s="2304">
        <v>0.71419999999999995</v>
      </c>
      <c r="L234" s="2304">
        <v>0.71419999999999995</v>
      </c>
      <c r="M234" s="2305">
        <v>0.71419999999999995</v>
      </c>
    </row>
    <row r="235" spans="1:13">
      <c r="A235" s="2303">
        <v>5.8</v>
      </c>
      <c r="B235" s="2304">
        <v>0.89249999999999996</v>
      </c>
      <c r="C235" s="2304">
        <v>0.89249999999999996</v>
      </c>
      <c r="D235" s="2304">
        <v>0.87029999999999996</v>
      </c>
      <c r="E235" s="2304">
        <v>0.87029999999999996</v>
      </c>
      <c r="F235" s="2304">
        <v>0.87029999999999996</v>
      </c>
      <c r="G235" s="2304">
        <v>0.87029999999999996</v>
      </c>
      <c r="H235" s="2304">
        <v>0.87029999999999996</v>
      </c>
      <c r="I235" s="2304">
        <v>0.71130000000000004</v>
      </c>
      <c r="J235" s="2304">
        <v>0.71130000000000004</v>
      </c>
      <c r="K235" s="2304">
        <v>0.71130000000000004</v>
      </c>
      <c r="L235" s="2304">
        <v>0.71130000000000004</v>
      </c>
      <c r="M235" s="2305">
        <v>0.71130000000000004</v>
      </c>
    </row>
    <row r="236" spans="1:13">
      <c r="A236" s="2303">
        <v>5.9</v>
      </c>
      <c r="B236" s="2304">
        <v>0.89070000000000005</v>
      </c>
      <c r="C236" s="2304">
        <v>0.89070000000000005</v>
      </c>
      <c r="D236" s="2304">
        <v>0.86799999999999999</v>
      </c>
      <c r="E236" s="2304">
        <v>0.86799999999999999</v>
      </c>
      <c r="F236" s="2304">
        <v>0.86799999999999999</v>
      </c>
      <c r="G236" s="2304">
        <v>0.86799999999999999</v>
      </c>
      <c r="H236" s="2304">
        <v>0.86799999999999999</v>
      </c>
      <c r="I236" s="2304">
        <v>0.70840000000000003</v>
      </c>
      <c r="J236" s="2304">
        <v>0.70840000000000003</v>
      </c>
      <c r="K236" s="2304">
        <v>0.70840000000000003</v>
      </c>
      <c r="L236" s="2304">
        <v>0.70840000000000003</v>
      </c>
      <c r="M236" s="2305">
        <v>0.70840000000000003</v>
      </c>
    </row>
    <row r="237" spans="1:13">
      <c r="A237" s="2303">
        <v>6</v>
      </c>
      <c r="B237" s="2304">
        <v>0.88890000000000002</v>
      </c>
      <c r="C237" s="2304">
        <v>0.88890000000000002</v>
      </c>
      <c r="D237" s="2304">
        <v>0.86580000000000001</v>
      </c>
      <c r="E237" s="2304">
        <v>0.86580000000000001</v>
      </c>
      <c r="F237" s="2304">
        <v>0.86580000000000001</v>
      </c>
      <c r="G237" s="2304">
        <v>0.86580000000000001</v>
      </c>
      <c r="H237" s="2304">
        <v>0.86580000000000001</v>
      </c>
      <c r="I237" s="2304">
        <v>0.70550000000000002</v>
      </c>
      <c r="J237" s="2304">
        <v>0.70550000000000002</v>
      </c>
      <c r="K237" s="2304">
        <v>0.70550000000000002</v>
      </c>
      <c r="L237" s="2304">
        <v>0.70550000000000002</v>
      </c>
      <c r="M237" s="2305">
        <v>0.70550000000000002</v>
      </c>
    </row>
    <row r="238" spans="1:13">
      <c r="A238" s="2303">
        <v>6.1</v>
      </c>
      <c r="B238" s="2304">
        <v>0.8871</v>
      </c>
      <c r="C238" s="2304">
        <v>0.8871</v>
      </c>
      <c r="D238" s="2304">
        <v>0.86360000000000003</v>
      </c>
      <c r="E238" s="2304">
        <v>0.86360000000000003</v>
      </c>
      <c r="F238" s="2304">
        <v>0.86360000000000003</v>
      </c>
      <c r="G238" s="2304">
        <v>0.86360000000000003</v>
      </c>
      <c r="H238" s="2304">
        <v>0.86360000000000003</v>
      </c>
      <c r="I238" s="2304">
        <v>0.70269999999999999</v>
      </c>
      <c r="J238" s="2304">
        <v>0.70269999999999999</v>
      </c>
      <c r="K238" s="2304">
        <v>0.70269999999999999</v>
      </c>
      <c r="L238" s="2304">
        <v>0.70269999999999999</v>
      </c>
      <c r="M238" s="2305">
        <v>0.70269999999999999</v>
      </c>
    </row>
    <row r="239" spans="1:13">
      <c r="A239" s="2303">
        <v>6.2</v>
      </c>
      <c r="B239" s="2304">
        <v>0.88529999999999998</v>
      </c>
      <c r="C239" s="2304">
        <v>0.88529999999999998</v>
      </c>
      <c r="D239" s="2304">
        <v>0.86140000000000005</v>
      </c>
      <c r="E239" s="2304">
        <v>0.86140000000000005</v>
      </c>
      <c r="F239" s="2304">
        <v>0.86140000000000005</v>
      </c>
      <c r="G239" s="2304">
        <v>0.86140000000000005</v>
      </c>
      <c r="H239" s="2304">
        <v>0.86140000000000005</v>
      </c>
      <c r="I239" s="2304">
        <v>0.69989999999999997</v>
      </c>
      <c r="J239" s="2304">
        <v>0.69989999999999997</v>
      </c>
      <c r="K239" s="2304">
        <v>0.69989999999999997</v>
      </c>
      <c r="L239" s="2304">
        <v>0.69989999999999997</v>
      </c>
      <c r="M239" s="2305">
        <v>0.69989999999999997</v>
      </c>
    </row>
    <row r="240" spans="1:13">
      <c r="A240" s="2303">
        <v>6.3</v>
      </c>
      <c r="B240" s="2304">
        <v>0.88349999999999995</v>
      </c>
      <c r="C240" s="2304">
        <v>0.88349999999999995</v>
      </c>
      <c r="D240" s="2304">
        <v>0.85919999999999996</v>
      </c>
      <c r="E240" s="2304">
        <v>0.85919999999999996</v>
      </c>
      <c r="F240" s="2304">
        <v>0.85919999999999996</v>
      </c>
      <c r="G240" s="2304">
        <v>0.85919999999999996</v>
      </c>
      <c r="H240" s="2304">
        <v>0.85919999999999996</v>
      </c>
      <c r="I240" s="2304">
        <v>0.69710000000000005</v>
      </c>
      <c r="J240" s="2304">
        <v>0.69710000000000005</v>
      </c>
      <c r="K240" s="2304">
        <v>0.69710000000000005</v>
      </c>
      <c r="L240" s="2304">
        <v>0.69710000000000005</v>
      </c>
      <c r="M240" s="2305">
        <v>0.69710000000000005</v>
      </c>
    </row>
    <row r="241" spans="1:13">
      <c r="A241" s="2303">
        <v>6.4</v>
      </c>
      <c r="B241" s="2304">
        <v>0.88180000000000003</v>
      </c>
      <c r="C241" s="2304">
        <v>0.88180000000000003</v>
      </c>
      <c r="D241" s="2304">
        <v>0.85699999999999998</v>
      </c>
      <c r="E241" s="2304">
        <v>0.85699999999999998</v>
      </c>
      <c r="F241" s="2304">
        <v>0.85699999999999998</v>
      </c>
      <c r="G241" s="2304">
        <v>0.85699999999999998</v>
      </c>
      <c r="H241" s="2304">
        <v>0.85699999999999998</v>
      </c>
      <c r="I241" s="2304">
        <v>0.69430000000000003</v>
      </c>
      <c r="J241" s="2304">
        <v>0.69430000000000003</v>
      </c>
      <c r="K241" s="2304">
        <v>0.69430000000000003</v>
      </c>
      <c r="L241" s="2304">
        <v>0.69430000000000003</v>
      </c>
      <c r="M241" s="2305">
        <v>0.69430000000000003</v>
      </c>
    </row>
    <row r="242" spans="1:13">
      <c r="A242" s="2303">
        <v>6.5</v>
      </c>
      <c r="B242" s="2304">
        <v>0.88009999999999999</v>
      </c>
      <c r="C242" s="2304">
        <v>0.88009999999999999</v>
      </c>
      <c r="D242" s="2304">
        <v>0.85489999999999999</v>
      </c>
      <c r="E242" s="2304">
        <v>0.85489999999999999</v>
      </c>
      <c r="F242" s="2304">
        <v>0.85489999999999999</v>
      </c>
      <c r="G242" s="2304">
        <v>0.85489999999999999</v>
      </c>
      <c r="H242" s="2304">
        <v>0.85489999999999999</v>
      </c>
      <c r="I242" s="2304">
        <v>0.69159999999999999</v>
      </c>
      <c r="J242" s="2304">
        <v>0.69159999999999999</v>
      </c>
      <c r="K242" s="2304">
        <v>0.69159999999999999</v>
      </c>
      <c r="L242" s="2304">
        <v>0.69159999999999999</v>
      </c>
      <c r="M242" s="2305">
        <v>0.69159999999999999</v>
      </c>
    </row>
    <row r="243" spans="1:13">
      <c r="A243" s="2303">
        <v>6.6</v>
      </c>
      <c r="B243" s="2304">
        <v>0.87839999999999996</v>
      </c>
      <c r="C243" s="2304">
        <v>0.87839999999999996</v>
      </c>
      <c r="D243" s="2304">
        <v>0.8528</v>
      </c>
      <c r="E243" s="2304">
        <v>0.8528</v>
      </c>
      <c r="F243" s="2304">
        <v>0.8528</v>
      </c>
      <c r="G243" s="2304">
        <v>0.8528</v>
      </c>
      <c r="H243" s="2304">
        <v>0.8528</v>
      </c>
      <c r="I243" s="2304">
        <v>0.68889999999999996</v>
      </c>
      <c r="J243" s="2304">
        <v>0.68889999999999996</v>
      </c>
      <c r="K243" s="2304">
        <v>0.68889999999999996</v>
      </c>
      <c r="L243" s="2304">
        <v>0.68889999999999996</v>
      </c>
      <c r="M243" s="2305">
        <v>0.68889999999999996</v>
      </c>
    </row>
    <row r="244" spans="1:13">
      <c r="A244" s="2303">
        <v>6.7</v>
      </c>
      <c r="B244" s="2304">
        <v>0.87670000000000003</v>
      </c>
      <c r="C244" s="2304">
        <v>0.87670000000000003</v>
      </c>
      <c r="D244" s="2304">
        <v>0.85070000000000001</v>
      </c>
      <c r="E244" s="2304">
        <v>0.85070000000000001</v>
      </c>
      <c r="F244" s="2304">
        <v>0.85070000000000001</v>
      </c>
      <c r="G244" s="2304">
        <v>0.85070000000000001</v>
      </c>
      <c r="H244" s="2304">
        <v>0.85070000000000001</v>
      </c>
      <c r="I244" s="2304">
        <v>0.68620000000000003</v>
      </c>
      <c r="J244" s="2304">
        <v>0.68620000000000003</v>
      </c>
      <c r="K244" s="2304">
        <v>0.68620000000000003</v>
      </c>
      <c r="L244" s="2304">
        <v>0.68620000000000003</v>
      </c>
      <c r="M244" s="2305">
        <v>0.68620000000000003</v>
      </c>
    </row>
    <row r="245" spans="1:13">
      <c r="A245" s="2303">
        <v>6.8</v>
      </c>
      <c r="B245" s="2304">
        <v>0.875</v>
      </c>
      <c r="C245" s="2304">
        <v>0.875</v>
      </c>
      <c r="D245" s="2304">
        <v>0.84860000000000002</v>
      </c>
      <c r="E245" s="2304">
        <v>0.84860000000000002</v>
      </c>
      <c r="F245" s="2304">
        <v>0.84860000000000002</v>
      </c>
      <c r="G245" s="2304">
        <v>0.84860000000000002</v>
      </c>
      <c r="H245" s="2304">
        <v>0.84860000000000002</v>
      </c>
      <c r="I245" s="2304">
        <v>0.6835</v>
      </c>
      <c r="J245" s="2304">
        <v>0.6835</v>
      </c>
      <c r="K245" s="2304">
        <v>0.6835</v>
      </c>
      <c r="L245" s="2304">
        <v>0.6835</v>
      </c>
      <c r="M245" s="2305">
        <v>0.6835</v>
      </c>
    </row>
    <row r="246" spans="1:13">
      <c r="A246" s="2303">
        <v>6.9</v>
      </c>
      <c r="B246" s="2304">
        <v>0.87329999999999997</v>
      </c>
      <c r="C246" s="2304">
        <v>0.87329999999999997</v>
      </c>
      <c r="D246" s="2304">
        <v>0.84650000000000003</v>
      </c>
      <c r="E246" s="2304">
        <v>0.84650000000000003</v>
      </c>
      <c r="F246" s="2304">
        <v>0.84650000000000003</v>
      </c>
      <c r="G246" s="2304">
        <v>0.84650000000000003</v>
      </c>
      <c r="H246" s="2304">
        <v>0.84650000000000003</v>
      </c>
      <c r="I246" s="2304">
        <v>0.68089999999999995</v>
      </c>
      <c r="J246" s="2304">
        <v>0.68089999999999995</v>
      </c>
      <c r="K246" s="2304">
        <v>0.68089999999999995</v>
      </c>
      <c r="L246" s="2304">
        <v>0.68089999999999995</v>
      </c>
      <c r="M246" s="2305">
        <v>0.68089999999999995</v>
      </c>
    </row>
    <row r="247" spans="1:13">
      <c r="A247" s="2303">
        <v>7</v>
      </c>
      <c r="B247" s="2304">
        <v>0.87170000000000003</v>
      </c>
      <c r="C247" s="2304">
        <v>0.87170000000000003</v>
      </c>
      <c r="D247" s="2304">
        <v>0.84450000000000003</v>
      </c>
      <c r="E247" s="2304">
        <v>0.84450000000000003</v>
      </c>
      <c r="F247" s="2304">
        <v>0.84450000000000003</v>
      </c>
      <c r="G247" s="2304">
        <v>0.84450000000000003</v>
      </c>
      <c r="H247" s="2304">
        <v>0.84450000000000003</v>
      </c>
      <c r="I247" s="2304">
        <v>0.67830000000000001</v>
      </c>
      <c r="J247" s="2304">
        <v>0.67830000000000001</v>
      </c>
      <c r="K247" s="2304">
        <v>0.67830000000000001</v>
      </c>
      <c r="L247" s="2304">
        <v>0.67830000000000001</v>
      </c>
      <c r="M247" s="2305">
        <v>0.67830000000000001</v>
      </c>
    </row>
    <row r="248" spans="1:13">
      <c r="A248" s="2303">
        <v>7.1</v>
      </c>
      <c r="B248" s="2304">
        <v>0.87009999999999998</v>
      </c>
      <c r="C248" s="2304">
        <v>0.87009999999999998</v>
      </c>
      <c r="D248" s="2304">
        <v>0.84250000000000003</v>
      </c>
      <c r="E248" s="2304">
        <v>0.84250000000000003</v>
      </c>
      <c r="F248" s="2304">
        <v>0.84250000000000003</v>
      </c>
      <c r="G248" s="2304">
        <v>0.84250000000000003</v>
      </c>
      <c r="H248" s="2304">
        <v>0.84250000000000003</v>
      </c>
      <c r="I248" s="2304">
        <v>0.67569999999999997</v>
      </c>
      <c r="J248" s="2304">
        <v>0.67569999999999997</v>
      </c>
      <c r="K248" s="2304">
        <v>0.67569999999999997</v>
      </c>
      <c r="L248" s="2304">
        <v>0.67569999999999997</v>
      </c>
      <c r="M248" s="2305">
        <v>0.67569999999999997</v>
      </c>
    </row>
    <row r="249" spans="1:13">
      <c r="A249" s="2303">
        <v>7.2</v>
      </c>
      <c r="B249" s="2304">
        <v>0.86850000000000005</v>
      </c>
      <c r="C249" s="2304">
        <v>0.86850000000000005</v>
      </c>
      <c r="D249" s="2304">
        <v>0.84050000000000002</v>
      </c>
      <c r="E249" s="2304">
        <v>0.84050000000000002</v>
      </c>
      <c r="F249" s="2304">
        <v>0.84050000000000002</v>
      </c>
      <c r="G249" s="2304">
        <v>0.84050000000000002</v>
      </c>
      <c r="H249" s="2304">
        <v>0.84050000000000002</v>
      </c>
      <c r="I249" s="2304">
        <v>0.67310000000000003</v>
      </c>
      <c r="J249" s="2304">
        <v>0.67310000000000003</v>
      </c>
      <c r="K249" s="2304">
        <v>0.67310000000000003</v>
      </c>
      <c r="L249" s="2304">
        <v>0.67310000000000003</v>
      </c>
      <c r="M249" s="2305">
        <v>0.67310000000000003</v>
      </c>
    </row>
    <row r="250" spans="1:13">
      <c r="A250" s="2303">
        <v>7.3</v>
      </c>
      <c r="B250" s="2304">
        <v>0.8669</v>
      </c>
      <c r="C250" s="2304">
        <v>0.8669</v>
      </c>
      <c r="D250" s="2304">
        <v>0.83850000000000002</v>
      </c>
      <c r="E250" s="2304">
        <v>0.83850000000000002</v>
      </c>
      <c r="F250" s="2304">
        <v>0.83850000000000002</v>
      </c>
      <c r="G250" s="2304">
        <v>0.83850000000000002</v>
      </c>
      <c r="H250" s="2304">
        <v>0.83850000000000002</v>
      </c>
      <c r="I250" s="2304">
        <v>0.67059999999999997</v>
      </c>
      <c r="J250" s="2304">
        <v>0.67059999999999997</v>
      </c>
      <c r="K250" s="2304">
        <v>0.67059999999999997</v>
      </c>
      <c r="L250" s="2304">
        <v>0.67059999999999997</v>
      </c>
      <c r="M250" s="2305">
        <v>0.67059999999999997</v>
      </c>
    </row>
    <row r="251" spans="1:13">
      <c r="A251" s="2303">
        <v>7.4</v>
      </c>
      <c r="B251" s="2304">
        <v>0.86529999999999996</v>
      </c>
      <c r="C251" s="2304">
        <v>0.86529999999999996</v>
      </c>
      <c r="D251" s="2304">
        <v>0.83650000000000002</v>
      </c>
      <c r="E251" s="2304">
        <v>0.83650000000000002</v>
      </c>
      <c r="F251" s="2304">
        <v>0.83650000000000002</v>
      </c>
      <c r="G251" s="2304">
        <v>0.83650000000000002</v>
      </c>
      <c r="H251" s="2304">
        <v>0.83650000000000002</v>
      </c>
      <c r="I251" s="2304">
        <v>0.66810000000000003</v>
      </c>
      <c r="J251" s="2304">
        <v>0.66810000000000003</v>
      </c>
      <c r="K251" s="2304">
        <v>0.66810000000000003</v>
      </c>
      <c r="L251" s="2304">
        <v>0.66810000000000003</v>
      </c>
      <c r="M251" s="2305">
        <v>0.66810000000000003</v>
      </c>
    </row>
    <row r="252" spans="1:13">
      <c r="A252" s="2303">
        <v>7.5</v>
      </c>
      <c r="B252" s="2304">
        <v>0.86370000000000002</v>
      </c>
      <c r="C252" s="2304">
        <v>0.86370000000000002</v>
      </c>
      <c r="D252" s="2304">
        <v>0.83460000000000001</v>
      </c>
      <c r="E252" s="2304">
        <v>0.83460000000000001</v>
      </c>
      <c r="F252" s="2304">
        <v>0.83460000000000001</v>
      </c>
      <c r="G252" s="2304">
        <v>0.83460000000000001</v>
      </c>
      <c r="H252" s="2304">
        <v>0.83460000000000001</v>
      </c>
      <c r="I252" s="2304">
        <v>0.66559999999999997</v>
      </c>
      <c r="J252" s="2304">
        <v>0.66559999999999997</v>
      </c>
      <c r="K252" s="2304">
        <v>0.66559999999999997</v>
      </c>
      <c r="L252" s="2304">
        <v>0.66559999999999997</v>
      </c>
      <c r="M252" s="2305">
        <v>0.66559999999999997</v>
      </c>
    </row>
    <row r="253" spans="1:13">
      <c r="A253" s="2303">
        <v>7.6</v>
      </c>
      <c r="B253" s="2304">
        <v>0.86219999999999997</v>
      </c>
      <c r="C253" s="2304">
        <v>0.86219999999999997</v>
      </c>
      <c r="D253" s="2304">
        <v>0.8327</v>
      </c>
      <c r="E253" s="2304">
        <v>0.8327</v>
      </c>
      <c r="F253" s="2304">
        <v>0.8327</v>
      </c>
      <c r="G253" s="2304">
        <v>0.8327</v>
      </c>
      <c r="H253" s="2304">
        <v>0.8327</v>
      </c>
      <c r="I253" s="2304">
        <v>0.66310000000000002</v>
      </c>
      <c r="J253" s="2304">
        <v>0.66310000000000002</v>
      </c>
      <c r="K253" s="2304">
        <v>0.66310000000000002</v>
      </c>
      <c r="L253" s="2304">
        <v>0.66310000000000002</v>
      </c>
      <c r="M253" s="2305">
        <v>0.66310000000000002</v>
      </c>
    </row>
    <row r="254" spans="1:13">
      <c r="A254" s="2303">
        <v>7.7</v>
      </c>
      <c r="B254" s="2304">
        <v>0.86070000000000002</v>
      </c>
      <c r="C254" s="2304">
        <v>0.86070000000000002</v>
      </c>
      <c r="D254" s="2304">
        <v>0.83079999999999998</v>
      </c>
      <c r="E254" s="2304">
        <v>0.83079999999999998</v>
      </c>
      <c r="F254" s="2304">
        <v>0.83079999999999998</v>
      </c>
      <c r="G254" s="2304">
        <v>0.83079999999999998</v>
      </c>
      <c r="H254" s="2304">
        <v>0.83079999999999998</v>
      </c>
      <c r="I254" s="2304">
        <v>0.66069999999999995</v>
      </c>
      <c r="J254" s="2304">
        <v>0.66069999999999995</v>
      </c>
      <c r="K254" s="2304">
        <v>0.66069999999999995</v>
      </c>
      <c r="L254" s="2304">
        <v>0.66069999999999995</v>
      </c>
      <c r="M254" s="2305">
        <v>0.66069999999999995</v>
      </c>
    </row>
    <row r="255" spans="1:13">
      <c r="A255" s="2303">
        <v>7.8</v>
      </c>
      <c r="B255" s="2304">
        <v>0.85919999999999996</v>
      </c>
      <c r="C255" s="2304">
        <v>0.85919999999999996</v>
      </c>
      <c r="D255" s="2304">
        <v>0.82889999999999997</v>
      </c>
      <c r="E255" s="2304">
        <v>0.82889999999999997</v>
      </c>
      <c r="F255" s="2304">
        <v>0.82889999999999997</v>
      </c>
      <c r="G255" s="2304">
        <v>0.82889999999999997</v>
      </c>
      <c r="H255" s="2304">
        <v>0.82889999999999997</v>
      </c>
      <c r="I255" s="2304">
        <v>0.6583</v>
      </c>
      <c r="J255" s="2304">
        <v>0.6583</v>
      </c>
      <c r="K255" s="2304">
        <v>0.6583</v>
      </c>
      <c r="L255" s="2304">
        <v>0.6583</v>
      </c>
      <c r="M255" s="2305">
        <v>0.6583</v>
      </c>
    </row>
    <row r="256" spans="1:13">
      <c r="A256" s="2303">
        <v>7.9</v>
      </c>
      <c r="B256" s="2304">
        <v>0.85770000000000002</v>
      </c>
      <c r="C256" s="2304">
        <v>0.85770000000000002</v>
      </c>
      <c r="D256" s="2304">
        <v>0.82699999999999996</v>
      </c>
      <c r="E256" s="2304">
        <v>0.82699999999999996</v>
      </c>
      <c r="F256" s="2304">
        <v>0.82699999999999996</v>
      </c>
      <c r="G256" s="2304">
        <v>0.82699999999999996</v>
      </c>
      <c r="H256" s="2304">
        <v>0.82699999999999996</v>
      </c>
      <c r="I256" s="2304">
        <v>0.65590000000000004</v>
      </c>
      <c r="J256" s="2304">
        <v>0.65590000000000004</v>
      </c>
      <c r="K256" s="2304">
        <v>0.65590000000000004</v>
      </c>
      <c r="L256" s="2304">
        <v>0.65590000000000004</v>
      </c>
      <c r="M256" s="2305">
        <v>0.65590000000000004</v>
      </c>
    </row>
    <row r="257" spans="1:13">
      <c r="A257" s="2303">
        <v>8</v>
      </c>
      <c r="B257" s="2304">
        <v>0.85619999999999996</v>
      </c>
      <c r="C257" s="2304">
        <v>0.85619999999999996</v>
      </c>
      <c r="D257" s="2304">
        <v>0.82509999999999994</v>
      </c>
      <c r="E257" s="2304">
        <v>0.82509999999999994</v>
      </c>
      <c r="F257" s="2304">
        <v>0.82509999999999994</v>
      </c>
      <c r="G257" s="2304">
        <v>0.82509999999999994</v>
      </c>
      <c r="H257" s="2304">
        <v>0.82509999999999994</v>
      </c>
      <c r="I257" s="2304">
        <v>0.65349999999999997</v>
      </c>
      <c r="J257" s="2304">
        <v>0.65349999999999997</v>
      </c>
      <c r="K257" s="2304">
        <v>0.65349999999999997</v>
      </c>
      <c r="L257" s="2304">
        <v>0.65349999999999997</v>
      </c>
      <c r="M257" s="2305">
        <v>0.65349999999999997</v>
      </c>
    </row>
    <row r="258" spans="1:13">
      <c r="A258" s="2303">
        <v>8.1</v>
      </c>
      <c r="B258" s="2304">
        <v>0.85470000000000002</v>
      </c>
      <c r="C258" s="2304">
        <v>0.85470000000000002</v>
      </c>
      <c r="D258" s="2304">
        <v>0.82330000000000003</v>
      </c>
      <c r="E258" s="2304">
        <v>0.82330000000000003</v>
      </c>
      <c r="F258" s="2304">
        <v>0.82330000000000003</v>
      </c>
      <c r="G258" s="2304">
        <v>0.82330000000000003</v>
      </c>
      <c r="H258" s="2304">
        <v>0.82330000000000003</v>
      </c>
      <c r="I258" s="2304">
        <v>0.6512</v>
      </c>
      <c r="J258" s="2304">
        <v>0.6512</v>
      </c>
      <c r="K258" s="2304">
        <v>0.6512</v>
      </c>
      <c r="L258" s="2304">
        <v>0.6512</v>
      </c>
      <c r="M258" s="2305">
        <v>0.6512</v>
      </c>
    </row>
    <row r="259" spans="1:13">
      <c r="A259" s="2303">
        <v>8.1999999999999993</v>
      </c>
      <c r="B259" s="2304">
        <v>0.85329999999999995</v>
      </c>
      <c r="C259" s="2304">
        <v>0.85329999999999995</v>
      </c>
      <c r="D259" s="2304">
        <v>0.82150000000000001</v>
      </c>
      <c r="E259" s="2304">
        <v>0.82150000000000001</v>
      </c>
      <c r="F259" s="2304">
        <v>0.82150000000000001</v>
      </c>
      <c r="G259" s="2304">
        <v>0.82150000000000001</v>
      </c>
      <c r="H259" s="2304">
        <v>0.82150000000000001</v>
      </c>
      <c r="I259" s="2304">
        <v>0.64890000000000003</v>
      </c>
      <c r="J259" s="2304">
        <v>0.64890000000000003</v>
      </c>
      <c r="K259" s="2304">
        <v>0.64890000000000003</v>
      </c>
      <c r="L259" s="2304">
        <v>0.64890000000000003</v>
      </c>
      <c r="M259" s="2305">
        <v>0.64890000000000003</v>
      </c>
    </row>
    <row r="260" spans="1:13">
      <c r="A260" s="2303">
        <v>8.3000000000000007</v>
      </c>
      <c r="B260" s="2304">
        <v>0.85189999999999999</v>
      </c>
      <c r="C260" s="2304">
        <v>0.85189999999999999</v>
      </c>
      <c r="D260" s="2304">
        <v>0.81969999999999998</v>
      </c>
      <c r="E260" s="2304">
        <v>0.81969999999999998</v>
      </c>
      <c r="F260" s="2304">
        <v>0.81969999999999998</v>
      </c>
      <c r="G260" s="2304">
        <v>0.81969999999999998</v>
      </c>
      <c r="H260" s="2304">
        <v>0.81969999999999998</v>
      </c>
      <c r="I260" s="2304">
        <v>0.64659999999999995</v>
      </c>
      <c r="J260" s="2304">
        <v>0.64659999999999995</v>
      </c>
      <c r="K260" s="2304">
        <v>0.64659999999999995</v>
      </c>
      <c r="L260" s="2304">
        <v>0.64659999999999995</v>
      </c>
      <c r="M260" s="2305">
        <v>0.64659999999999995</v>
      </c>
    </row>
    <row r="261" spans="1:13">
      <c r="A261" s="2303">
        <v>8.4</v>
      </c>
      <c r="B261" s="2304">
        <v>0.85050000000000003</v>
      </c>
      <c r="C261" s="2304">
        <v>0.85050000000000003</v>
      </c>
      <c r="D261" s="2304">
        <v>0.81789999999999996</v>
      </c>
      <c r="E261" s="2304">
        <v>0.81789999999999996</v>
      </c>
      <c r="F261" s="2304">
        <v>0.81789999999999996</v>
      </c>
      <c r="G261" s="2304">
        <v>0.81789999999999996</v>
      </c>
      <c r="H261" s="2304">
        <v>0.81789999999999996</v>
      </c>
      <c r="I261" s="2304">
        <v>0.64429999999999998</v>
      </c>
      <c r="J261" s="2304">
        <v>0.64429999999999998</v>
      </c>
      <c r="K261" s="2304">
        <v>0.64429999999999998</v>
      </c>
      <c r="L261" s="2304">
        <v>0.64429999999999998</v>
      </c>
      <c r="M261" s="2305">
        <v>0.64429999999999998</v>
      </c>
    </row>
    <row r="262" spans="1:13">
      <c r="A262" s="2303">
        <v>8.5</v>
      </c>
      <c r="B262" s="2304">
        <v>0.84909999999999997</v>
      </c>
      <c r="C262" s="2304">
        <v>0.84909999999999997</v>
      </c>
      <c r="D262" s="2304">
        <v>0.81610000000000005</v>
      </c>
      <c r="E262" s="2304">
        <v>0.81610000000000005</v>
      </c>
      <c r="F262" s="2304">
        <v>0.81610000000000005</v>
      </c>
      <c r="G262" s="2304">
        <v>0.81610000000000005</v>
      </c>
      <c r="H262" s="2304">
        <v>0.81610000000000005</v>
      </c>
      <c r="I262" s="2304">
        <v>0.6421</v>
      </c>
      <c r="J262" s="2304">
        <v>0.6421</v>
      </c>
      <c r="K262" s="2304">
        <v>0.6421</v>
      </c>
      <c r="L262" s="2304">
        <v>0.6421</v>
      </c>
      <c r="M262" s="2305">
        <v>0.6421</v>
      </c>
    </row>
    <row r="263" spans="1:13">
      <c r="A263" s="2303">
        <v>8.6</v>
      </c>
      <c r="B263" s="2304">
        <v>0.84770000000000001</v>
      </c>
      <c r="C263" s="2304">
        <v>0.84770000000000001</v>
      </c>
      <c r="D263" s="2304">
        <v>0.81440000000000001</v>
      </c>
      <c r="E263" s="2304">
        <v>0.81440000000000001</v>
      </c>
      <c r="F263" s="2304">
        <v>0.81440000000000001</v>
      </c>
      <c r="G263" s="2304">
        <v>0.81440000000000001</v>
      </c>
      <c r="H263" s="2304">
        <v>0.81440000000000001</v>
      </c>
      <c r="I263" s="2304">
        <v>0.63990000000000002</v>
      </c>
      <c r="J263" s="2304">
        <v>0.63990000000000002</v>
      </c>
      <c r="K263" s="2304">
        <v>0.63990000000000002</v>
      </c>
      <c r="L263" s="2304">
        <v>0.63990000000000002</v>
      </c>
      <c r="M263" s="2305">
        <v>0.63990000000000002</v>
      </c>
    </row>
    <row r="264" spans="1:13">
      <c r="A264" s="2303">
        <v>8.6999999999999993</v>
      </c>
      <c r="B264" s="2304">
        <v>0.84630000000000005</v>
      </c>
      <c r="C264" s="2304">
        <v>0.84630000000000005</v>
      </c>
      <c r="D264" s="2304">
        <v>0.81269999999999998</v>
      </c>
      <c r="E264" s="2304">
        <v>0.81269999999999998</v>
      </c>
      <c r="F264" s="2304">
        <v>0.81269999999999998</v>
      </c>
      <c r="G264" s="2304">
        <v>0.81269999999999998</v>
      </c>
      <c r="H264" s="2304">
        <v>0.81269999999999998</v>
      </c>
      <c r="I264" s="2304">
        <v>0.63770000000000004</v>
      </c>
      <c r="J264" s="2304">
        <v>0.63770000000000004</v>
      </c>
      <c r="K264" s="2304">
        <v>0.63770000000000004</v>
      </c>
      <c r="L264" s="2304">
        <v>0.63770000000000004</v>
      </c>
      <c r="M264" s="2305">
        <v>0.63770000000000004</v>
      </c>
    </row>
    <row r="265" spans="1:13">
      <c r="A265" s="2303">
        <v>8.8000000000000007</v>
      </c>
      <c r="B265" s="2304">
        <v>0.84489999999999998</v>
      </c>
      <c r="C265" s="2304">
        <v>0.84489999999999998</v>
      </c>
      <c r="D265" s="2304">
        <v>0.81100000000000005</v>
      </c>
      <c r="E265" s="2304">
        <v>0.81100000000000005</v>
      </c>
      <c r="F265" s="2304">
        <v>0.81100000000000005</v>
      </c>
      <c r="G265" s="2304">
        <v>0.81100000000000005</v>
      </c>
      <c r="H265" s="2304">
        <v>0.81100000000000005</v>
      </c>
      <c r="I265" s="2304">
        <v>0.63549999999999995</v>
      </c>
      <c r="J265" s="2304">
        <v>0.63549999999999995</v>
      </c>
      <c r="K265" s="2304">
        <v>0.63549999999999995</v>
      </c>
      <c r="L265" s="2304">
        <v>0.63549999999999995</v>
      </c>
      <c r="M265" s="2305">
        <v>0.63549999999999995</v>
      </c>
    </row>
    <row r="266" spans="1:13">
      <c r="A266" s="2303">
        <v>8.9</v>
      </c>
      <c r="B266" s="2304">
        <v>0.84360000000000002</v>
      </c>
      <c r="C266" s="2304">
        <v>0.84360000000000002</v>
      </c>
      <c r="D266" s="2304">
        <v>0.80930000000000002</v>
      </c>
      <c r="E266" s="2304">
        <v>0.80930000000000002</v>
      </c>
      <c r="F266" s="2304">
        <v>0.80930000000000002</v>
      </c>
      <c r="G266" s="2304">
        <v>0.80930000000000002</v>
      </c>
      <c r="H266" s="2304">
        <v>0.80930000000000002</v>
      </c>
      <c r="I266" s="2304">
        <v>0.63339999999999996</v>
      </c>
      <c r="J266" s="2304">
        <v>0.63339999999999996</v>
      </c>
      <c r="K266" s="2304">
        <v>0.63339999999999996</v>
      </c>
      <c r="L266" s="2304">
        <v>0.63339999999999996</v>
      </c>
      <c r="M266" s="2305">
        <v>0.63339999999999996</v>
      </c>
    </row>
    <row r="267" spans="1:13">
      <c r="A267" s="2306">
        <v>9</v>
      </c>
      <c r="B267" s="2304">
        <v>0.84230000000000005</v>
      </c>
      <c r="C267" s="2304">
        <v>0.84230000000000005</v>
      </c>
      <c r="D267" s="2304">
        <v>0.80759999999999998</v>
      </c>
      <c r="E267" s="2304">
        <v>0.80759999999999998</v>
      </c>
      <c r="F267" s="2304">
        <v>0.80759999999999998</v>
      </c>
      <c r="G267" s="2304">
        <v>0.80759999999999998</v>
      </c>
      <c r="H267" s="2304">
        <v>0.80759999999999998</v>
      </c>
      <c r="I267" s="2304">
        <v>0.63129999999999997</v>
      </c>
      <c r="J267" s="2304">
        <v>0.63129999999999997</v>
      </c>
      <c r="K267" s="2304">
        <v>0.63129999999999997</v>
      </c>
      <c r="L267" s="2304">
        <v>0.63129999999999997</v>
      </c>
      <c r="M267" s="2305">
        <v>0.63129999999999997</v>
      </c>
    </row>
    <row r="268" spans="1:13">
      <c r="A268" s="2306">
        <v>9.1</v>
      </c>
      <c r="B268" s="2304">
        <v>0.84099999999999997</v>
      </c>
      <c r="C268" s="2304">
        <v>0.84099999999999997</v>
      </c>
      <c r="D268" s="2304">
        <v>0.80600000000000005</v>
      </c>
      <c r="E268" s="2304">
        <v>0.80600000000000005</v>
      </c>
      <c r="F268" s="2304">
        <v>0.80600000000000005</v>
      </c>
      <c r="G268" s="2304">
        <v>0.80600000000000005</v>
      </c>
      <c r="H268" s="2304">
        <v>0.80600000000000005</v>
      </c>
      <c r="I268" s="2304">
        <v>0.62919999999999998</v>
      </c>
      <c r="J268" s="2304">
        <v>0.62919999999999998</v>
      </c>
      <c r="K268" s="2304">
        <v>0.62919999999999998</v>
      </c>
      <c r="L268" s="2304">
        <v>0.62919999999999998</v>
      </c>
      <c r="M268" s="2305">
        <v>0.62919999999999998</v>
      </c>
    </row>
    <row r="269" spans="1:13">
      <c r="A269" s="2306">
        <v>9.1999999999999993</v>
      </c>
      <c r="B269" s="2304">
        <v>0.8397</v>
      </c>
      <c r="C269" s="2304">
        <v>0.8397</v>
      </c>
      <c r="D269" s="2304">
        <v>0.8044</v>
      </c>
      <c r="E269" s="2304">
        <v>0.8044</v>
      </c>
      <c r="F269" s="2304">
        <v>0.8044</v>
      </c>
      <c r="G269" s="2304">
        <v>0.8044</v>
      </c>
      <c r="H269" s="2304">
        <v>0.8044</v>
      </c>
      <c r="I269" s="2304">
        <v>0.62709999999999999</v>
      </c>
      <c r="J269" s="2304">
        <v>0.62709999999999999</v>
      </c>
      <c r="K269" s="2304">
        <v>0.62709999999999999</v>
      </c>
      <c r="L269" s="2304">
        <v>0.62709999999999999</v>
      </c>
      <c r="M269" s="2305">
        <v>0.62709999999999999</v>
      </c>
    </row>
    <row r="270" spans="1:13">
      <c r="A270" s="2306">
        <v>9.3000000000000007</v>
      </c>
      <c r="B270" s="2304">
        <v>0.83840000000000003</v>
      </c>
      <c r="C270" s="2304">
        <v>0.83840000000000003</v>
      </c>
      <c r="D270" s="2304">
        <v>0.80279999999999996</v>
      </c>
      <c r="E270" s="2304">
        <v>0.80279999999999996</v>
      </c>
      <c r="F270" s="2304">
        <v>0.80279999999999996</v>
      </c>
      <c r="G270" s="2304">
        <v>0.80279999999999996</v>
      </c>
      <c r="H270" s="2304">
        <v>0.80279999999999996</v>
      </c>
      <c r="I270" s="2304">
        <v>0.62509999999999999</v>
      </c>
      <c r="J270" s="2304">
        <v>0.62509999999999999</v>
      </c>
      <c r="K270" s="2304">
        <v>0.62509999999999999</v>
      </c>
      <c r="L270" s="2304">
        <v>0.62509999999999999</v>
      </c>
      <c r="M270" s="2305">
        <v>0.62509999999999999</v>
      </c>
    </row>
    <row r="271" spans="1:13">
      <c r="A271" s="2306">
        <v>9.4</v>
      </c>
      <c r="B271" s="2304">
        <v>0.83709999999999996</v>
      </c>
      <c r="C271" s="2304">
        <v>0.83709999999999996</v>
      </c>
      <c r="D271" s="2304">
        <v>0.80120000000000002</v>
      </c>
      <c r="E271" s="2304">
        <v>0.80120000000000002</v>
      </c>
      <c r="F271" s="2304">
        <v>0.80120000000000002</v>
      </c>
      <c r="G271" s="2304">
        <v>0.80120000000000002</v>
      </c>
      <c r="H271" s="2304">
        <v>0.80120000000000002</v>
      </c>
      <c r="I271" s="2304">
        <v>0.62309999999999999</v>
      </c>
      <c r="J271" s="2304">
        <v>0.62309999999999999</v>
      </c>
      <c r="K271" s="2304">
        <v>0.62309999999999999</v>
      </c>
      <c r="L271" s="2304">
        <v>0.62309999999999999</v>
      </c>
      <c r="M271" s="2305">
        <v>0.62309999999999999</v>
      </c>
    </row>
    <row r="272" spans="1:13">
      <c r="A272" s="2306">
        <v>9.5</v>
      </c>
      <c r="B272" s="2304">
        <v>0.83579999999999999</v>
      </c>
      <c r="C272" s="2304">
        <v>0.83579999999999999</v>
      </c>
      <c r="D272" s="2304">
        <v>0.79959999999999998</v>
      </c>
      <c r="E272" s="2304">
        <v>0.79959999999999998</v>
      </c>
      <c r="F272" s="2304">
        <v>0.79959999999999998</v>
      </c>
      <c r="G272" s="2304">
        <v>0.79959999999999998</v>
      </c>
      <c r="H272" s="2304">
        <v>0.79959999999999998</v>
      </c>
      <c r="I272" s="2304">
        <v>0.62109999999999999</v>
      </c>
      <c r="J272" s="2304">
        <v>0.62109999999999999</v>
      </c>
      <c r="K272" s="2304">
        <v>0.62109999999999999</v>
      </c>
      <c r="L272" s="2304">
        <v>0.62109999999999999</v>
      </c>
      <c r="M272" s="2305">
        <v>0.62109999999999999</v>
      </c>
    </row>
    <row r="273" spans="1:21">
      <c r="A273" s="2306">
        <v>9.6</v>
      </c>
      <c r="B273" s="2304">
        <v>0.83460000000000001</v>
      </c>
      <c r="C273" s="2304">
        <v>0.83460000000000001</v>
      </c>
      <c r="D273" s="2304">
        <v>0.79800000000000004</v>
      </c>
      <c r="E273" s="2304">
        <v>0.79800000000000004</v>
      </c>
      <c r="F273" s="2304">
        <v>0.79800000000000004</v>
      </c>
      <c r="G273" s="2304">
        <v>0.79800000000000004</v>
      </c>
      <c r="H273" s="2304">
        <v>0.79800000000000004</v>
      </c>
      <c r="I273" s="2304">
        <v>0.61909999999999998</v>
      </c>
      <c r="J273" s="2304">
        <v>0.61909999999999998</v>
      </c>
      <c r="K273" s="2304">
        <v>0.61909999999999998</v>
      </c>
      <c r="L273" s="2304">
        <v>0.61909999999999998</v>
      </c>
      <c r="M273" s="2305">
        <v>0.61909999999999998</v>
      </c>
    </row>
    <row r="274" spans="1:21">
      <c r="A274" s="2306">
        <v>9.6999999999999993</v>
      </c>
      <c r="B274" s="2304">
        <v>0.83340000000000003</v>
      </c>
      <c r="C274" s="2304">
        <v>0.83340000000000003</v>
      </c>
      <c r="D274" s="2304">
        <v>0.79649999999999999</v>
      </c>
      <c r="E274" s="2304">
        <v>0.79649999999999999</v>
      </c>
      <c r="F274" s="2304">
        <v>0.79649999999999999</v>
      </c>
      <c r="G274" s="2304">
        <v>0.79649999999999999</v>
      </c>
      <c r="H274" s="2304">
        <v>0.79649999999999999</v>
      </c>
      <c r="I274" s="2304">
        <v>0.61719999999999997</v>
      </c>
      <c r="J274" s="2304">
        <v>0.61719999999999997</v>
      </c>
      <c r="K274" s="2304">
        <v>0.61719999999999997</v>
      </c>
      <c r="L274" s="2304">
        <v>0.61719999999999997</v>
      </c>
      <c r="M274" s="2305">
        <v>0.61719999999999997</v>
      </c>
    </row>
    <row r="275" spans="1:21">
      <c r="A275" s="2306">
        <v>9.8000000000000007</v>
      </c>
      <c r="B275" s="2304">
        <v>0.83220000000000005</v>
      </c>
      <c r="C275" s="2304">
        <v>0.83220000000000005</v>
      </c>
      <c r="D275" s="2304">
        <v>0.79500000000000004</v>
      </c>
      <c r="E275" s="2304">
        <v>0.79500000000000004</v>
      </c>
      <c r="F275" s="2304">
        <v>0.79500000000000004</v>
      </c>
      <c r="G275" s="2304">
        <v>0.79500000000000004</v>
      </c>
      <c r="H275" s="2304">
        <v>0.79500000000000004</v>
      </c>
      <c r="I275" s="2304">
        <v>0.61529999999999996</v>
      </c>
      <c r="J275" s="2304">
        <v>0.61529999999999996</v>
      </c>
      <c r="K275" s="2304">
        <v>0.61529999999999996</v>
      </c>
      <c r="L275" s="2304">
        <v>0.61529999999999996</v>
      </c>
      <c r="M275" s="2305">
        <v>0.61529999999999996</v>
      </c>
    </row>
    <row r="276" spans="1:21" ht="14.25" thickBot="1">
      <c r="A276" s="2307">
        <v>9.9</v>
      </c>
      <c r="B276" s="2308">
        <v>0.83099999999999996</v>
      </c>
      <c r="C276" s="2308">
        <v>0.83099999999999996</v>
      </c>
      <c r="D276" s="2308">
        <v>0.79349999999999998</v>
      </c>
      <c r="E276" s="2308">
        <v>0.79349999999999998</v>
      </c>
      <c r="F276" s="2308">
        <v>0.79349999999999998</v>
      </c>
      <c r="G276" s="2308">
        <v>0.79349999999999998</v>
      </c>
      <c r="H276" s="2308">
        <v>0.79349999999999998</v>
      </c>
      <c r="I276" s="2308">
        <v>0.61339999999999995</v>
      </c>
      <c r="J276" s="2308">
        <v>0.61339999999999995</v>
      </c>
      <c r="K276" s="2308">
        <v>0.61339999999999995</v>
      </c>
      <c r="L276" s="2308">
        <v>0.61339999999999995</v>
      </c>
      <c r="M276" s="2309">
        <v>0.61339999999999995</v>
      </c>
    </row>
    <row r="277" spans="1:21" ht="15" thickBot="1">
      <c r="A277" s="2297" t="s">
        <v>2687</v>
      </c>
      <c r="B277" s="2297"/>
      <c r="C277" s="2297"/>
      <c r="D277" s="2297"/>
      <c r="E277" s="2297"/>
      <c r="F277" s="2297"/>
      <c r="G277" s="2297"/>
      <c r="H277" s="2297"/>
      <c r="I277" s="2297"/>
      <c r="J277" s="2297"/>
      <c r="K277" s="2297"/>
      <c r="L277" s="2297"/>
      <c r="M277" s="2297"/>
    </row>
    <row r="278" spans="1:21">
      <c r="A278" s="2298" t="s">
        <v>2684</v>
      </c>
      <c r="B278" s="2299" t="s">
        <v>2480</v>
      </c>
      <c r="C278" s="2299" t="s">
        <v>2481</v>
      </c>
      <c r="D278" s="2299" t="s">
        <v>2482</v>
      </c>
      <c r="E278" s="2299" t="s">
        <v>2483</v>
      </c>
      <c r="F278" s="2299" t="s">
        <v>2484</v>
      </c>
      <c r="G278" s="2299" t="s">
        <v>2485</v>
      </c>
      <c r="H278" s="2300" t="s">
        <v>2486</v>
      </c>
      <c r="I278" s="2300" t="s">
        <v>2487</v>
      </c>
      <c r="J278" s="2301" t="s">
        <v>2488</v>
      </c>
      <c r="K278" s="2301" t="s">
        <v>2489</v>
      </c>
      <c r="L278" s="2301" t="s">
        <v>2490</v>
      </c>
      <c r="M278" s="2302" t="s">
        <v>2491</v>
      </c>
      <c r="Q278" s="2312" t="s">
        <v>2689</v>
      </c>
      <c r="R278" s="2312" t="s">
        <v>2690</v>
      </c>
      <c r="S278" s="2312" t="s">
        <v>2693</v>
      </c>
      <c r="T278" s="2312" t="s">
        <v>2694</v>
      </c>
      <c r="U278" s="2312" t="s">
        <v>2692</v>
      </c>
    </row>
    <row r="279" spans="1:21">
      <c r="A279" s="2303">
        <v>1</v>
      </c>
      <c r="B279" s="2304">
        <v>1.1055999999999999</v>
      </c>
      <c r="C279" s="2304">
        <v>1.1055999999999999</v>
      </c>
      <c r="D279" s="2304">
        <v>1.1220000000000001</v>
      </c>
      <c r="E279" s="2304">
        <v>1.1220000000000001</v>
      </c>
      <c r="F279" s="2304">
        <v>1.1220000000000001</v>
      </c>
      <c r="G279" s="2304">
        <v>1.0583</v>
      </c>
      <c r="H279" s="2304">
        <v>1.0583</v>
      </c>
      <c r="I279" s="2304">
        <v>1</v>
      </c>
      <c r="J279" s="2304">
        <v>1</v>
      </c>
      <c r="K279" s="2304">
        <v>1</v>
      </c>
      <c r="L279" s="2304">
        <v>1</v>
      </c>
      <c r="M279" s="2305">
        <v>1</v>
      </c>
      <c r="Q279" s="2312">
        <v>10</v>
      </c>
      <c r="R279" s="2312">
        <f>ROUND(0.7836-0.012*Q279,4)</f>
        <v>0.66359999999999997</v>
      </c>
      <c r="S279" s="2312">
        <f>ROUND(0.753-0.015*Q279,4)</f>
        <v>0.60299999999999998</v>
      </c>
      <c r="T279" s="2312">
        <f>ROUND(0.6612-0.018*Q279,4)</f>
        <v>0.48120000000000002</v>
      </c>
      <c r="U279" s="2312">
        <f>ROUND(0.5905-0.019*R279,4)</f>
        <v>0.57789999999999997</v>
      </c>
    </row>
    <row r="280" spans="1:21">
      <c r="A280" s="2303">
        <v>1.1000000000000001</v>
      </c>
      <c r="B280" s="2304">
        <v>1.0820000000000001</v>
      </c>
      <c r="C280" s="2304">
        <v>1.0820000000000001</v>
      </c>
      <c r="D280" s="2304">
        <v>1.0948</v>
      </c>
      <c r="E280" s="2304">
        <v>1.0948</v>
      </c>
      <c r="F280" s="2304">
        <v>1.0948</v>
      </c>
      <c r="G280" s="2304">
        <v>1.0284</v>
      </c>
      <c r="H280" s="2304">
        <v>1.0284</v>
      </c>
      <c r="I280" s="2304">
        <v>0.96860000000000002</v>
      </c>
      <c r="J280" s="2304">
        <v>0.96860000000000002</v>
      </c>
      <c r="K280" s="2304">
        <v>0.96860000000000002</v>
      </c>
      <c r="L280" s="2304">
        <v>0.96860000000000002</v>
      </c>
      <c r="M280" s="2305">
        <v>0.96860000000000002</v>
      </c>
    </row>
    <row r="281" spans="1:21">
      <c r="A281" s="2303">
        <v>1.2</v>
      </c>
      <c r="B281" s="2304">
        <v>1.0598000000000001</v>
      </c>
      <c r="C281" s="2304">
        <v>1.0598000000000001</v>
      </c>
      <c r="D281" s="2304">
        <v>1.0690999999999999</v>
      </c>
      <c r="E281" s="2304">
        <v>1.0690999999999999</v>
      </c>
      <c r="F281" s="2304">
        <v>1.0690999999999999</v>
      </c>
      <c r="G281" s="2304">
        <v>1</v>
      </c>
      <c r="H281" s="2304">
        <v>1</v>
      </c>
      <c r="I281" s="2304">
        <v>0.93879999999999997</v>
      </c>
      <c r="J281" s="2304">
        <v>0.93879999999999997</v>
      </c>
      <c r="K281" s="2304">
        <v>0.93879999999999997</v>
      </c>
      <c r="L281" s="2304">
        <v>0.93879999999999997</v>
      </c>
      <c r="M281" s="2305">
        <v>0.93879999999999997</v>
      </c>
    </row>
    <row r="282" spans="1:21">
      <c r="A282" s="2303">
        <v>1.3</v>
      </c>
      <c r="B282" s="2304">
        <v>1.0387</v>
      </c>
      <c r="C282" s="2304">
        <v>1.0387</v>
      </c>
      <c r="D282" s="2304">
        <v>1.0447</v>
      </c>
      <c r="E282" s="2304">
        <v>1.0447</v>
      </c>
      <c r="F282" s="2304">
        <v>1.0447</v>
      </c>
      <c r="G282" s="2304">
        <v>0.97319999999999995</v>
      </c>
      <c r="H282" s="2304">
        <v>0.97319999999999995</v>
      </c>
      <c r="I282" s="2304">
        <v>0.91069999999999995</v>
      </c>
      <c r="J282" s="2304">
        <v>0.91069999999999995</v>
      </c>
      <c r="K282" s="2304">
        <v>0.91069999999999995</v>
      </c>
      <c r="L282" s="2304">
        <v>0.91069999999999995</v>
      </c>
      <c r="M282" s="2305">
        <v>0.91069999999999995</v>
      </c>
    </row>
    <row r="283" spans="1:21">
      <c r="A283" s="2303">
        <v>1.4</v>
      </c>
      <c r="B283" s="2304">
        <v>1.0187999999999999</v>
      </c>
      <c r="C283" s="2304">
        <v>1.0187999999999999</v>
      </c>
      <c r="D283" s="2304">
        <v>1.0217000000000001</v>
      </c>
      <c r="E283" s="2304">
        <v>1.0217000000000001</v>
      </c>
      <c r="F283" s="2304">
        <v>1.0217000000000001</v>
      </c>
      <c r="G283" s="2304">
        <v>0.94779999999999998</v>
      </c>
      <c r="H283" s="2304">
        <v>0.94779999999999998</v>
      </c>
      <c r="I283" s="2304">
        <v>0.8841</v>
      </c>
      <c r="J283" s="2304">
        <v>0.8841</v>
      </c>
      <c r="K283" s="2304">
        <v>0.8841</v>
      </c>
      <c r="L283" s="2304">
        <v>0.8841</v>
      </c>
      <c r="M283" s="2305">
        <v>0.8841</v>
      </c>
    </row>
    <row r="284" spans="1:21">
      <c r="A284" s="2303">
        <v>1.5</v>
      </c>
      <c r="B284" s="2304">
        <v>1</v>
      </c>
      <c r="C284" s="2304">
        <v>1</v>
      </c>
      <c r="D284" s="2304">
        <v>1</v>
      </c>
      <c r="E284" s="2304">
        <v>1</v>
      </c>
      <c r="F284" s="2304">
        <v>1</v>
      </c>
      <c r="G284" s="2304">
        <v>0.92379999999999995</v>
      </c>
      <c r="H284" s="2304">
        <v>0.92379999999999995</v>
      </c>
      <c r="I284" s="2304">
        <v>0.8589</v>
      </c>
      <c r="J284" s="2304">
        <v>0.8589</v>
      </c>
      <c r="K284" s="2304">
        <v>0.8589</v>
      </c>
      <c r="L284" s="2304">
        <v>0.8589</v>
      </c>
      <c r="M284" s="2305">
        <v>0.8589</v>
      </c>
    </row>
    <row r="285" spans="1:21">
      <c r="A285" s="2303">
        <v>1.6</v>
      </c>
      <c r="B285" s="2304">
        <v>0.98229999999999995</v>
      </c>
      <c r="C285" s="2304">
        <v>0.98229999999999995</v>
      </c>
      <c r="D285" s="2304">
        <v>0.97950000000000004</v>
      </c>
      <c r="E285" s="2304">
        <v>0.97950000000000004</v>
      </c>
      <c r="F285" s="2304">
        <v>0.97950000000000004</v>
      </c>
      <c r="G285" s="2304">
        <v>0.9012</v>
      </c>
      <c r="H285" s="2304">
        <v>0.9012</v>
      </c>
      <c r="I285" s="2304">
        <v>0.83509999999999995</v>
      </c>
      <c r="J285" s="2304">
        <v>0.83509999999999995</v>
      </c>
      <c r="K285" s="2304">
        <v>0.83509999999999995</v>
      </c>
      <c r="L285" s="2304">
        <v>0.83509999999999995</v>
      </c>
      <c r="M285" s="2305">
        <v>0.83509999999999995</v>
      </c>
    </row>
    <row r="286" spans="1:21">
      <c r="A286" s="2303">
        <v>1.7</v>
      </c>
      <c r="B286" s="2304">
        <v>0.96550000000000002</v>
      </c>
      <c r="C286" s="2304">
        <v>0.96550000000000002</v>
      </c>
      <c r="D286" s="2304">
        <v>0.96009999999999995</v>
      </c>
      <c r="E286" s="2304">
        <v>0.96009999999999995</v>
      </c>
      <c r="F286" s="2304">
        <v>0.96009999999999995</v>
      </c>
      <c r="G286" s="2304">
        <v>0.87980000000000003</v>
      </c>
      <c r="H286" s="2304">
        <v>0.87980000000000003</v>
      </c>
      <c r="I286" s="2304">
        <v>0.81269999999999998</v>
      </c>
      <c r="J286" s="2304">
        <v>0.81269999999999998</v>
      </c>
      <c r="K286" s="2304">
        <v>0.81269999999999998</v>
      </c>
      <c r="L286" s="2304">
        <v>0.81269999999999998</v>
      </c>
      <c r="M286" s="2305">
        <v>0.81269999999999998</v>
      </c>
    </row>
    <row r="287" spans="1:21">
      <c r="A287" s="2303">
        <v>1.8</v>
      </c>
      <c r="B287" s="2304">
        <v>0.94969999999999999</v>
      </c>
      <c r="C287" s="2304">
        <v>0.94969999999999999</v>
      </c>
      <c r="D287" s="2304">
        <v>0.94189999999999996</v>
      </c>
      <c r="E287" s="2304">
        <v>0.94189999999999996</v>
      </c>
      <c r="F287" s="2304">
        <v>0.94189999999999996</v>
      </c>
      <c r="G287" s="2304">
        <v>0.85960000000000003</v>
      </c>
      <c r="H287" s="2304">
        <v>0.85960000000000003</v>
      </c>
      <c r="I287" s="2304">
        <v>0.79149999999999998</v>
      </c>
      <c r="J287" s="2304">
        <v>0.79149999999999998</v>
      </c>
      <c r="K287" s="2304">
        <v>0.79149999999999998</v>
      </c>
      <c r="L287" s="2304">
        <v>0.79149999999999998</v>
      </c>
      <c r="M287" s="2305">
        <v>0.79149999999999998</v>
      </c>
    </row>
    <row r="288" spans="1:21">
      <c r="A288" s="2303">
        <v>1.9</v>
      </c>
      <c r="B288" s="2304">
        <v>0.93479999999999996</v>
      </c>
      <c r="C288" s="2304">
        <v>0.93479999999999996</v>
      </c>
      <c r="D288" s="2304">
        <v>0.92459999999999998</v>
      </c>
      <c r="E288" s="2304">
        <v>0.92459999999999998</v>
      </c>
      <c r="F288" s="2304">
        <v>0.92459999999999998</v>
      </c>
      <c r="G288" s="2304">
        <v>0.84060000000000001</v>
      </c>
      <c r="H288" s="2304">
        <v>0.84060000000000001</v>
      </c>
      <c r="I288" s="2304">
        <v>0.77149999999999996</v>
      </c>
      <c r="J288" s="2304">
        <v>0.77149999999999996</v>
      </c>
      <c r="K288" s="2304">
        <v>0.77149999999999996</v>
      </c>
      <c r="L288" s="2304">
        <v>0.77149999999999996</v>
      </c>
      <c r="M288" s="2305">
        <v>0.77149999999999996</v>
      </c>
    </row>
    <row r="289" spans="1:13">
      <c r="A289" s="2303">
        <v>2</v>
      </c>
      <c r="B289" s="2304">
        <v>0.92079999999999995</v>
      </c>
      <c r="C289" s="2304">
        <v>0.92079999999999995</v>
      </c>
      <c r="D289" s="2304">
        <v>0.90839999999999999</v>
      </c>
      <c r="E289" s="2304">
        <v>0.90839999999999999</v>
      </c>
      <c r="F289" s="2304">
        <v>0.90839999999999999</v>
      </c>
      <c r="G289" s="2304">
        <v>0.82269999999999999</v>
      </c>
      <c r="H289" s="2304">
        <v>0.82269999999999999</v>
      </c>
      <c r="I289" s="2304">
        <v>0.75270000000000004</v>
      </c>
      <c r="J289" s="2304">
        <v>0.75270000000000004</v>
      </c>
      <c r="K289" s="2304">
        <v>0.75270000000000004</v>
      </c>
      <c r="L289" s="2304">
        <v>0.75270000000000004</v>
      </c>
      <c r="M289" s="2305">
        <v>0.75270000000000004</v>
      </c>
    </row>
    <row r="290" spans="1:13">
      <c r="A290" s="2306">
        <v>2.1</v>
      </c>
      <c r="B290" s="2304">
        <v>0.90759999999999996</v>
      </c>
      <c r="C290" s="2304">
        <v>0.90759999999999996</v>
      </c>
      <c r="D290" s="2304">
        <v>0.89319999999999999</v>
      </c>
      <c r="E290" s="2304">
        <v>0.89319999999999999</v>
      </c>
      <c r="F290" s="2304">
        <v>0.89319999999999999</v>
      </c>
      <c r="G290" s="2304">
        <v>0.80589999999999995</v>
      </c>
      <c r="H290" s="2304">
        <v>0.80589999999999995</v>
      </c>
      <c r="I290" s="2304">
        <v>0.73499999999999999</v>
      </c>
      <c r="J290" s="2304">
        <v>0.73499999999999999</v>
      </c>
      <c r="K290" s="2304">
        <v>0.73499999999999999</v>
      </c>
      <c r="L290" s="2304">
        <v>0.73499999999999999</v>
      </c>
      <c r="M290" s="2305">
        <v>0.73499999999999999</v>
      </c>
    </row>
    <row r="291" spans="1:13">
      <c r="A291" s="2306">
        <v>2.2000000000000002</v>
      </c>
      <c r="B291" s="2304">
        <v>0.8952</v>
      </c>
      <c r="C291" s="2304">
        <v>0.8952</v>
      </c>
      <c r="D291" s="2304">
        <v>0.87880000000000003</v>
      </c>
      <c r="E291" s="2304">
        <v>0.87880000000000003</v>
      </c>
      <c r="F291" s="2304">
        <v>0.87880000000000003</v>
      </c>
      <c r="G291" s="2304">
        <v>0.79</v>
      </c>
      <c r="H291" s="2304">
        <v>0.79</v>
      </c>
      <c r="I291" s="2304">
        <v>0.71840000000000004</v>
      </c>
      <c r="J291" s="2304">
        <v>0.71840000000000004</v>
      </c>
      <c r="K291" s="2304">
        <v>0.71840000000000004</v>
      </c>
      <c r="L291" s="2304">
        <v>0.71840000000000004</v>
      </c>
      <c r="M291" s="2305">
        <v>0.71840000000000004</v>
      </c>
    </row>
    <row r="292" spans="1:13">
      <c r="A292" s="2306">
        <v>2.2999999999999998</v>
      </c>
      <c r="B292" s="2304">
        <v>0.88360000000000005</v>
      </c>
      <c r="C292" s="2304">
        <v>0.88360000000000005</v>
      </c>
      <c r="D292" s="2304">
        <v>0.86529999999999996</v>
      </c>
      <c r="E292" s="2304">
        <v>0.86529999999999996</v>
      </c>
      <c r="F292" s="2304">
        <v>0.86529999999999996</v>
      </c>
      <c r="G292" s="2304">
        <v>0.77510000000000001</v>
      </c>
      <c r="H292" s="2304">
        <v>0.77510000000000001</v>
      </c>
      <c r="I292" s="2304">
        <v>0.70269999999999999</v>
      </c>
      <c r="J292" s="2304">
        <v>0.70269999999999999</v>
      </c>
      <c r="K292" s="2304">
        <v>0.70269999999999999</v>
      </c>
      <c r="L292" s="2304">
        <v>0.70269999999999999</v>
      </c>
      <c r="M292" s="2305">
        <v>0.70269999999999999</v>
      </c>
    </row>
    <row r="293" spans="1:13">
      <c r="A293" s="2306">
        <v>2.4</v>
      </c>
      <c r="B293" s="2304">
        <v>0.87260000000000004</v>
      </c>
      <c r="C293" s="2304">
        <v>0.87260000000000004</v>
      </c>
      <c r="D293" s="2304">
        <v>0.85260000000000002</v>
      </c>
      <c r="E293" s="2304">
        <v>0.85260000000000002</v>
      </c>
      <c r="F293" s="2304">
        <v>0.85260000000000002</v>
      </c>
      <c r="G293" s="2304">
        <v>0.76100000000000001</v>
      </c>
      <c r="H293" s="2304">
        <v>0.76100000000000001</v>
      </c>
      <c r="I293" s="2304">
        <v>0.68799999999999994</v>
      </c>
      <c r="J293" s="2304">
        <v>0.68799999999999994</v>
      </c>
      <c r="K293" s="2304">
        <v>0.68799999999999994</v>
      </c>
      <c r="L293" s="2304">
        <v>0.68799999999999994</v>
      </c>
      <c r="M293" s="2305">
        <v>0.68799999999999994</v>
      </c>
    </row>
    <row r="294" spans="1:13">
      <c r="A294" s="2306">
        <v>2.5</v>
      </c>
      <c r="B294" s="2304">
        <v>0.86229999999999996</v>
      </c>
      <c r="C294" s="2304">
        <v>0.86229999999999996</v>
      </c>
      <c r="D294" s="2304">
        <v>0.8407</v>
      </c>
      <c r="E294" s="2304">
        <v>0.8407</v>
      </c>
      <c r="F294" s="2304">
        <v>0.8407</v>
      </c>
      <c r="G294" s="2304">
        <v>0.74780000000000002</v>
      </c>
      <c r="H294" s="2304">
        <v>0.74780000000000002</v>
      </c>
      <c r="I294" s="2304">
        <v>0.67410000000000003</v>
      </c>
      <c r="J294" s="2304">
        <v>0.67410000000000003</v>
      </c>
      <c r="K294" s="2304">
        <v>0.67410000000000003</v>
      </c>
      <c r="L294" s="2304">
        <v>0.67410000000000003</v>
      </c>
      <c r="M294" s="2305">
        <v>0.67410000000000003</v>
      </c>
    </row>
    <row r="295" spans="1:13">
      <c r="A295" s="2306">
        <v>2.6</v>
      </c>
      <c r="B295" s="2304">
        <v>0.85270000000000001</v>
      </c>
      <c r="C295" s="2304">
        <v>0.85270000000000001</v>
      </c>
      <c r="D295" s="2304">
        <v>0.82950000000000002</v>
      </c>
      <c r="E295" s="2304">
        <v>0.82950000000000002</v>
      </c>
      <c r="F295" s="2304">
        <v>0.82950000000000002</v>
      </c>
      <c r="G295" s="2304">
        <v>0.73540000000000005</v>
      </c>
      <c r="H295" s="2304">
        <v>0.73540000000000005</v>
      </c>
      <c r="I295" s="2304">
        <v>0.66110000000000002</v>
      </c>
      <c r="J295" s="2304">
        <v>0.66110000000000002</v>
      </c>
      <c r="K295" s="2304">
        <v>0.66110000000000002</v>
      </c>
      <c r="L295" s="2304">
        <v>0.66110000000000002</v>
      </c>
      <c r="M295" s="2305">
        <v>0.66110000000000002</v>
      </c>
    </row>
    <row r="296" spans="1:13">
      <c r="A296" s="2306">
        <v>2.7</v>
      </c>
      <c r="B296" s="2304">
        <v>0.84360000000000002</v>
      </c>
      <c r="C296" s="2304">
        <v>0.84360000000000002</v>
      </c>
      <c r="D296" s="2304">
        <v>0.81899999999999995</v>
      </c>
      <c r="E296" s="2304">
        <v>0.81899999999999995</v>
      </c>
      <c r="F296" s="2304">
        <v>0.81899999999999995</v>
      </c>
      <c r="G296" s="2304">
        <v>0.7238</v>
      </c>
      <c r="H296" s="2304">
        <v>0.7238</v>
      </c>
      <c r="I296" s="2304">
        <v>0.64880000000000004</v>
      </c>
      <c r="J296" s="2304">
        <v>0.64880000000000004</v>
      </c>
      <c r="K296" s="2304">
        <v>0.64880000000000004</v>
      </c>
      <c r="L296" s="2304">
        <v>0.64880000000000004</v>
      </c>
      <c r="M296" s="2305">
        <v>0.64880000000000004</v>
      </c>
    </row>
    <row r="297" spans="1:13">
      <c r="A297" s="2306">
        <v>2.8</v>
      </c>
      <c r="B297" s="2304">
        <v>0.83509999999999995</v>
      </c>
      <c r="C297" s="2304">
        <v>0.83509999999999995</v>
      </c>
      <c r="D297" s="2304">
        <v>0.80910000000000004</v>
      </c>
      <c r="E297" s="2304">
        <v>0.80910000000000004</v>
      </c>
      <c r="F297" s="2304">
        <v>0.80910000000000004</v>
      </c>
      <c r="G297" s="2304">
        <v>0.71289999999999998</v>
      </c>
      <c r="H297" s="2304">
        <v>0.71289999999999998</v>
      </c>
      <c r="I297" s="2304">
        <v>0.63739999999999997</v>
      </c>
      <c r="J297" s="2304">
        <v>0.63739999999999997</v>
      </c>
      <c r="K297" s="2304">
        <v>0.63739999999999997</v>
      </c>
      <c r="L297" s="2304">
        <v>0.63739999999999997</v>
      </c>
      <c r="M297" s="2305">
        <v>0.63739999999999997</v>
      </c>
    </row>
    <row r="298" spans="1:13">
      <c r="A298" s="2306">
        <v>2.9</v>
      </c>
      <c r="B298" s="2304">
        <v>0.82720000000000005</v>
      </c>
      <c r="C298" s="2304">
        <v>0.82720000000000005</v>
      </c>
      <c r="D298" s="2304">
        <v>0.79990000000000006</v>
      </c>
      <c r="E298" s="2304">
        <v>0.79990000000000006</v>
      </c>
      <c r="F298" s="2304">
        <v>0.79990000000000006</v>
      </c>
      <c r="G298" s="2304">
        <v>0.7026</v>
      </c>
      <c r="H298" s="2304">
        <v>0.7026</v>
      </c>
      <c r="I298" s="2304">
        <v>0.62660000000000005</v>
      </c>
      <c r="J298" s="2304">
        <v>0.62660000000000005</v>
      </c>
      <c r="K298" s="2304">
        <v>0.62660000000000005</v>
      </c>
      <c r="L298" s="2304">
        <v>0.62660000000000005</v>
      </c>
      <c r="M298" s="2305">
        <v>0.62660000000000005</v>
      </c>
    </row>
    <row r="299" spans="1:13">
      <c r="A299" s="2306">
        <v>3</v>
      </c>
      <c r="B299" s="2304">
        <v>0.81969999999999998</v>
      </c>
      <c r="C299" s="2304">
        <v>0.81969999999999998</v>
      </c>
      <c r="D299" s="2304">
        <v>0.79120000000000001</v>
      </c>
      <c r="E299" s="2304">
        <v>0.79120000000000001</v>
      </c>
      <c r="F299" s="2304">
        <v>0.79120000000000001</v>
      </c>
      <c r="G299" s="2304">
        <v>0.69299999999999995</v>
      </c>
      <c r="H299" s="2304">
        <v>0.69299999999999995</v>
      </c>
      <c r="I299" s="2304">
        <v>0.61650000000000005</v>
      </c>
      <c r="J299" s="2304">
        <v>0.61650000000000005</v>
      </c>
      <c r="K299" s="2304">
        <v>0.61650000000000005</v>
      </c>
      <c r="L299" s="2304">
        <v>0.61650000000000005</v>
      </c>
      <c r="M299" s="2305">
        <v>0.61650000000000005</v>
      </c>
    </row>
    <row r="300" spans="1:13">
      <c r="A300" s="2306">
        <v>3.1</v>
      </c>
      <c r="B300" s="2304">
        <v>0.81279999999999997</v>
      </c>
      <c r="C300" s="2304">
        <v>0.81279999999999997</v>
      </c>
      <c r="D300" s="2304">
        <v>0.78310000000000002</v>
      </c>
      <c r="E300" s="2304">
        <v>0.78310000000000002</v>
      </c>
      <c r="F300" s="2304">
        <v>0.78310000000000002</v>
      </c>
      <c r="G300" s="2304">
        <v>0.68400000000000005</v>
      </c>
      <c r="H300" s="2304">
        <v>0.68400000000000005</v>
      </c>
      <c r="I300" s="2304">
        <v>0.60709999999999997</v>
      </c>
      <c r="J300" s="2304">
        <v>0.60709999999999997</v>
      </c>
      <c r="K300" s="2304">
        <v>0.60709999999999997</v>
      </c>
      <c r="L300" s="2304">
        <v>0.60709999999999997</v>
      </c>
      <c r="M300" s="2305">
        <v>0.60709999999999997</v>
      </c>
    </row>
    <row r="301" spans="1:13">
      <c r="A301" s="2306">
        <v>3.2</v>
      </c>
      <c r="B301" s="2304">
        <v>0.80620000000000003</v>
      </c>
      <c r="C301" s="2304">
        <v>0.80620000000000003</v>
      </c>
      <c r="D301" s="2304">
        <v>0.77549999999999997</v>
      </c>
      <c r="E301" s="2304">
        <v>0.77549999999999997</v>
      </c>
      <c r="F301" s="2304">
        <v>0.77549999999999997</v>
      </c>
      <c r="G301" s="2304">
        <v>0.67559999999999998</v>
      </c>
      <c r="H301" s="2304">
        <v>0.67559999999999998</v>
      </c>
      <c r="I301" s="2304">
        <v>0.59809999999999997</v>
      </c>
      <c r="J301" s="2304">
        <v>0.59809999999999997</v>
      </c>
      <c r="K301" s="2304">
        <v>0.59809999999999997</v>
      </c>
      <c r="L301" s="2304">
        <v>0.59809999999999997</v>
      </c>
      <c r="M301" s="2305">
        <v>0.59809999999999997</v>
      </c>
    </row>
    <row r="302" spans="1:13">
      <c r="A302" s="2306">
        <v>3.3</v>
      </c>
      <c r="B302" s="2304">
        <v>0.80010000000000003</v>
      </c>
      <c r="C302" s="2304">
        <v>0.80010000000000003</v>
      </c>
      <c r="D302" s="2304">
        <v>0.76839999999999997</v>
      </c>
      <c r="E302" s="2304">
        <v>0.76839999999999997</v>
      </c>
      <c r="F302" s="2304">
        <v>0.76839999999999997</v>
      </c>
      <c r="G302" s="2304">
        <v>0.66769999999999996</v>
      </c>
      <c r="H302" s="2304">
        <v>0.66769999999999996</v>
      </c>
      <c r="I302" s="2304">
        <v>0.58979999999999999</v>
      </c>
      <c r="J302" s="2304">
        <v>0.58979999999999999</v>
      </c>
      <c r="K302" s="2304">
        <v>0.58979999999999999</v>
      </c>
      <c r="L302" s="2304">
        <v>0.58979999999999999</v>
      </c>
      <c r="M302" s="2305">
        <v>0.58979999999999999</v>
      </c>
    </row>
    <row r="303" spans="1:13">
      <c r="A303" s="2306">
        <v>3.4</v>
      </c>
      <c r="B303" s="2304">
        <v>0.7944</v>
      </c>
      <c r="C303" s="2304">
        <v>0.7944</v>
      </c>
      <c r="D303" s="2304">
        <v>0.76170000000000004</v>
      </c>
      <c r="E303" s="2304">
        <v>0.76170000000000004</v>
      </c>
      <c r="F303" s="2304">
        <v>0.76170000000000004</v>
      </c>
      <c r="G303" s="2304">
        <v>0.66020000000000001</v>
      </c>
      <c r="H303" s="2304">
        <v>0.66020000000000001</v>
      </c>
      <c r="I303" s="2304">
        <v>0.58209999999999995</v>
      </c>
      <c r="J303" s="2304">
        <v>0.58209999999999995</v>
      </c>
      <c r="K303" s="2304">
        <v>0.58209999999999995</v>
      </c>
      <c r="L303" s="2304">
        <v>0.58209999999999995</v>
      </c>
      <c r="M303" s="2305">
        <v>0.58209999999999995</v>
      </c>
    </row>
    <row r="304" spans="1:13">
      <c r="A304" s="2306">
        <v>3.5</v>
      </c>
      <c r="B304" s="2304">
        <v>0.78910000000000002</v>
      </c>
      <c r="C304" s="2304">
        <v>0.78910000000000002</v>
      </c>
      <c r="D304" s="2304">
        <v>0.75549999999999995</v>
      </c>
      <c r="E304" s="2304">
        <v>0.75549999999999995</v>
      </c>
      <c r="F304" s="2304">
        <v>0.75549999999999995</v>
      </c>
      <c r="G304" s="2304">
        <v>0.65329999999999999</v>
      </c>
      <c r="H304" s="2304">
        <v>0.65329999999999999</v>
      </c>
      <c r="I304" s="2304">
        <v>0.57479999999999998</v>
      </c>
      <c r="J304" s="2304">
        <v>0.57479999999999998</v>
      </c>
      <c r="K304" s="2304">
        <v>0.57479999999999998</v>
      </c>
      <c r="L304" s="2304">
        <v>0.57479999999999998</v>
      </c>
      <c r="M304" s="2305">
        <v>0.57479999999999998</v>
      </c>
    </row>
    <row r="305" spans="1:13">
      <c r="A305" s="2306">
        <v>3.6</v>
      </c>
      <c r="B305" s="2304">
        <v>0.78410000000000002</v>
      </c>
      <c r="C305" s="2304">
        <v>0.78410000000000002</v>
      </c>
      <c r="D305" s="2304">
        <v>0.74960000000000004</v>
      </c>
      <c r="E305" s="2304">
        <v>0.74960000000000004</v>
      </c>
      <c r="F305" s="2304">
        <v>0.74960000000000004</v>
      </c>
      <c r="G305" s="2304">
        <v>0.64680000000000004</v>
      </c>
      <c r="H305" s="2304">
        <v>0.64680000000000004</v>
      </c>
      <c r="I305" s="2304">
        <v>0.56789999999999996</v>
      </c>
      <c r="J305" s="2304">
        <v>0.56789999999999996</v>
      </c>
      <c r="K305" s="2304">
        <v>0.56789999999999996</v>
      </c>
      <c r="L305" s="2304">
        <v>0.56789999999999996</v>
      </c>
      <c r="M305" s="2305">
        <v>0.56789999999999996</v>
      </c>
    </row>
    <row r="306" spans="1:13">
      <c r="A306" s="2306">
        <v>3.7</v>
      </c>
      <c r="B306" s="2304">
        <v>0.77939999999999998</v>
      </c>
      <c r="C306" s="2304">
        <v>0.77939999999999998</v>
      </c>
      <c r="D306" s="2304">
        <v>0.74409999999999998</v>
      </c>
      <c r="E306" s="2304">
        <v>0.74409999999999998</v>
      </c>
      <c r="F306" s="2304">
        <v>0.74409999999999998</v>
      </c>
      <c r="G306" s="2304">
        <v>0.64070000000000005</v>
      </c>
      <c r="H306" s="2304">
        <v>0.64070000000000005</v>
      </c>
      <c r="I306" s="2304">
        <v>0.5615</v>
      </c>
      <c r="J306" s="2304">
        <v>0.5615</v>
      </c>
      <c r="K306" s="2304">
        <v>0.5615</v>
      </c>
      <c r="L306" s="2304">
        <v>0.5615</v>
      </c>
      <c r="M306" s="2305">
        <v>0.5615</v>
      </c>
    </row>
    <row r="307" spans="1:13">
      <c r="A307" s="2306">
        <v>3.8</v>
      </c>
      <c r="B307" s="2304">
        <v>0.77500000000000002</v>
      </c>
      <c r="C307" s="2304">
        <v>0.77500000000000002</v>
      </c>
      <c r="D307" s="2304">
        <v>0.73899999999999999</v>
      </c>
      <c r="E307" s="2304">
        <v>0.73899999999999999</v>
      </c>
      <c r="F307" s="2304">
        <v>0.73899999999999999</v>
      </c>
      <c r="G307" s="2304">
        <v>0.63490000000000002</v>
      </c>
      <c r="H307" s="2304">
        <v>0.63490000000000002</v>
      </c>
      <c r="I307" s="2304">
        <v>0.55549999999999999</v>
      </c>
      <c r="J307" s="2304">
        <v>0.55549999999999999</v>
      </c>
      <c r="K307" s="2304">
        <v>0.55549999999999999</v>
      </c>
      <c r="L307" s="2304">
        <v>0.55549999999999999</v>
      </c>
      <c r="M307" s="2305">
        <v>0.55549999999999999</v>
      </c>
    </row>
    <row r="308" spans="1:13">
      <c r="A308" s="2306">
        <v>3.9</v>
      </c>
      <c r="B308" s="2304">
        <v>0.77090000000000003</v>
      </c>
      <c r="C308" s="2304">
        <v>0.77090000000000003</v>
      </c>
      <c r="D308" s="2304">
        <v>0.73419999999999996</v>
      </c>
      <c r="E308" s="2304">
        <v>0.73419999999999996</v>
      </c>
      <c r="F308" s="2304">
        <v>0.73419999999999996</v>
      </c>
      <c r="G308" s="2304">
        <v>0.62949999999999995</v>
      </c>
      <c r="H308" s="2304">
        <v>0.62949999999999995</v>
      </c>
      <c r="I308" s="2304">
        <v>0.54990000000000006</v>
      </c>
      <c r="J308" s="2304">
        <v>0.54990000000000006</v>
      </c>
      <c r="K308" s="2304">
        <v>0.54990000000000006</v>
      </c>
      <c r="L308" s="2304">
        <v>0.54990000000000006</v>
      </c>
      <c r="M308" s="2305">
        <v>0.54990000000000006</v>
      </c>
    </row>
    <row r="309" spans="1:13">
      <c r="A309" s="2306">
        <v>4</v>
      </c>
      <c r="B309" s="2304">
        <v>0.7671</v>
      </c>
      <c r="C309" s="2304">
        <v>0.7671</v>
      </c>
      <c r="D309" s="2304">
        <v>0.72970000000000002</v>
      </c>
      <c r="E309" s="2304">
        <v>0.72970000000000002</v>
      </c>
      <c r="F309" s="2304">
        <v>0.72970000000000002</v>
      </c>
      <c r="G309" s="2304">
        <v>0.62450000000000006</v>
      </c>
      <c r="H309" s="2304">
        <v>0.62450000000000006</v>
      </c>
      <c r="I309" s="2304">
        <v>0.54449999999999998</v>
      </c>
      <c r="J309" s="2304">
        <v>0.54449999999999998</v>
      </c>
      <c r="K309" s="2304">
        <v>0.54449999999999998</v>
      </c>
      <c r="L309" s="2304">
        <v>0.54449999999999998</v>
      </c>
      <c r="M309" s="2305">
        <v>0.54449999999999998</v>
      </c>
    </row>
    <row r="310" spans="1:13">
      <c r="A310" s="2306">
        <v>4.0999999999999996</v>
      </c>
      <c r="B310" s="2304">
        <v>0.76349999999999996</v>
      </c>
      <c r="C310" s="2304">
        <v>0.76349999999999996</v>
      </c>
      <c r="D310" s="2304">
        <v>0.72540000000000004</v>
      </c>
      <c r="E310" s="2304">
        <v>0.72540000000000004</v>
      </c>
      <c r="F310" s="2304">
        <v>0.72540000000000004</v>
      </c>
      <c r="G310" s="2304">
        <v>0.61970000000000003</v>
      </c>
      <c r="H310" s="2304">
        <v>0.61970000000000003</v>
      </c>
      <c r="I310" s="2304">
        <v>0.53959999999999997</v>
      </c>
      <c r="J310" s="2304">
        <v>0.53959999999999997</v>
      </c>
      <c r="K310" s="2304">
        <v>0.53959999999999997</v>
      </c>
      <c r="L310" s="2304">
        <v>0.53959999999999997</v>
      </c>
      <c r="M310" s="2305">
        <v>0.53959999999999997</v>
      </c>
    </row>
    <row r="311" spans="1:13">
      <c r="A311" s="2306">
        <v>4.2</v>
      </c>
      <c r="B311" s="2304">
        <v>0.7601</v>
      </c>
      <c r="C311" s="2304">
        <v>0.7601</v>
      </c>
      <c r="D311" s="2304">
        <v>0.72140000000000004</v>
      </c>
      <c r="E311" s="2304">
        <v>0.72140000000000004</v>
      </c>
      <c r="F311" s="2304">
        <v>0.72140000000000004</v>
      </c>
      <c r="G311" s="2304">
        <v>0.61529999999999996</v>
      </c>
      <c r="H311" s="2304">
        <v>0.61529999999999996</v>
      </c>
      <c r="I311" s="2304">
        <v>0.53490000000000004</v>
      </c>
      <c r="J311" s="2304">
        <v>0.53490000000000004</v>
      </c>
      <c r="K311" s="2304">
        <v>0.53490000000000004</v>
      </c>
      <c r="L311" s="2304">
        <v>0.53490000000000004</v>
      </c>
      <c r="M311" s="2305">
        <v>0.53490000000000004</v>
      </c>
    </row>
    <row r="312" spans="1:13">
      <c r="A312" s="2306">
        <v>4.3</v>
      </c>
      <c r="B312" s="2304">
        <v>0.75700000000000001</v>
      </c>
      <c r="C312" s="2304">
        <v>0.75700000000000001</v>
      </c>
      <c r="D312" s="2304">
        <v>0.7177</v>
      </c>
      <c r="E312" s="2304">
        <v>0.7177</v>
      </c>
      <c r="F312" s="2304">
        <v>0.7177</v>
      </c>
      <c r="G312" s="2304">
        <v>0.61109999999999998</v>
      </c>
      <c r="H312" s="2304">
        <v>0.61109999999999998</v>
      </c>
      <c r="I312" s="2304">
        <v>0.53049999999999997</v>
      </c>
      <c r="J312" s="2304">
        <v>0.53049999999999997</v>
      </c>
      <c r="K312" s="2304">
        <v>0.53049999999999997</v>
      </c>
      <c r="L312" s="2304">
        <v>0.53049999999999997</v>
      </c>
      <c r="M312" s="2305">
        <v>0.53049999999999997</v>
      </c>
    </row>
    <row r="313" spans="1:13">
      <c r="A313" s="2306">
        <v>4.4000000000000004</v>
      </c>
      <c r="B313" s="2304">
        <v>0.754</v>
      </c>
      <c r="C313" s="2304">
        <v>0.754</v>
      </c>
      <c r="D313" s="2304">
        <v>0.71409999999999996</v>
      </c>
      <c r="E313" s="2304">
        <v>0.71409999999999996</v>
      </c>
      <c r="F313" s="2304">
        <v>0.71409999999999996</v>
      </c>
      <c r="G313" s="2304">
        <v>0.60709999999999997</v>
      </c>
      <c r="H313" s="2304">
        <v>0.60709999999999997</v>
      </c>
      <c r="I313" s="2304">
        <v>0.52639999999999998</v>
      </c>
      <c r="J313" s="2304">
        <v>0.52639999999999998</v>
      </c>
      <c r="K313" s="2304">
        <v>0.52639999999999998</v>
      </c>
      <c r="L313" s="2304">
        <v>0.52639999999999998</v>
      </c>
      <c r="M313" s="2305">
        <v>0.52639999999999998</v>
      </c>
    </row>
    <row r="314" spans="1:13">
      <c r="A314" s="2306">
        <v>4.5</v>
      </c>
      <c r="B314" s="2304">
        <v>0.75119999999999998</v>
      </c>
      <c r="C314" s="2304">
        <v>0.75119999999999998</v>
      </c>
      <c r="D314" s="2304">
        <v>0.71079999999999999</v>
      </c>
      <c r="E314" s="2304">
        <v>0.71079999999999999</v>
      </c>
      <c r="F314" s="2304">
        <v>0.71079999999999999</v>
      </c>
      <c r="G314" s="2304">
        <v>0.60329999999999995</v>
      </c>
      <c r="H314" s="2304">
        <v>0.60329999999999995</v>
      </c>
      <c r="I314" s="2304">
        <v>0.52249999999999996</v>
      </c>
      <c r="J314" s="2304">
        <v>0.52249999999999996</v>
      </c>
      <c r="K314" s="2304">
        <v>0.52249999999999996</v>
      </c>
      <c r="L314" s="2304">
        <v>0.52249999999999996</v>
      </c>
      <c r="M314" s="2305">
        <v>0.52249999999999996</v>
      </c>
    </row>
    <row r="315" spans="1:13">
      <c r="A315" s="2306">
        <v>4.5999999999999996</v>
      </c>
      <c r="B315" s="2304">
        <v>0.74860000000000004</v>
      </c>
      <c r="C315" s="2304">
        <v>0.74860000000000004</v>
      </c>
      <c r="D315" s="2304">
        <v>0.70760000000000001</v>
      </c>
      <c r="E315" s="2304">
        <v>0.70760000000000001</v>
      </c>
      <c r="F315" s="2304">
        <v>0.70760000000000001</v>
      </c>
      <c r="G315" s="2304">
        <v>0.59970000000000001</v>
      </c>
      <c r="H315" s="2304">
        <v>0.59970000000000001</v>
      </c>
      <c r="I315" s="2304">
        <v>0.51890000000000003</v>
      </c>
      <c r="J315" s="2304">
        <v>0.51890000000000003</v>
      </c>
      <c r="K315" s="2304">
        <v>0.51890000000000003</v>
      </c>
      <c r="L315" s="2304">
        <v>0.51890000000000003</v>
      </c>
      <c r="M315" s="2305">
        <v>0.51890000000000003</v>
      </c>
    </row>
    <row r="316" spans="1:13">
      <c r="A316" s="2306">
        <v>4.7</v>
      </c>
      <c r="B316" s="2304">
        <v>0.74609999999999999</v>
      </c>
      <c r="C316" s="2304">
        <v>0.74609999999999999</v>
      </c>
      <c r="D316" s="2304">
        <v>0.7046</v>
      </c>
      <c r="E316" s="2304">
        <v>0.7046</v>
      </c>
      <c r="F316" s="2304">
        <v>0.7046</v>
      </c>
      <c r="G316" s="2304">
        <v>0.59630000000000005</v>
      </c>
      <c r="H316" s="2304">
        <v>0.59630000000000005</v>
      </c>
      <c r="I316" s="2304">
        <v>0.51529999999999998</v>
      </c>
      <c r="J316" s="2304">
        <v>0.51529999999999998</v>
      </c>
      <c r="K316" s="2304">
        <v>0.51529999999999998</v>
      </c>
      <c r="L316" s="2304">
        <v>0.51529999999999998</v>
      </c>
      <c r="M316" s="2305">
        <v>0.51529999999999998</v>
      </c>
    </row>
    <row r="317" spans="1:13">
      <c r="A317" s="2306">
        <v>4.8</v>
      </c>
      <c r="B317" s="2304">
        <v>0.74380000000000002</v>
      </c>
      <c r="C317" s="2304">
        <v>0.74380000000000002</v>
      </c>
      <c r="D317" s="2304">
        <v>0.70169999999999999</v>
      </c>
      <c r="E317" s="2304">
        <v>0.70169999999999999</v>
      </c>
      <c r="F317" s="2304">
        <v>0.70169999999999999</v>
      </c>
      <c r="G317" s="2304">
        <v>0.59309999999999996</v>
      </c>
      <c r="H317" s="2304">
        <v>0.59309999999999996</v>
      </c>
      <c r="I317" s="2304">
        <v>0.5121</v>
      </c>
      <c r="J317" s="2304">
        <v>0.5121</v>
      </c>
      <c r="K317" s="2304">
        <v>0.5121</v>
      </c>
      <c r="L317" s="2304">
        <v>0.5121</v>
      </c>
      <c r="M317" s="2305">
        <v>0.5121</v>
      </c>
    </row>
    <row r="318" spans="1:13">
      <c r="A318" s="2306">
        <v>4.9000000000000004</v>
      </c>
      <c r="B318" s="2304">
        <v>0.74160000000000004</v>
      </c>
      <c r="C318" s="2304">
        <v>0.74160000000000004</v>
      </c>
      <c r="D318" s="2304">
        <v>0.69889999999999997</v>
      </c>
      <c r="E318" s="2304">
        <v>0.69889999999999997</v>
      </c>
      <c r="F318" s="2304">
        <v>0.69889999999999997</v>
      </c>
      <c r="G318" s="2304">
        <v>0.59009999999999996</v>
      </c>
      <c r="H318" s="2304">
        <v>0.59009999999999996</v>
      </c>
      <c r="I318" s="2304">
        <v>0.50900000000000001</v>
      </c>
      <c r="J318" s="2304">
        <v>0.50900000000000001</v>
      </c>
      <c r="K318" s="2304">
        <v>0.50900000000000001</v>
      </c>
      <c r="L318" s="2304">
        <v>0.50900000000000001</v>
      </c>
      <c r="M318" s="2305">
        <v>0.50900000000000001</v>
      </c>
    </row>
    <row r="319" spans="1:13">
      <c r="A319" s="2306">
        <v>5</v>
      </c>
      <c r="B319" s="2304">
        <v>0.73950000000000005</v>
      </c>
      <c r="C319" s="2304">
        <v>0.73950000000000005</v>
      </c>
      <c r="D319" s="2304">
        <v>0.69620000000000004</v>
      </c>
      <c r="E319" s="2304">
        <v>0.69620000000000004</v>
      </c>
      <c r="F319" s="2304">
        <v>0.69620000000000004</v>
      </c>
      <c r="G319" s="2304">
        <v>0.58720000000000006</v>
      </c>
      <c r="H319" s="2304">
        <v>0.58720000000000006</v>
      </c>
      <c r="I319" s="2304">
        <v>0.50609999999999999</v>
      </c>
      <c r="J319" s="2304">
        <v>0.50609999999999999</v>
      </c>
      <c r="K319" s="2304">
        <v>0.50609999999999999</v>
      </c>
      <c r="L319" s="2304">
        <v>0.50609999999999999</v>
      </c>
      <c r="M319" s="2305">
        <v>0.50609999999999999</v>
      </c>
    </row>
    <row r="320" spans="1:13">
      <c r="A320" s="2303">
        <v>5.0999999999999996</v>
      </c>
      <c r="B320" s="2304">
        <v>0.73750000000000004</v>
      </c>
      <c r="C320" s="2304">
        <v>0.73750000000000004</v>
      </c>
      <c r="D320" s="2304">
        <v>0.69359999999999999</v>
      </c>
      <c r="E320" s="2304">
        <v>0.69359999999999999</v>
      </c>
      <c r="F320" s="2304">
        <v>0.69359999999999999</v>
      </c>
      <c r="G320" s="2304">
        <v>0.58440000000000003</v>
      </c>
      <c r="H320" s="2304">
        <v>0.58440000000000003</v>
      </c>
      <c r="I320" s="2304">
        <v>0.50329999999999997</v>
      </c>
      <c r="J320" s="2304">
        <v>0.50329999999999997</v>
      </c>
      <c r="K320" s="2304">
        <v>0.50329999999999997</v>
      </c>
      <c r="L320" s="2304">
        <v>0.50329999999999997</v>
      </c>
      <c r="M320" s="2305">
        <v>0.50329999999999997</v>
      </c>
    </row>
    <row r="321" spans="1:13">
      <c r="A321" s="2303">
        <v>5.2</v>
      </c>
      <c r="B321" s="2304">
        <v>0.73560000000000003</v>
      </c>
      <c r="C321" s="2304">
        <v>0.73560000000000003</v>
      </c>
      <c r="D321" s="2304">
        <v>0.69110000000000005</v>
      </c>
      <c r="E321" s="2304">
        <v>0.69110000000000005</v>
      </c>
      <c r="F321" s="2304">
        <v>0.69110000000000005</v>
      </c>
      <c r="G321" s="2304">
        <v>0.58169999999999999</v>
      </c>
      <c r="H321" s="2304">
        <v>0.58169999999999999</v>
      </c>
      <c r="I321" s="2304">
        <v>0.50060000000000004</v>
      </c>
      <c r="J321" s="2304">
        <v>0.50060000000000004</v>
      </c>
      <c r="K321" s="2304">
        <v>0.50060000000000004</v>
      </c>
      <c r="L321" s="2304">
        <v>0.50060000000000004</v>
      </c>
      <c r="M321" s="2305">
        <v>0.50060000000000004</v>
      </c>
    </row>
    <row r="322" spans="1:13">
      <c r="A322" s="2303">
        <v>5.3</v>
      </c>
      <c r="B322" s="2304">
        <v>0.73380000000000001</v>
      </c>
      <c r="C322" s="2304">
        <v>0.73380000000000001</v>
      </c>
      <c r="D322" s="2304">
        <v>0.68869999999999998</v>
      </c>
      <c r="E322" s="2304">
        <v>0.68869999999999998</v>
      </c>
      <c r="F322" s="2304">
        <v>0.68869999999999998</v>
      </c>
      <c r="G322" s="2304">
        <v>0.57909999999999995</v>
      </c>
      <c r="H322" s="2304">
        <v>0.57909999999999995</v>
      </c>
      <c r="I322" s="2304">
        <v>0.49809999999999999</v>
      </c>
      <c r="J322" s="2304">
        <v>0.49809999999999999</v>
      </c>
      <c r="K322" s="2304">
        <v>0.49809999999999999</v>
      </c>
      <c r="L322" s="2304">
        <v>0.49809999999999999</v>
      </c>
      <c r="M322" s="2305">
        <v>0.49809999999999999</v>
      </c>
    </row>
    <row r="323" spans="1:13">
      <c r="A323" s="2303">
        <v>5.4</v>
      </c>
      <c r="B323" s="2304">
        <v>0.73199999999999998</v>
      </c>
      <c r="C323" s="2304">
        <v>0.73199999999999998</v>
      </c>
      <c r="D323" s="2304">
        <v>0.68640000000000001</v>
      </c>
      <c r="E323" s="2304">
        <v>0.68640000000000001</v>
      </c>
      <c r="F323" s="2304">
        <v>0.68640000000000001</v>
      </c>
      <c r="G323" s="2304">
        <v>0.57650000000000001</v>
      </c>
      <c r="H323" s="2304">
        <v>0.57650000000000001</v>
      </c>
      <c r="I323" s="2304">
        <v>0.49559999999999998</v>
      </c>
      <c r="J323" s="2304">
        <v>0.49559999999999998</v>
      </c>
      <c r="K323" s="2304">
        <v>0.49559999999999998</v>
      </c>
      <c r="L323" s="2304">
        <v>0.49559999999999998</v>
      </c>
      <c r="M323" s="2305">
        <v>0.49559999999999998</v>
      </c>
    </row>
    <row r="324" spans="1:13">
      <c r="A324" s="2303">
        <v>5.5</v>
      </c>
      <c r="B324" s="2304">
        <v>0.73009999999999997</v>
      </c>
      <c r="C324" s="2304">
        <v>0.73009999999999997</v>
      </c>
      <c r="D324" s="2304">
        <v>0.68420000000000003</v>
      </c>
      <c r="E324" s="2304">
        <v>0.68420000000000003</v>
      </c>
      <c r="F324" s="2304">
        <v>0.68420000000000003</v>
      </c>
      <c r="G324" s="2304">
        <v>0.57399999999999995</v>
      </c>
      <c r="H324" s="2304">
        <v>0.57399999999999995</v>
      </c>
      <c r="I324" s="2304">
        <v>0.49320000000000003</v>
      </c>
      <c r="J324" s="2304">
        <v>0.49320000000000003</v>
      </c>
      <c r="K324" s="2304">
        <v>0.49320000000000003</v>
      </c>
      <c r="L324" s="2304">
        <v>0.49320000000000003</v>
      </c>
      <c r="M324" s="2305">
        <v>0.49320000000000003</v>
      </c>
    </row>
    <row r="325" spans="1:13">
      <c r="A325" s="2303">
        <v>5.6</v>
      </c>
      <c r="B325" s="2304">
        <v>0.72819999999999996</v>
      </c>
      <c r="C325" s="2304">
        <v>0.72819999999999996</v>
      </c>
      <c r="D325" s="2304">
        <v>0.68200000000000005</v>
      </c>
      <c r="E325" s="2304">
        <v>0.68200000000000005</v>
      </c>
      <c r="F325" s="2304">
        <v>0.68200000000000005</v>
      </c>
      <c r="G325" s="2304">
        <v>0.57150000000000001</v>
      </c>
      <c r="H325" s="2304">
        <v>0.57150000000000001</v>
      </c>
      <c r="I325" s="2304">
        <v>0.49080000000000001</v>
      </c>
      <c r="J325" s="2304">
        <v>0.49080000000000001</v>
      </c>
      <c r="K325" s="2304">
        <v>0.49080000000000001</v>
      </c>
      <c r="L325" s="2304">
        <v>0.49080000000000001</v>
      </c>
      <c r="M325" s="2305">
        <v>0.49080000000000001</v>
      </c>
    </row>
    <row r="326" spans="1:13">
      <c r="A326" s="2306">
        <v>5.7</v>
      </c>
      <c r="B326" s="2304">
        <v>0.72640000000000005</v>
      </c>
      <c r="C326" s="2304">
        <v>0.72640000000000005</v>
      </c>
      <c r="D326" s="2304">
        <v>0.67989999999999995</v>
      </c>
      <c r="E326" s="2304">
        <v>0.67989999999999995</v>
      </c>
      <c r="F326" s="2304">
        <v>0.67989999999999995</v>
      </c>
      <c r="G326" s="2304">
        <v>0.56899999999999995</v>
      </c>
      <c r="H326" s="2304">
        <v>0.56899999999999995</v>
      </c>
      <c r="I326" s="2304">
        <v>0.4884</v>
      </c>
      <c r="J326" s="2304">
        <v>0.4884</v>
      </c>
      <c r="K326" s="2304">
        <v>0.4884</v>
      </c>
      <c r="L326" s="2304">
        <v>0.4884</v>
      </c>
      <c r="M326" s="2305">
        <v>0.4884</v>
      </c>
    </row>
    <row r="327" spans="1:13">
      <c r="A327" s="2303">
        <v>5.8</v>
      </c>
      <c r="B327" s="2304">
        <v>0.72460000000000002</v>
      </c>
      <c r="C327" s="2304">
        <v>0.72460000000000002</v>
      </c>
      <c r="D327" s="2304">
        <v>0.67779999999999996</v>
      </c>
      <c r="E327" s="2304">
        <v>0.67779999999999996</v>
      </c>
      <c r="F327" s="2304">
        <v>0.67779999999999996</v>
      </c>
      <c r="G327" s="2304">
        <v>0.56659999999999999</v>
      </c>
      <c r="H327" s="2304">
        <v>0.56659999999999999</v>
      </c>
      <c r="I327" s="2304">
        <v>0.48609999999999998</v>
      </c>
      <c r="J327" s="2304">
        <v>0.48609999999999998</v>
      </c>
      <c r="K327" s="2304">
        <v>0.48609999999999998</v>
      </c>
      <c r="L327" s="2304">
        <v>0.48609999999999998</v>
      </c>
      <c r="M327" s="2305">
        <v>0.48609999999999998</v>
      </c>
    </row>
    <row r="328" spans="1:13">
      <c r="A328" s="2303">
        <v>5.9</v>
      </c>
      <c r="B328" s="2304">
        <v>0.7228</v>
      </c>
      <c r="C328" s="2304">
        <v>0.7228</v>
      </c>
      <c r="D328" s="2304">
        <v>0.67569999999999997</v>
      </c>
      <c r="E328" s="2304">
        <v>0.67569999999999997</v>
      </c>
      <c r="F328" s="2304">
        <v>0.67569999999999997</v>
      </c>
      <c r="G328" s="2304">
        <v>0.56420000000000003</v>
      </c>
      <c r="H328" s="2304">
        <v>0.56420000000000003</v>
      </c>
      <c r="I328" s="2304">
        <v>0.48380000000000001</v>
      </c>
      <c r="J328" s="2304">
        <v>0.48380000000000001</v>
      </c>
      <c r="K328" s="2304">
        <v>0.48380000000000001</v>
      </c>
      <c r="L328" s="2304">
        <v>0.48380000000000001</v>
      </c>
      <c r="M328" s="2305">
        <v>0.48380000000000001</v>
      </c>
    </row>
    <row r="329" spans="1:13">
      <c r="A329" s="2303">
        <v>6</v>
      </c>
      <c r="B329" s="2304">
        <v>0.72099999999999997</v>
      </c>
      <c r="C329" s="2304">
        <v>0.72099999999999997</v>
      </c>
      <c r="D329" s="2304">
        <v>0.67359999999999998</v>
      </c>
      <c r="E329" s="2304">
        <v>0.67359999999999998</v>
      </c>
      <c r="F329" s="2304">
        <v>0.67359999999999998</v>
      </c>
      <c r="G329" s="2304">
        <v>0.56179999999999997</v>
      </c>
      <c r="H329" s="2304">
        <v>0.56179999999999997</v>
      </c>
      <c r="I329" s="2304">
        <v>0.48159999999999997</v>
      </c>
      <c r="J329" s="2304">
        <v>0.48159999999999997</v>
      </c>
      <c r="K329" s="2304">
        <v>0.48159999999999997</v>
      </c>
      <c r="L329" s="2304">
        <v>0.48159999999999997</v>
      </c>
      <c r="M329" s="2305">
        <v>0.48159999999999997</v>
      </c>
    </row>
    <row r="330" spans="1:13">
      <c r="A330" s="2303">
        <v>6.1</v>
      </c>
      <c r="B330" s="2304">
        <v>0.71930000000000005</v>
      </c>
      <c r="C330" s="2304">
        <v>0.71930000000000005</v>
      </c>
      <c r="D330" s="2304">
        <v>0.67159999999999997</v>
      </c>
      <c r="E330" s="2304">
        <v>0.67159999999999997</v>
      </c>
      <c r="F330" s="2304">
        <v>0.67159999999999997</v>
      </c>
      <c r="G330" s="2304">
        <v>0.55940000000000001</v>
      </c>
      <c r="H330" s="2304">
        <v>0.55940000000000001</v>
      </c>
      <c r="I330" s="2304">
        <v>0.4793</v>
      </c>
      <c r="J330" s="2304">
        <v>0.4793</v>
      </c>
      <c r="K330" s="2304">
        <v>0.4793</v>
      </c>
      <c r="L330" s="2304">
        <v>0.4793</v>
      </c>
      <c r="M330" s="2305">
        <v>0.4793</v>
      </c>
    </row>
    <row r="331" spans="1:13">
      <c r="A331" s="2303">
        <v>6.2</v>
      </c>
      <c r="B331" s="2304">
        <v>0.71760000000000002</v>
      </c>
      <c r="C331" s="2304">
        <v>0.71760000000000002</v>
      </c>
      <c r="D331" s="2304">
        <v>0.66959999999999997</v>
      </c>
      <c r="E331" s="2304">
        <v>0.66959999999999997</v>
      </c>
      <c r="F331" s="2304">
        <v>0.66959999999999997</v>
      </c>
      <c r="G331" s="2304">
        <v>0.55710000000000004</v>
      </c>
      <c r="H331" s="2304">
        <v>0.55710000000000004</v>
      </c>
      <c r="I331" s="2304">
        <v>0.47710000000000002</v>
      </c>
      <c r="J331" s="2304">
        <v>0.47710000000000002</v>
      </c>
      <c r="K331" s="2304">
        <v>0.47710000000000002</v>
      </c>
      <c r="L331" s="2304">
        <v>0.47710000000000002</v>
      </c>
      <c r="M331" s="2305">
        <v>0.47710000000000002</v>
      </c>
    </row>
    <row r="332" spans="1:13">
      <c r="A332" s="2303">
        <v>6.3</v>
      </c>
      <c r="B332" s="2304">
        <v>0.71589999999999998</v>
      </c>
      <c r="C332" s="2304">
        <v>0.71589999999999998</v>
      </c>
      <c r="D332" s="2304">
        <v>0.66759999999999997</v>
      </c>
      <c r="E332" s="2304">
        <v>0.66759999999999997</v>
      </c>
      <c r="F332" s="2304">
        <v>0.66759999999999997</v>
      </c>
      <c r="G332" s="2304">
        <v>0.55479999999999996</v>
      </c>
      <c r="H332" s="2304">
        <v>0.55479999999999996</v>
      </c>
      <c r="I332" s="2304">
        <v>0.47489999999999999</v>
      </c>
      <c r="J332" s="2304">
        <v>0.47489999999999999</v>
      </c>
      <c r="K332" s="2304">
        <v>0.47489999999999999</v>
      </c>
      <c r="L332" s="2304">
        <v>0.47489999999999999</v>
      </c>
      <c r="M332" s="2305">
        <v>0.47489999999999999</v>
      </c>
    </row>
    <row r="333" spans="1:13">
      <c r="A333" s="2303">
        <v>6.4</v>
      </c>
      <c r="B333" s="2304">
        <v>0.71419999999999995</v>
      </c>
      <c r="C333" s="2304">
        <v>0.71419999999999995</v>
      </c>
      <c r="D333" s="2304">
        <v>0.66559999999999997</v>
      </c>
      <c r="E333" s="2304">
        <v>0.66559999999999997</v>
      </c>
      <c r="F333" s="2304">
        <v>0.66559999999999997</v>
      </c>
      <c r="G333" s="2304">
        <v>0.55249999999999999</v>
      </c>
      <c r="H333" s="2304">
        <v>0.55249999999999999</v>
      </c>
      <c r="I333" s="2304">
        <v>0.47270000000000001</v>
      </c>
      <c r="J333" s="2304">
        <v>0.47270000000000001</v>
      </c>
      <c r="K333" s="2304">
        <v>0.47270000000000001</v>
      </c>
      <c r="L333" s="2304">
        <v>0.47270000000000001</v>
      </c>
      <c r="M333" s="2305">
        <v>0.47270000000000001</v>
      </c>
    </row>
    <row r="334" spans="1:13">
      <c r="A334" s="2303">
        <v>6.5</v>
      </c>
      <c r="B334" s="2304">
        <v>0.71250000000000002</v>
      </c>
      <c r="C334" s="2304">
        <v>0.71250000000000002</v>
      </c>
      <c r="D334" s="2304">
        <v>0.66359999999999997</v>
      </c>
      <c r="E334" s="2304">
        <v>0.66359999999999997</v>
      </c>
      <c r="F334" s="2304">
        <v>0.66359999999999997</v>
      </c>
      <c r="G334" s="2304">
        <v>0.55020000000000002</v>
      </c>
      <c r="H334" s="2304">
        <v>0.55020000000000002</v>
      </c>
      <c r="I334" s="2304">
        <v>0.47060000000000002</v>
      </c>
      <c r="J334" s="2304">
        <v>0.47060000000000002</v>
      </c>
      <c r="K334" s="2304">
        <v>0.47060000000000002</v>
      </c>
      <c r="L334" s="2304">
        <v>0.47060000000000002</v>
      </c>
      <c r="M334" s="2305">
        <v>0.47060000000000002</v>
      </c>
    </row>
    <row r="335" spans="1:13">
      <c r="A335" s="2303">
        <v>6.6</v>
      </c>
      <c r="B335" s="2304">
        <v>0.71089999999999998</v>
      </c>
      <c r="C335" s="2304">
        <v>0.71089999999999998</v>
      </c>
      <c r="D335" s="2304">
        <v>0.66159999999999997</v>
      </c>
      <c r="E335" s="2304">
        <v>0.66159999999999997</v>
      </c>
      <c r="F335" s="2304">
        <v>0.66159999999999997</v>
      </c>
      <c r="G335" s="2304">
        <v>0.54800000000000004</v>
      </c>
      <c r="H335" s="2304">
        <v>0.54800000000000004</v>
      </c>
      <c r="I335" s="2304">
        <v>0.46839999999999998</v>
      </c>
      <c r="J335" s="2304">
        <v>0.46839999999999998</v>
      </c>
      <c r="K335" s="2304">
        <v>0.46839999999999998</v>
      </c>
      <c r="L335" s="2304">
        <v>0.46839999999999998</v>
      </c>
      <c r="M335" s="2305">
        <v>0.46839999999999998</v>
      </c>
    </row>
    <row r="336" spans="1:13">
      <c r="A336" s="2303">
        <v>6.7</v>
      </c>
      <c r="B336" s="2304">
        <v>0.70930000000000004</v>
      </c>
      <c r="C336" s="2304">
        <v>0.70930000000000004</v>
      </c>
      <c r="D336" s="2304">
        <v>0.65969999999999995</v>
      </c>
      <c r="E336" s="2304">
        <v>0.65969999999999995</v>
      </c>
      <c r="F336" s="2304">
        <v>0.65969999999999995</v>
      </c>
      <c r="G336" s="2304">
        <v>0.54579999999999995</v>
      </c>
      <c r="H336" s="2304">
        <v>0.54579999999999995</v>
      </c>
      <c r="I336" s="2304">
        <v>0.46629999999999999</v>
      </c>
      <c r="J336" s="2304">
        <v>0.46629999999999999</v>
      </c>
      <c r="K336" s="2304">
        <v>0.46629999999999999</v>
      </c>
      <c r="L336" s="2304">
        <v>0.46629999999999999</v>
      </c>
      <c r="M336" s="2305">
        <v>0.46629999999999999</v>
      </c>
    </row>
    <row r="337" spans="1:13">
      <c r="A337" s="2303">
        <v>6.8</v>
      </c>
      <c r="B337" s="2304">
        <v>0.7077</v>
      </c>
      <c r="C337" s="2304">
        <v>0.7077</v>
      </c>
      <c r="D337" s="2304">
        <v>0.65780000000000005</v>
      </c>
      <c r="E337" s="2304">
        <v>0.65780000000000005</v>
      </c>
      <c r="F337" s="2304">
        <v>0.65780000000000005</v>
      </c>
      <c r="G337" s="2304">
        <v>0.54359999999999997</v>
      </c>
      <c r="H337" s="2304">
        <v>0.54359999999999997</v>
      </c>
      <c r="I337" s="2304">
        <v>0.46410000000000001</v>
      </c>
      <c r="J337" s="2304">
        <v>0.46410000000000001</v>
      </c>
      <c r="K337" s="2304">
        <v>0.46410000000000001</v>
      </c>
      <c r="L337" s="2304">
        <v>0.46410000000000001</v>
      </c>
      <c r="M337" s="2305">
        <v>0.46410000000000001</v>
      </c>
    </row>
    <row r="338" spans="1:13">
      <c r="A338" s="2303">
        <v>6.9</v>
      </c>
      <c r="B338" s="2304">
        <v>0.70609999999999995</v>
      </c>
      <c r="C338" s="2304">
        <v>0.70609999999999995</v>
      </c>
      <c r="D338" s="2304">
        <v>0.65590000000000004</v>
      </c>
      <c r="E338" s="2304">
        <v>0.65590000000000004</v>
      </c>
      <c r="F338" s="2304">
        <v>0.65590000000000004</v>
      </c>
      <c r="G338" s="2304">
        <v>0.54139999999999999</v>
      </c>
      <c r="H338" s="2304">
        <v>0.54139999999999999</v>
      </c>
      <c r="I338" s="2304">
        <v>0.46200000000000002</v>
      </c>
      <c r="J338" s="2304">
        <v>0.46200000000000002</v>
      </c>
      <c r="K338" s="2304">
        <v>0.46200000000000002</v>
      </c>
      <c r="L338" s="2304">
        <v>0.46200000000000002</v>
      </c>
      <c r="M338" s="2305">
        <v>0.46200000000000002</v>
      </c>
    </row>
    <row r="339" spans="1:13">
      <c r="A339" s="2303">
        <v>7</v>
      </c>
      <c r="B339" s="2304">
        <v>0.70450000000000002</v>
      </c>
      <c r="C339" s="2304">
        <v>0.70450000000000002</v>
      </c>
      <c r="D339" s="2304">
        <v>0.65400000000000003</v>
      </c>
      <c r="E339" s="2304">
        <v>0.65400000000000003</v>
      </c>
      <c r="F339" s="2304">
        <v>0.65400000000000003</v>
      </c>
      <c r="G339" s="2304">
        <v>0.53920000000000001</v>
      </c>
      <c r="H339" s="2304">
        <v>0.53920000000000001</v>
      </c>
      <c r="I339" s="2304">
        <v>0.45979999999999999</v>
      </c>
      <c r="J339" s="2304">
        <v>0.45979999999999999</v>
      </c>
      <c r="K339" s="2304">
        <v>0.45979999999999999</v>
      </c>
      <c r="L339" s="2304">
        <v>0.45979999999999999</v>
      </c>
      <c r="M339" s="2305">
        <v>0.45979999999999999</v>
      </c>
    </row>
    <row r="340" spans="1:13">
      <c r="A340" s="2303">
        <v>7.1</v>
      </c>
      <c r="B340" s="2304">
        <v>0.70289999999999997</v>
      </c>
      <c r="C340" s="2304">
        <v>0.70289999999999997</v>
      </c>
      <c r="D340" s="2304">
        <v>0.65210000000000001</v>
      </c>
      <c r="E340" s="2304">
        <v>0.65210000000000001</v>
      </c>
      <c r="F340" s="2304">
        <v>0.65210000000000001</v>
      </c>
      <c r="G340" s="2304">
        <v>0.53710000000000002</v>
      </c>
      <c r="H340" s="2304">
        <v>0.53710000000000002</v>
      </c>
      <c r="I340" s="2304">
        <v>0.45779999999999998</v>
      </c>
      <c r="J340" s="2304">
        <v>0.45779999999999998</v>
      </c>
      <c r="K340" s="2304">
        <v>0.45779999999999998</v>
      </c>
      <c r="L340" s="2304">
        <v>0.45779999999999998</v>
      </c>
      <c r="M340" s="2305">
        <v>0.45779999999999998</v>
      </c>
    </row>
    <row r="341" spans="1:13">
      <c r="A341" s="2303">
        <v>7.2</v>
      </c>
      <c r="B341" s="2304">
        <v>0.70140000000000002</v>
      </c>
      <c r="C341" s="2304">
        <v>0.70140000000000002</v>
      </c>
      <c r="D341" s="2304">
        <v>0.6502</v>
      </c>
      <c r="E341" s="2304">
        <v>0.6502</v>
      </c>
      <c r="F341" s="2304">
        <v>0.6502</v>
      </c>
      <c r="G341" s="2304">
        <v>0.53500000000000003</v>
      </c>
      <c r="H341" s="2304">
        <v>0.53500000000000003</v>
      </c>
      <c r="I341" s="2304">
        <v>0.45569999999999999</v>
      </c>
      <c r="J341" s="2304">
        <v>0.45569999999999999</v>
      </c>
      <c r="K341" s="2304">
        <v>0.45569999999999999</v>
      </c>
      <c r="L341" s="2304">
        <v>0.45569999999999999</v>
      </c>
      <c r="M341" s="2305">
        <v>0.45569999999999999</v>
      </c>
    </row>
    <row r="342" spans="1:13">
      <c r="A342" s="2303">
        <v>7.3</v>
      </c>
      <c r="B342" s="2304">
        <v>0.69989999999999997</v>
      </c>
      <c r="C342" s="2304">
        <v>0.69989999999999997</v>
      </c>
      <c r="D342" s="2304">
        <v>0.64829999999999999</v>
      </c>
      <c r="E342" s="2304">
        <v>0.64829999999999999</v>
      </c>
      <c r="F342" s="2304">
        <v>0.64829999999999999</v>
      </c>
      <c r="G342" s="2304">
        <v>0.53290000000000004</v>
      </c>
      <c r="H342" s="2304">
        <v>0.53290000000000004</v>
      </c>
      <c r="I342" s="2304">
        <v>0.45369999999999999</v>
      </c>
      <c r="J342" s="2304">
        <v>0.45369999999999999</v>
      </c>
      <c r="K342" s="2304">
        <v>0.45369999999999999</v>
      </c>
      <c r="L342" s="2304">
        <v>0.45369999999999999</v>
      </c>
      <c r="M342" s="2305">
        <v>0.45369999999999999</v>
      </c>
    </row>
    <row r="343" spans="1:13">
      <c r="A343" s="2303">
        <v>7.4</v>
      </c>
      <c r="B343" s="2304">
        <v>0.69840000000000002</v>
      </c>
      <c r="C343" s="2304">
        <v>0.69840000000000002</v>
      </c>
      <c r="D343" s="2304">
        <v>0.64649999999999996</v>
      </c>
      <c r="E343" s="2304">
        <v>0.64649999999999996</v>
      </c>
      <c r="F343" s="2304">
        <v>0.64649999999999996</v>
      </c>
      <c r="G343" s="2304">
        <v>0.53080000000000005</v>
      </c>
      <c r="H343" s="2304">
        <v>0.53080000000000005</v>
      </c>
      <c r="I343" s="2304">
        <v>0.4516</v>
      </c>
      <c r="J343" s="2304">
        <v>0.4516</v>
      </c>
      <c r="K343" s="2304">
        <v>0.4516</v>
      </c>
      <c r="L343" s="2304">
        <v>0.4516</v>
      </c>
      <c r="M343" s="2305">
        <v>0.4516</v>
      </c>
    </row>
    <row r="344" spans="1:13">
      <c r="A344" s="2303">
        <v>7.5</v>
      </c>
      <c r="B344" s="2304">
        <v>0.69689999999999996</v>
      </c>
      <c r="C344" s="2304">
        <v>0.69689999999999996</v>
      </c>
      <c r="D344" s="2304">
        <v>0.64470000000000005</v>
      </c>
      <c r="E344" s="2304">
        <v>0.64470000000000005</v>
      </c>
      <c r="F344" s="2304">
        <v>0.64470000000000005</v>
      </c>
      <c r="G344" s="2304">
        <v>0.52869999999999995</v>
      </c>
      <c r="H344" s="2304">
        <v>0.52869999999999995</v>
      </c>
      <c r="I344" s="2304">
        <v>0.44950000000000001</v>
      </c>
      <c r="J344" s="2304">
        <v>0.44950000000000001</v>
      </c>
      <c r="K344" s="2304">
        <v>0.44950000000000001</v>
      </c>
      <c r="L344" s="2304">
        <v>0.44950000000000001</v>
      </c>
      <c r="M344" s="2305">
        <v>0.44950000000000001</v>
      </c>
    </row>
    <row r="345" spans="1:13">
      <c r="A345" s="2303">
        <v>7.6</v>
      </c>
      <c r="B345" s="2304">
        <v>0.69540000000000002</v>
      </c>
      <c r="C345" s="2304">
        <v>0.69540000000000002</v>
      </c>
      <c r="D345" s="2304">
        <v>0.64290000000000003</v>
      </c>
      <c r="E345" s="2304">
        <v>0.64290000000000003</v>
      </c>
      <c r="F345" s="2304">
        <v>0.64290000000000003</v>
      </c>
      <c r="G345" s="2304">
        <v>0.52659999999999996</v>
      </c>
      <c r="H345" s="2304">
        <v>0.52659999999999996</v>
      </c>
      <c r="I345" s="2304">
        <v>0.44750000000000001</v>
      </c>
      <c r="J345" s="2304">
        <v>0.44750000000000001</v>
      </c>
      <c r="K345" s="2304">
        <v>0.44750000000000001</v>
      </c>
      <c r="L345" s="2304">
        <v>0.44750000000000001</v>
      </c>
      <c r="M345" s="2305">
        <v>0.44750000000000001</v>
      </c>
    </row>
    <row r="346" spans="1:13">
      <c r="A346" s="2303">
        <v>7.7</v>
      </c>
      <c r="B346" s="2304">
        <v>0.69389999999999996</v>
      </c>
      <c r="C346" s="2304">
        <v>0.69389999999999996</v>
      </c>
      <c r="D346" s="2304">
        <v>0.6411</v>
      </c>
      <c r="E346" s="2304">
        <v>0.6411</v>
      </c>
      <c r="F346" s="2304">
        <v>0.6411</v>
      </c>
      <c r="G346" s="2304">
        <v>0.52459999999999996</v>
      </c>
      <c r="H346" s="2304">
        <v>0.52459999999999996</v>
      </c>
      <c r="I346" s="2304">
        <v>0.44540000000000002</v>
      </c>
      <c r="J346" s="2304">
        <v>0.44540000000000002</v>
      </c>
      <c r="K346" s="2304">
        <v>0.44540000000000002</v>
      </c>
      <c r="L346" s="2304">
        <v>0.44540000000000002</v>
      </c>
      <c r="M346" s="2305">
        <v>0.44540000000000002</v>
      </c>
    </row>
    <row r="347" spans="1:13">
      <c r="A347" s="2303">
        <v>7.8</v>
      </c>
      <c r="B347" s="2304">
        <v>0.69240000000000002</v>
      </c>
      <c r="C347" s="2304">
        <v>0.69240000000000002</v>
      </c>
      <c r="D347" s="2304">
        <v>0.63929999999999998</v>
      </c>
      <c r="E347" s="2304">
        <v>0.63929999999999998</v>
      </c>
      <c r="F347" s="2304">
        <v>0.63929999999999998</v>
      </c>
      <c r="G347" s="2304">
        <v>0.52259999999999995</v>
      </c>
      <c r="H347" s="2304">
        <v>0.52259999999999995</v>
      </c>
      <c r="I347" s="2304">
        <v>0.44340000000000002</v>
      </c>
      <c r="J347" s="2304">
        <v>0.44340000000000002</v>
      </c>
      <c r="K347" s="2304">
        <v>0.44340000000000002</v>
      </c>
      <c r="L347" s="2304">
        <v>0.44340000000000002</v>
      </c>
      <c r="M347" s="2305">
        <v>0.44340000000000002</v>
      </c>
    </row>
    <row r="348" spans="1:13">
      <c r="A348" s="2303">
        <v>7.9</v>
      </c>
      <c r="B348" s="2304">
        <v>0.69099999999999995</v>
      </c>
      <c r="C348" s="2304">
        <v>0.69099999999999995</v>
      </c>
      <c r="D348" s="2304">
        <v>0.63749999999999996</v>
      </c>
      <c r="E348" s="2304">
        <v>0.63749999999999996</v>
      </c>
      <c r="F348" s="2304">
        <v>0.63749999999999996</v>
      </c>
      <c r="G348" s="2304">
        <v>0.52059999999999995</v>
      </c>
      <c r="H348" s="2304">
        <v>0.52059999999999995</v>
      </c>
      <c r="I348" s="2304">
        <v>0.44130000000000003</v>
      </c>
      <c r="J348" s="2304">
        <v>0.44130000000000003</v>
      </c>
      <c r="K348" s="2304">
        <v>0.44130000000000003</v>
      </c>
      <c r="L348" s="2304">
        <v>0.44130000000000003</v>
      </c>
      <c r="M348" s="2305">
        <v>0.44130000000000003</v>
      </c>
    </row>
    <row r="349" spans="1:13">
      <c r="A349" s="2303">
        <v>8</v>
      </c>
      <c r="B349" s="2304">
        <v>0.68959999999999999</v>
      </c>
      <c r="C349" s="2304">
        <v>0.68959999999999999</v>
      </c>
      <c r="D349" s="2304">
        <v>0.63570000000000004</v>
      </c>
      <c r="E349" s="2304">
        <v>0.63570000000000004</v>
      </c>
      <c r="F349" s="2304">
        <v>0.63570000000000004</v>
      </c>
      <c r="G349" s="2304">
        <v>0.51859999999999995</v>
      </c>
      <c r="H349" s="2304">
        <v>0.51859999999999995</v>
      </c>
      <c r="I349" s="2304">
        <v>0.43919999999999998</v>
      </c>
      <c r="J349" s="2304">
        <v>0.43919999999999998</v>
      </c>
      <c r="K349" s="2304">
        <v>0.43919999999999998</v>
      </c>
      <c r="L349" s="2304">
        <v>0.43919999999999998</v>
      </c>
      <c r="M349" s="2305">
        <v>0.43919999999999998</v>
      </c>
    </row>
    <row r="350" spans="1:13">
      <c r="A350" s="2303">
        <v>8.1</v>
      </c>
      <c r="B350" s="2304">
        <v>0.68820000000000003</v>
      </c>
      <c r="C350" s="2304">
        <v>0.68820000000000003</v>
      </c>
      <c r="D350" s="2304">
        <v>0.63390000000000002</v>
      </c>
      <c r="E350" s="2304">
        <v>0.63390000000000002</v>
      </c>
      <c r="F350" s="2304">
        <v>0.63390000000000002</v>
      </c>
      <c r="G350" s="2304">
        <v>0.51659999999999995</v>
      </c>
      <c r="H350" s="2304">
        <v>0.51659999999999995</v>
      </c>
      <c r="I350" s="2304">
        <v>0.43730000000000002</v>
      </c>
      <c r="J350" s="2304">
        <v>0.43730000000000002</v>
      </c>
      <c r="K350" s="2304">
        <v>0.43730000000000002</v>
      </c>
      <c r="L350" s="2304">
        <v>0.43730000000000002</v>
      </c>
      <c r="M350" s="2305">
        <v>0.43730000000000002</v>
      </c>
    </row>
    <row r="351" spans="1:13">
      <c r="A351" s="2303">
        <v>8.1999999999999993</v>
      </c>
      <c r="B351" s="2304">
        <v>0.68679999999999997</v>
      </c>
      <c r="C351" s="2304">
        <v>0.68679999999999997</v>
      </c>
      <c r="D351" s="2304">
        <v>0.63219999999999998</v>
      </c>
      <c r="E351" s="2304">
        <v>0.63219999999999998</v>
      </c>
      <c r="F351" s="2304">
        <v>0.63219999999999998</v>
      </c>
      <c r="G351" s="2304">
        <v>0.51459999999999995</v>
      </c>
      <c r="H351" s="2304">
        <v>0.51459999999999995</v>
      </c>
      <c r="I351" s="2304">
        <v>0.43530000000000002</v>
      </c>
      <c r="J351" s="2304">
        <v>0.43530000000000002</v>
      </c>
      <c r="K351" s="2304">
        <v>0.43530000000000002</v>
      </c>
      <c r="L351" s="2304">
        <v>0.43530000000000002</v>
      </c>
      <c r="M351" s="2305">
        <v>0.43530000000000002</v>
      </c>
    </row>
    <row r="352" spans="1:13">
      <c r="A352" s="2303">
        <v>8.3000000000000007</v>
      </c>
      <c r="B352" s="2304">
        <v>0.68540000000000001</v>
      </c>
      <c r="C352" s="2304">
        <v>0.68540000000000001</v>
      </c>
      <c r="D352" s="2304">
        <v>0.63049999999999995</v>
      </c>
      <c r="E352" s="2304">
        <v>0.63049999999999995</v>
      </c>
      <c r="F352" s="2304">
        <v>0.63049999999999995</v>
      </c>
      <c r="G352" s="2304">
        <v>0.51259999999999994</v>
      </c>
      <c r="H352" s="2304">
        <v>0.51259999999999994</v>
      </c>
      <c r="I352" s="2304">
        <v>0.43330000000000002</v>
      </c>
      <c r="J352" s="2304">
        <v>0.43330000000000002</v>
      </c>
      <c r="K352" s="2304">
        <v>0.43330000000000002</v>
      </c>
      <c r="L352" s="2304">
        <v>0.43330000000000002</v>
      </c>
      <c r="M352" s="2305">
        <v>0.43330000000000002</v>
      </c>
    </row>
    <row r="353" spans="1:13">
      <c r="A353" s="2303">
        <v>8.4</v>
      </c>
      <c r="B353" s="2304">
        <v>0.68400000000000005</v>
      </c>
      <c r="C353" s="2304">
        <v>0.68400000000000005</v>
      </c>
      <c r="D353" s="2304">
        <v>0.62880000000000003</v>
      </c>
      <c r="E353" s="2304">
        <v>0.62880000000000003</v>
      </c>
      <c r="F353" s="2304">
        <v>0.62880000000000003</v>
      </c>
      <c r="G353" s="2304">
        <v>0.51070000000000004</v>
      </c>
      <c r="H353" s="2304">
        <v>0.51070000000000004</v>
      </c>
      <c r="I353" s="2304">
        <v>0.43130000000000002</v>
      </c>
      <c r="J353" s="2304">
        <v>0.43130000000000002</v>
      </c>
      <c r="K353" s="2304">
        <v>0.43130000000000002</v>
      </c>
      <c r="L353" s="2304">
        <v>0.43130000000000002</v>
      </c>
      <c r="M353" s="2305">
        <v>0.43130000000000002</v>
      </c>
    </row>
    <row r="354" spans="1:13">
      <c r="A354" s="2303">
        <v>8.5</v>
      </c>
      <c r="B354" s="2304">
        <v>0.68259999999999998</v>
      </c>
      <c r="C354" s="2304">
        <v>0.68259999999999998</v>
      </c>
      <c r="D354" s="2304">
        <v>0.62709999999999999</v>
      </c>
      <c r="E354" s="2304">
        <v>0.62709999999999999</v>
      </c>
      <c r="F354" s="2304">
        <v>0.62709999999999999</v>
      </c>
      <c r="G354" s="2304">
        <v>0.50880000000000003</v>
      </c>
      <c r="H354" s="2304">
        <v>0.50880000000000003</v>
      </c>
      <c r="I354" s="2304">
        <v>0.4294</v>
      </c>
      <c r="J354" s="2304">
        <v>0.4294</v>
      </c>
      <c r="K354" s="2304">
        <v>0.4294</v>
      </c>
      <c r="L354" s="2304">
        <v>0.4294</v>
      </c>
      <c r="M354" s="2305">
        <v>0.4294</v>
      </c>
    </row>
    <row r="355" spans="1:13">
      <c r="A355" s="2303">
        <v>8.6</v>
      </c>
      <c r="B355" s="2304">
        <v>0.68120000000000003</v>
      </c>
      <c r="C355" s="2304">
        <v>0.68120000000000003</v>
      </c>
      <c r="D355" s="2304">
        <v>0.62539999999999996</v>
      </c>
      <c r="E355" s="2304">
        <v>0.62539999999999996</v>
      </c>
      <c r="F355" s="2304">
        <v>0.62539999999999996</v>
      </c>
      <c r="G355" s="2304">
        <v>0.50690000000000002</v>
      </c>
      <c r="H355" s="2304">
        <v>0.50690000000000002</v>
      </c>
      <c r="I355" s="2304">
        <v>0.4274</v>
      </c>
      <c r="J355" s="2304">
        <v>0.4274</v>
      </c>
      <c r="K355" s="2304">
        <v>0.4274</v>
      </c>
      <c r="L355" s="2304">
        <v>0.4274</v>
      </c>
      <c r="M355" s="2305">
        <v>0.4274</v>
      </c>
    </row>
    <row r="356" spans="1:13">
      <c r="A356" s="2303">
        <v>8.6999999999999993</v>
      </c>
      <c r="B356" s="2304">
        <v>0.67989999999999995</v>
      </c>
      <c r="C356" s="2304">
        <v>0.67989999999999995</v>
      </c>
      <c r="D356" s="2304">
        <v>0.62370000000000003</v>
      </c>
      <c r="E356" s="2304">
        <v>0.62370000000000003</v>
      </c>
      <c r="F356" s="2304">
        <v>0.62370000000000003</v>
      </c>
      <c r="G356" s="2304">
        <v>0.505</v>
      </c>
      <c r="H356" s="2304">
        <v>0.505</v>
      </c>
      <c r="I356" s="2304">
        <v>0.4254</v>
      </c>
      <c r="J356" s="2304">
        <v>0.4254</v>
      </c>
      <c r="K356" s="2304">
        <v>0.4254</v>
      </c>
      <c r="L356" s="2304">
        <v>0.4254</v>
      </c>
      <c r="M356" s="2305">
        <v>0.4254</v>
      </c>
    </row>
    <row r="357" spans="1:13">
      <c r="A357" s="2303">
        <v>8.8000000000000007</v>
      </c>
      <c r="B357" s="2304">
        <v>0.67859999999999998</v>
      </c>
      <c r="C357" s="2304">
        <v>0.67859999999999998</v>
      </c>
      <c r="D357" s="2304">
        <v>0.622</v>
      </c>
      <c r="E357" s="2304">
        <v>0.622</v>
      </c>
      <c r="F357" s="2304">
        <v>0.622</v>
      </c>
      <c r="G357" s="2304">
        <v>0.50309999999999999</v>
      </c>
      <c r="H357" s="2304">
        <v>0.50309999999999999</v>
      </c>
      <c r="I357" s="2304">
        <v>0.4234</v>
      </c>
      <c r="J357" s="2304">
        <v>0.4234</v>
      </c>
      <c r="K357" s="2304">
        <v>0.4234</v>
      </c>
      <c r="L357" s="2304">
        <v>0.4234</v>
      </c>
      <c r="M357" s="2305">
        <v>0.4234</v>
      </c>
    </row>
    <row r="358" spans="1:13">
      <c r="A358" s="2303">
        <v>8.9</v>
      </c>
      <c r="B358" s="2304">
        <v>0.67730000000000001</v>
      </c>
      <c r="C358" s="2304">
        <v>0.67730000000000001</v>
      </c>
      <c r="D358" s="2304">
        <v>0.62029999999999996</v>
      </c>
      <c r="E358" s="2304">
        <v>0.62029999999999996</v>
      </c>
      <c r="F358" s="2304">
        <v>0.62029999999999996</v>
      </c>
      <c r="G358" s="2304">
        <v>0.50119999999999998</v>
      </c>
      <c r="H358" s="2304">
        <v>0.50119999999999998</v>
      </c>
      <c r="I358" s="2304">
        <v>0.42149999999999999</v>
      </c>
      <c r="J358" s="2304">
        <v>0.42149999999999999</v>
      </c>
      <c r="K358" s="2304">
        <v>0.42149999999999999</v>
      </c>
      <c r="L358" s="2304">
        <v>0.42149999999999999</v>
      </c>
      <c r="M358" s="2305">
        <v>0.42149999999999999</v>
      </c>
    </row>
    <row r="359" spans="1:13">
      <c r="A359" s="2306">
        <v>9</v>
      </c>
      <c r="B359" s="2304">
        <v>0.67600000000000005</v>
      </c>
      <c r="C359" s="2304">
        <v>0.67600000000000005</v>
      </c>
      <c r="D359" s="2304">
        <v>0.61870000000000003</v>
      </c>
      <c r="E359" s="2304">
        <v>0.61870000000000003</v>
      </c>
      <c r="F359" s="2304">
        <v>0.61870000000000003</v>
      </c>
      <c r="G359" s="2304">
        <v>0.49930000000000002</v>
      </c>
      <c r="H359" s="2304">
        <v>0.49930000000000002</v>
      </c>
      <c r="I359" s="2304">
        <v>0.41949999999999998</v>
      </c>
      <c r="J359" s="2304">
        <v>0.41949999999999998</v>
      </c>
      <c r="K359" s="2304">
        <v>0.41949999999999998</v>
      </c>
      <c r="L359" s="2304">
        <v>0.41949999999999998</v>
      </c>
      <c r="M359" s="2305">
        <v>0.41949999999999998</v>
      </c>
    </row>
    <row r="360" spans="1:13">
      <c r="A360" s="2306">
        <v>9.1</v>
      </c>
      <c r="B360" s="2304">
        <v>0.67469999999999997</v>
      </c>
      <c r="C360" s="2304">
        <v>0.67469999999999997</v>
      </c>
      <c r="D360" s="2304">
        <v>0.61709999999999998</v>
      </c>
      <c r="E360" s="2304">
        <v>0.61709999999999998</v>
      </c>
      <c r="F360" s="2304">
        <v>0.61709999999999998</v>
      </c>
      <c r="G360" s="2304">
        <v>0.49740000000000001</v>
      </c>
      <c r="H360" s="2304">
        <v>0.49740000000000001</v>
      </c>
      <c r="I360" s="2304">
        <v>0.41760000000000003</v>
      </c>
      <c r="J360" s="2304">
        <v>0.41760000000000003</v>
      </c>
      <c r="K360" s="2304">
        <v>0.41760000000000003</v>
      </c>
      <c r="L360" s="2304">
        <v>0.41760000000000003</v>
      </c>
      <c r="M360" s="2305">
        <v>0.41760000000000003</v>
      </c>
    </row>
    <row r="361" spans="1:13">
      <c r="A361" s="2306">
        <v>9.1999999999999993</v>
      </c>
      <c r="B361" s="2304">
        <v>0.6734</v>
      </c>
      <c r="C361" s="2304">
        <v>0.6734</v>
      </c>
      <c r="D361" s="2304">
        <v>0.61550000000000005</v>
      </c>
      <c r="E361" s="2304">
        <v>0.61550000000000005</v>
      </c>
      <c r="F361" s="2304">
        <v>0.61550000000000005</v>
      </c>
      <c r="G361" s="2304">
        <v>0.49559999999999998</v>
      </c>
      <c r="H361" s="2304">
        <v>0.49559999999999998</v>
      </c>
      <c r="I361" s="2304">
        <v>0.41570000000000001</v>
      </c>
      <c r="J361" s="2304">
        <v>0.41570000000000001</v>
      </c>
      <c r="K361" s="2304">
        <v>0.41570000000000001</v>
      </c>
      <c r="L361" s="2304">
        <v>0.41570000000000001</v>
      </c>
      <c r="M361" s="2305">
        <v>0.41570000000000001</v>
      </c>
    </row>
    <row r="362" spans="1:13">
      <c r="A362" s="2306">
        <v>9.3000000000000007</v>
      </c>
      <c r="B362" s="2304">
        <v>0.67210000000000003</v>
      </c>
      <c r="C362" s="2304">
        <v>0.67210000000000003</v>
      </c>
      <c r="D362" s="2304">
        <v>0.6139</v>
      </c>
      <c r="E362" s="2304">
        <v>0.6139</v>
      </c>
      <c r="F362" s="2304">
        <v>0.6139</v>
      </c>
      <c r="G362" s="2304">
        <v>0.49380000000000002</v>
      </c>
      <c r="H362" s="2304">
        <v>0.49380000000000002</v>
      </c>
      <c r="I362" s="2304">
        <v>0.4138</v>
      </c>
      <c r="J362" s="2304">
        <v>0.4138</v>
      </c>
      <c r="K362" s="2304">
        <v>0.4138</v>
      </c>
      <c r="L362" s="2304">
        <v>0.4138</v>
      </c>
      <c r="M362" s="2305">
        <v>0.4138</v>
      </c>
    </row>
    <row r="363" spans="1:13">
      <c r="A363" s="2306">
        <v>9.4</v>
      </c>
      <c r="B363" s="2304">
        <v>0.67079999999999995</v>
      </c>
      <c r="C363" s="2304">
        <v>0.67079999999999995</v>
      </c>
      <c r="D363" s="2304">
        <v>0.61229999999999996</v>
      </c>
      <c r="E363" s="2304">
        <v>0.61229999999999996</v>
      </c>
      <c r="F363" s="2304">
        <v>0.61229999999999996</v>
      </c>
      <c r="G363" s="2304">
        <v>0.49199999999999999</v>
      </c>
      <c r="H363" s="2304">
        <v>0.49199999999999999</v>
      </c>
      <c r="I363" s="2304">
        <v>0.41189999999999999</v>
      </c>
      <c r="J363" s="2304">
        <v>0.41189999999999999</v>
      </c>
      <c r="K363" s="2304">
        <v>0.41189999999999999</v>
      </c>
      <c r="L363" s="2304">
        <v>0.41189999999999999</v>
      </c>
      <c r="M363" s="2305">
        <v>0.41189999999999999</v>
      </c>
    </row>
    <row r="364" spans="1:13">
      <c r="A364" s="2306">
        <v>9.5</v>
      </c>
      <c r="B364" s="2304">
        <v>0.66959999999999997</v>
      </c>
      <c r="C364" s="2304">
        <v>0.66959999999999997</v>
      </c>
      <c r="D364" s="2304">
        <v>0.61070000000000002</v>
      </c>
      <c r="E364" s="2304">
        <v>0.61070000000000002</v>
      </c>
      <c r="F364" s="2304">
        <v>0.61070000000000002</v>
      </c>
      <c r="G364" s="2304">
        <v>0.49020000000000002</v>
      </c>
      <c r="H364" s="2304">
        <v>0.49020000000000002</v>
      </c>
      <c r="I364" s="2304">
        <v>0.41</v>
      </c>
      <c r="J364" s="2304">
        <v>0.41</v>
      </c>
      <c r="K364" s="2304">
        <v>0.41</v>
      </c>
      <c r="L364" s="2304">
        <v>0.41</v>
      </c>
      <c r="M364" s="2305">
        <v>0.41</v>
      </c>
    </row>
    <row r="365" spans="1:13">
      <c r="A365" s="2306">
        <v>9.6</v>
      </c>
      <c r="B365" s="2304">
        <v>0.66839999999999999</v>
      </c>
      <c r="C365" s="2304">
        <v>0.66839999999999999</v>
      </c>
      <c r="D365" s="2304">
        <v>0.60909999999999997</v>
      </c>
      <c r="E365" s="2304">
        <v>0.60909999999999997</v>
      </c>
      <c r="F365" s="2304">
        <v>0.60909999999999997</v>
      </c>
      <c r="G365" s="2304">
        <v>0.4884</v>
      </c>
      <c r="H365" s="2304">
        <v>0.4884</v>
      </c>
      <c r="I365" s="2304">
        <v>0.40810000000000002</v>
      </c>
      <c r="J365" s="2304">
        <v>0.40810000000000002</v>
      </c>
      <c r="K365" s="2304">
        <v>0.40810000000000002</v>
      </c>
      <c r="L365" s="2304">
        <v>0.40810000000000002</v>
      </c>
      <c r="M365" s="2305">
        <v>0.40810000000000002</v>
      </c>
    </row>
    <row r="366" spans="1:13">
      <c r="A366" s="2306">
        <v>9.6999999999999993</v>
      </c>
      <c r="B366" s="2304">
        <v>0.66720000000000002</v>
      </c>
      <c r="C366" s="2304">
        <v>0.66720000000000002</v>
      </c>
      <c r="D366" s="2304">
        <v>0.60750000000000004</v>
      </c>
      <c r="E366" s="2304">
        <v>0.60750000000000004</v>
      </c>
      <c r="F366" s="2304">
        <v>0.60750000000000004</v>
      </c>
      <c r="G366" s="2304">
        <v>0.48659999999999998</v>
      </c>
      <c r="H366" s="2304">
        <v>0.48659999999999998</v>
      </c>
      <c r="I366" s="2304">
        <v>0.40620000000000001</v>
      </c>
      <c r="J366" s="2304">
        <v>0.40620000000000001</v>
      </c>
      <c r="K366" s="2304">
        <v>0.40620000000000001</v>
      </c>
      <c r="L366" s="2304">
        <v>0.40620000000000001</v>
      </c>
      <c r="M366" s="2305">
        <v>0.40620000000000001</v>
      </c>
    </row>
    <row r="367" spans="1:13">
      <c r="A367" s="2306">
        <v>9.8000000000000007</v>
      </c>
      <c r="B367" s="2304">
        <v>0.66600000000000004</v>
      </c>
      <c r="C367" s="2304">
        <v>0.66600000000000004</v>
      </c>
      <c r="D367" s="2304">
        <v>0.60599999999999998</v>
      </c>
      <c r="E367" s="2304">
        <v>0.60599999999999998</v>
      </c>
      <c r="F367" s="2304">
        <v>0.60599999999999998</v>
      </c>
      <c r="G367" s="2304">
        <v>0.48480000000000001</v>
      </c>
      <c r="H367" s="2304">
        <v>0.48480000000000001</v>
      </c>
      <c r="I367" s="2304">
        <v>0.40429999999999999</v>
      </c>
      <c r="J367" s="2304">
        <v>0.40429999999999999</v>
      </c>
      <c r="K367" s="2304">
        <v>0.40429999999999999</v>
      </c>
      <c r="L367" s="2304">
        <v>0.40429999999999999</v>
      </c>
      <c r="M367" s="2305">
        <v>0.40429999999999999</v>
      </c>
    </row>
    <row r="368" spans="1:13" ht="14.25" thickBot="1">
      <c r="A368" s="2307">
        <v>9.9</v>
      </c>
      <c r="B368" s="2308">
        <v>0.66479999999999995</v>
      </c>
      <c r="C368" s="2308">
        <v>0.66479999999999995</v>
      </c>
      <c r="D368" s="2308">
        <v>0.60450000000000004</v>
      </c>
      <c r="E368" s="2308">
        <v>0.60450000000000004</v>
      </c>
      <c r="F368" s="2308">
        <v>0.60450000000000004</v>
      </c>
      <c r="G368" s="2308">
        <v>0.48299999999999998</v>
      </c>
      <c r="H368" s="2308">
        <v>0.48299999999999998</v>
      </c>
      <c r="I368" s="2308">
        <v>0.40239999999999998</v>
      </c>
      <c r="J368" s="2308">
        <v>0.40239999999999998</v>
      </c>
      <c r="K368" s="2308">
        <v>0.40239999999999998</v>
      </c>
      <c r="L368" s="2308">
        <v>0.40239999999999998</v>
      </c>
      <c r="M368" s="2309">
        <v>0.40239999999999998</v>
      </c>
    </row>
    <row r="369" spans="1:20" ht="15" thickBot="1">
      <c r="A369" s="2297" t="s">
        <v>2688</v>
      </c>
      <c r="B369" s="2310"/>
      <c r="C369" s="2310"/>
      <c r="D369" s="2310"/>
      <c r="E369" s="2310"/>
      <c r="F369" s="2310"/>
      <c r="G369" s="2310"/>
      <c r="H369" s="2310"/>
      <c r="I369" s="2310"/>
      <c r="J369" s="2310"/>
      <c r="K369" s="2310"/>
      <c r="L369" s="2310"/>
      <c r="M369" s="2310"/>
    </row>
    <row r="370" spans="1:20">
      <c r="A370" s="2298" t="s">
        <v>2684</v>
      </c>
      <c r="B370" s="2299" t="s">
        <v>2480</v>
      </c>
      <c r="C370" s="2299" t="s">
        <v>2481</v>
      </c>
      <c r="D370" s="2299" t="s">
        <v>2482</v>
      </c>
      <c r="E370" s="2299" t="s">
        <v>2483</v>
      </c>
      <c r="F370" s="2299" t="s">
        <v>2484</v>
      </c>
      <c r="G370" s="2299" t="s">
        <v>2485</v>
      </c>
      <c r="H370" s="2300" t="s">
        <v>2486</v>
      </c>
      <c r="I370" s="2300" t="s">
        <v>2487</v>
      </c>
      <c r="J370" s="2301" t="s">
        <v>2488</v>
      </c>
      <c r="K370" s="2301" t="s">
        <v>2489</v>
      </c>
      <c r="L370" s="2301" t="s">
        <v>2490</v>
      </c>
      <c r="M370" s="2302" t="s">
        <v>2491</v>
      </c>
      <c r="N370">
        <f>SUMPRODUCT((A371:A460=ROUNDDOWN(基准地价修正!G3,1))*(B370:M370=基准地价修正!G2)*(B371:M460))</f>
        <v>0</v>
      </c>
      <c r="Q370" s="2312" t="s">
        <v>2689</v>
      </c>
      <c r="R370" s="2312" t="s">
        <v>2690</v>
      </c>
      <c r="S370" s="2312" t="s">
        <v>2691</v>
      </c>
      <c r="T370" s="2312" t="s">
        <v>2692</v>
      </c>
    </row>
    <row r="371" spans="1:20">
      <c r="A371" s="2303">
        <v>1</v>
      </c>
      <c r="B371" s="2304">
        <v>1.1839999999999999</v>
      </c>
      <c r="C371" s="2304">
        <v>1.1839999999999999</v>
      </c>
      <c r="D371" s="2304">
        <v>1.1565000000000001</v>
      </c>
      <c r="E371" s="2304">
        <v>1.1565000000000001</v>
      </c>
      <c r="F371" s="2304">
        <v>1.1565000000000001</v>
      </c>
      <c r="G371" s="2304">
        <v>1.1565000000000001</v>
      </c>
      <c r="H371" s="2304">
        <v>1.1565000000000001</v>
      </c>
      <c r="I371" s="2304">
        <v>1.1198999999999999</v>
      </c>
      <c r="J371" s="2304">
        <v>1.1198999999999999</v>
      </c>
      <c r="K371" s="2304">
        <v>1.1198999999999999</v>
      </c>
      <c r="L371" s="2304">
        <v>1.1198999999999999</v>
      </c>
      <c r="M371" s="2305">
        <v>1.1198999999999999</v>
      </c>
      <c r="Q371" s="2312">
        <v>10</v>
      </c>
      <c r="R371" s="2312">
        <f>ROUND(0.9404-0.0106*Q371,4)</f>
        <v>0.83440000000000003</v>
      </c>
      <c r="S371" s="2312">
        <f>ROUND(0.8955-0.0135*Q371,4)</f>
        <v>0.76049999999999995</v>
      </c>
      <c r="T371" s="2312">
        <f>ROUND(0.7632-0.0166*Q371,4)</f>
        <v>0.59719999999999995</v>
      </c>
    </row>
    <row r="372" spans="1:20">
      <c r="A372" s="2303">
        <v>1.1000000000000001</v>
      </c>
      <c r="B372" s="2304">
        <v>1.1658999999999999</v>
      </c>
      <c r="C372" s="2304">
        <v>1.1658999999999999</v>
      </c>
      <c r="D372" s="2304">
        <v>1.1364000000000001</v>
      </c>
      <c r="E372" s="2304">
        <v>1.1364000000000001</v>
      </c>
      <c r="F372" s="2304">
        <v>1.1364000000000001</v>
      </c>
      <c r="G372" s="2304">
        <v>1.1364000000000001</v>
      </c>
      <c r="H372" s="2304">
        <v>1.1364000000000001</v>
      </c>
      <c r="I372" s="2304">
        <v>1.0931</v>
      </c>
      <c r="J372" s="2304">
        <v>1.0931</v>
      </c>
      <c r="K372" s="2304">
        <v>1.0931</v>
      </c>
      <c r="L372" s="2304">
        <v>1.0931</v>
      </c>
      <c r="M372" s="2305">
        <v>1.0931</v>
      </c>
    </row>
    <row r="373" spans="1:20">
      <c r="A373" s="2303">
        <v>1.2</v>
      </c>
      <c r="B373" s="2304">
        <v>1.1489</v>
      </c>
      <c r="C373" s="2304">
        <v>1.1489</v>
      </c>
      <c r="D373" s="2304">
        <v>1.1174999999999999</v>
      </c>
      <c r="E373" s="2304">
        <v>1.1174999999999999</v>
      </c>
      <c r="F373" s="2304">
        <v>1.1174999999999999</v>
      </c>
      <c r="G373" s="2304">
        <v>1.1174999999999999</v>
      </c>
      <c r="H373" s="2304">
        <v>1.1174999999999999</v>
      </c>
      <c r="I373" s="2304">
        <v>1.0678000000000001</v>
      </c>
      <c r="J373" s="2304">
        <v>1.0678000000000001</v>
      </c>
      <c r="K373" s="2304">
        <v>1.0678000000000001</v>
      </c>
      <c r="L373" s="2304">
        <v>1.0678000000000001</v>
      </c>
      <c r="M373" s="2305">
        <v>1.0678000000000001</v>
      </c>
    </row>
    <row r="374" spans="1:20">
      <c r="A374" s="2303">
        <v>1.3</v>
      </c>
      <c r="B374" s="2304">
        <v>1.1328</v>
      </c>
      <c r="C374" s="2304">
        <v>1.1328</v>
      </c>
      <c r="D374" s="2304">
        <v>1.0995999999999999</v>
      </c>
      <c r="E374" s="2304">
        <v>1.0995999999999999</v>
      </c>
      <c r="F374" s="2304">
        <v>1.0995999999999999</v>
      </c>
      <c r="G374" s="2304">
        <v>1.0995999999999999</v>
      </c>
      <c r="H374" s="2304">
        <v>1.0995999999999999</v>
      </c>
      <c r="I374" s="2304">
        <v>1.044</v>
      </c>
      <c r="J374" s="2304">
        <v>1.044</v>
      </c>
      <c r="K374" s="2304">
        <v>1.044</v>
      </c>
      <c r="L374" s="2304">
        <v>1.044</v>
      </c>
      <c r="M374" s="2305">
        <v>1.044</v>
      </c>
    </row>
    <row r="375" spans="1:20">
      <c r="A375" s="2303">
        <v>1.4</v>
      </c>
      <c r="B375" s="2304">
        <v>1.1175999999999999</v>
      </c>
      <c r="C375" s="2304">
        <v>1.1175999999999999</v>
      </c>
      <c r="D375" s="2304">
        <v>1.0827</v>
      </c>
      <c r="E375" s="2304">
        <v>1.0827</v>
      </c>
      <c r="F375" s="2304">
        <v>1.0827</v>
      </c>
      <c r="G375" s="2304">
        <v>1.0827</v>
      </c>
      <c r="H375" s="2304">
        <v>1.0827</v>
      </c>
      <c r="I375" s="2304">
        <v>1.0214000000000001</v>
      </c>
      <c r="J375" s="2304">
        <v>1.0214000000000001</v>
      </c>
      <c r="K375" s="2304">
        <v>1.0214000000000001</v>
      </c>
      <c r="L375" s="2304">
        <v>1.0214000000000001</v>
      </c>
      <c r="M375" s="2305">
        <v>1.0214000000000001</v>
      </c>
    </row>
    <row r="376" spans="1:20">
      <c r="A376" s="2303">
        <v>1.5</v>
      </c>
      <c r="B376" s="2304">
        <v>1.1032999999999999</v>
      </c>
      <c r="C376" s="2304">
        <v>1.1032999999999999</v>
      </c>
      <c r="D376" s="2304">
        <v>1.0668</v>
      </c>
      <c r="E376" s="2304">
        <v>1.0668</v>
      </c>
      <c r="F376" s="2304">
        <v>1.0668</v>
      </c>
      <c r="G376" s="2304">
        <v>1.0668</v>
      </c>
      <c r="H376" s="2304">
        <v>1.0668</v>
      </c>
      <c r="I376" s="2304">
        <v>1</v>
      </c>
      <c r="J376" s="2304">
        <v>1</v>
      </c>
      <c r="K376" s="2304">
        <v>1</v>
      </c>
      <c r="L376" s="2304">
        <v>1</v>
      </c>
      <c r="M376" s="2305">
        <v>1</v>
      </c>
    </row>
    <row r="377" spans="1:20">
      <c r="A377" s="2303">
        <v>1.6</v>
      </c>
      <c r="B377" s="2304">
        <v>1.0899000000000001</v>
      </c>
      <c r="C377" s="2304">
        <v>1.0899000000000001</v>
      </c>
      <c r="D377" s="2304">
        <v>1.0517000000000001</v>
      </c>
      <c r="E377" s="2304">
        <v>1.0517000000000001</v>
      </c>
      <c r="F377" s="2304">
        <v>1.0517000000000001</v>
      </c>
      <c r="G377" s="2304">
        <v>1.0517000000000001</v>
      </c>
      <c r="H377" s="2304">
        <v>1.0517000000000001</v>
      </c>
      <c r="I377" s="2304">
        <v>0.97989999999999999</v>
      </c>
      <c r="J377" s="2304">
        <v>0.97989999999999999</v>
      </c>
      <c r="K377" s="2304">
        <v>0.97989999999999999</v>
      </c>
      <c r="L377" s="2304">
        <v>0.97989999999999999</v>
      </c>
      <c r="M377" s="2305">
        <v>0.97989999999999999</v>
      </c>
    </row>
    <row r="378" spans="1:20">
      <c r="A378" s="2303">
        <v>1.7</v>
      </c>
      <c r="B378" s="2304">
        <v>1.0771999999999999</v>
      </c>
      <c r="C378" s="2304">
        <v>1.0771999999999999</v>
      </c>
      <c r="D378" s="2304">
        <v>1.0376000000000001</v>
      </c>
      <c r="E378" s="2304">
        <v>1.0376000000000001</v>
      </c>
      <c r="F378" s="2304">
        <v>1.0376000000000001</v>
      </c>
      <c r="G378" s="2304">
        <v>1.0376000000000001</v>
      </c>
      <c r="H378" s="2304">
        <v>1.0376000000000001</v>
      </c>
      <c r="I378" s="2304">
        <v>0.96089999999999998</v>
      </c>
      <c r="J378" s="2304">
        <v>0.96089999999999998</v>
      </c>
      <c r="K378" s="2304">
        <v>0.96089999999999998</v>
      </c>
      <c r="L378" s="2304">
        <v>0.96089999999999998</v>
      </c>
      <c r="M378" s="2305">
        <v>0.96089999999999998</v>
      </c>
    </row>
    <row r="379" spans="1:20">
      <c r="A379" s="2303">
        <v>1.8</v>
      </c>
      <c r="B379" s="2304">
        <v>1.0652999999999999</v>
      </c>
      <c r="C379" s="2304">
        <v>1.0652999999999999</v>
      </c>
      <c r="D379" s="2304">
        <v>1.0243</v>
      </c>
      <c r="E379" s="2304">
        <v>1.0243</v>
      </c>
      <c r="F379" s="2304">
        <v>1.0243</v>
      </c>
      <c r="G379" s="2304">
        <v>1.0243</v>
      </c>
      <c r="H379" s="2304">
        <v>1.0243</v>
      </c>
      <c r="I379" s="2304">
        <v>0.94299999999999995</v>
      </c>
      <c r="J379" s="2304">
        <v>0.94299999999999995</v>
      </c>
      <c r="K379" s="2304">
        <v>0.94299999999999995</v>
      </c>
      <c r="L379" s="2304">
        <v>0.94299999999999995</v>
      </c>
      <c r="M379" s="2305">
        <v>0.94299999999999995</v>
      </c>
    </row>
    <row r="380" spans="1:20">
      <c r="A380" s="2303">
        <v>1.9</v>
      </c>
      <c r="B380" s="2304">
        <v>1.054</v>
      </c>
      <c r="C380" s="2304">
        <v>1.054</v>
      </c>
      <c r="D380" s="2304">
        <v>1.0118</v>
      </c>
      <c r="E380" s="2304">
        <v>1.0118</v>
      </c>
      <c r="F380" s="2304">
        <v>1.0118</v>
      </c>
      <c r="G380" s="2304">
        <v>1.0118</v>
      </c>
      <c r="H380" s="2304">
        <v>1.0118</v>
      </c>
      <c r="I380" s="2304">
        <v>0.92620000000000002</v>
      </c>
      <c r="J380" s="2304">
        <v>0.92620000000000002</v>
      </c>
      <c r="K380" s="2304">
        <v>0.92620000000000002</v>
      </c>
      <c r="L380" s="2304">
        <v>0.92620000000000002</v>
      </c>
      <c r="M380" s="2305">
        <v>0.92620000000000002</v>
      </c>
    </row>
    <row r="381" spans="1:20">
      <c r="A381" s="2303">
        <v>2</v>
      </c>
      <c r="B381" s="2304">
        <v>1.0435000000000001</v>
      </c>
      <c r="C381" s="2304">
        <v>1.0435000000000001</v>
      </c>
      <c r="D381" s="2304">
        <v>1</v>
      </c>
      <c r="E381" s="2304">
        <v>1</v>
      </c>
      <c r="F381" s="2304">
        <v>1</v>
      </c>
      <c r="G381" s="2304">
        <v>1</v>
      </c>
      <c r="H381" s="2304">
        <v>1</v>
      </c>
      <c r="I381" s="2304">
        <v>0.9103</v>
      </c>
      <c r="J381" s="2304">
        <v>0.9103</v>
      </c>
      <c r="K381" s="2304">
        <v>0.9103</v>
      </c>
      <c r="L381" s="2304">
        <v>0.9103</v>
      </c>
      <c r="M381" s="2305">
        <v>0.9103</v>
      </c>
    </row>
    <row r="382" spans="1:20">
      <c r="A382" s="2306">
        <v>2.1</v>
      </c>
      <c r="B382" s="2304">
        <v>1.0336000000000001</v>
      </c>
      <c r="C382" s="2304">
        <v>1.0336000000000001</v>
      </c>
      <c r="D382" s="2304">
        <v>0.98899999999999999</v>
      </c>
      <c r="E382" s="2304">
        <v>0.98899999999999999</v>
      </c>
      <c r="F382" s="2304">
        <v>0.98899999999999999</v>
      </c>
      <c r="G382" s="2304">
        <v>0.98899999999999999</v>
      </c>
      <c r="H382" s="2304">
        <v>0.98899999999999999</v>
      </c>
      <c r="I382" s="2304">
        <v>0.89539999999999997</v>
      </c>
      <c r="J382" s="2304">
        <v>0.89539999999999997</v>
      </c>
      <c r="K382" s="2304">
        <v>0.89539999999999997</v>
      </c>
      <c r="L382" s="2304">
        <v>0.89539999999999997</v>
      </c>
      <c r="M382" s="2305">
        <v>0.89539999999999997</v>
      </c>
    </row>
    <row r="383" spans="1:20">
      <c r="A383" s="2306">
        <v>2.2000000000000002</v>
      </c>
      <c r="B383" s="2304">
        <v>1.0243</v>
      </c>
      <c r="C383" s="2304">
        <v>1.0243</v>
      </c>
      <c r="D383" s="2304">
        <v>0.97860000000000003</v>
      </c>
      <c r="E383" s="2304">
        <v>0.97860000000000003</v>
      </c>
      <c r="F383" s="2304">
        <v>0.97860000000000003</v>
      </c>
      <c r="G383" s="2304">
        <v>0.97860000000000003</v>
      </c>
      <c r="H383" s="2304">
        <v>0.97860000000000003</v>
      </c>
      <c r="I383" s="2304">
        <v>0.88139999999999996</v>
      </c>
      <c r="J383" s="2304">
        <v>0.88139999999999996</v>
      </c>
      <c r="K383" s="2304">
        <v>0.88139999999999996</v>
      </c>
      <c r="L383" s="2304">
        <v>0.88139999999999996</v>
      </c>
      <c r="M383" s="2305">
        <v>0.88139999999999996</v>
      </c>
    </row>
    <row r="384" spans="1:20">
      <c r="A384" s="2306">
        <v>2.2999999999999998</v>
      </c>
      <c r="B384" s="2304">
        <v>1.0157</v>
      </c>
      <c r="C384" s="2304">
        <v>1.0157</v>
      </c>
      <c r="D384" s="2304">
        <v>0.96889999999999998</v>
      </c>
      <c r="E384" s="2304">
        <v>0.96889999999999998</v>
      </c>
      <c r="F384" s="2304">
        <v>0.96889999999999998</v>
      </c>
      <c r="G384" s="2304">
        <v>0.96889999999999998</v>
      </c>
      <c r="H384" s="2304">
        <v>0.96889999999999998</v>
      </c>
      <c r="I384" s="2304">
        <v>0.86819999999999997</v>
      </c>
      <c r="J384" s="2304">
        <v>0.86819999999999997</v>
      </c>
      <c r="K384" s="2304">
        <v>0.86819999999999997</v>
      </c>
      <c r="L384" s="2304">
        <v>0.86819999999999997</v>
      </c>
      <c r="M384" s="2305">
        <v>0.86819999999999997</v>
      </c>
    </row>
    <row r="385" spans="1:13">
      <c r="A385" s="2306">
        <v>2.4</v>
      </c>
      <c r="B385" s="2304">
        <v>1.0076000000000001</v>
      </c>
      <c r="C385" s="2304">
        <v>1.0076000000000001</v>
      </c>
      <c r="D385" s="2304">
        <v>0.95979999999999999</v>
      </c>
      <c r="E385" s="2304">
        <v>0.95979999999999999</v>
      </c>
      <c r="F385" s="2304">
        <v>0.95979999999999999</v>
      </c>
      <c r="G385" s="2304">
        <v>0.95979999999999999</v>
      </c>
      <c r="H385" s="2304">
        <v>0.95979999999999999</v>
      </c>
      <c r="I385" s="2304">
        <v>0.85580000000000001</v>
      </c>
      <c r="J385" s="2304">
        <v>0.85580000000000001</v>
      </c>
      <c r="K385" s="2304">
        <v>0.85580000000000001</v>
      </c>
      <c r="L385" s="2304">
        <v>0.85580000000000001</v>
      </c>
      <c r="M385" s="2305">
        <v>0.85580000000000001</v>
      </c>
    </row>
    <row r="386" spans="1:13">
      <c r="A386" s="2306">
        <v>2.5</v>
      </c>
      <c r="B386" s="2304">
        <v>1</v>
      </c>
      <c r="C386" s="2304">
        <v>1</v>
      </c>
      <c r="D386" s="2304">
        <v>0.95120000000000005</v>
      </c>
      <c r="E386" s="2304">
        <v>0.95120000000000005</v>
      </c>
      <c r="F386" s="2304">
        <v>0.95120000000000005</v>
      </c>
      <c r="G386" s="2304">
        <v>0.95120000000000005</v>
      </c>
      <c r="H386" s="2304">
        <v>0.95120000000000005</v>
      </c>
      <c r="I386" s="2304">
        <v>0.84419999999999995</v>
      </c>
      <c r="J386" s="2304">
        <v>0.84419999999999995</v>
      </c>
      <c r="K386" s="2304">
        <v>0.84419999999999995</v>
      </c>
      <c r="L386" s="2304">
        <v>0.84419999999999995</v>
      </c>
      <c r="M386" s="2305">
        <v>0.84419999999999995</v>
      </c>
    </row>
    <row r="387" spans="1:13">
      <c r="A387" s="2306">
        <v>2.6</v>
      </c>
      <c r="B387" s="2304">
        <v>0.9929</v>
      </c>
      <c r="C387" s="2304">
        <v>0.9929</v>
      </c>
      <c r="D387" s="2304">
        <v>0.94320000000000004</v>
      </c>
      <c r="E387" s="2304">
        <v>0.94320000000000004</v>
      </c>
      <c r="F387" s="2304">
        <v>0.94320000000000004</v>
      </c>
      <c r="G387" s="2304">
        <v>0.94320000000000004</v>
      </c>
      <c r="H387" s="2304">
        <v>0.94320000000000004</v>
      </c>
      <c r="I387" s="2304">
        <v>0.83330000000000004</v>
      </c>
      <c r="J387" s="2304">
        <v>0.83330000000000004</v>
      </c>
      <c r="K387" s="2304">
        <v>0.83330000000000004</v>
      </c>
      <c r="L387" s="2304">
        <v>0.83330000000000004</v>
      </c>
      <c r="M387" s="2305">
        <v>0.83330000000000004</v>
      </c>
    </row>
    <row r="388" spans="1:13">
      <c r="A388" s="2306">
        <v>2.7</v>
      </c>
      <c r="B388" s="2304">
        <v>0.98629999999999995</v>
      </c>
      <c r="C388" s="2304">
        <v>0.98629999999999995</v>
      </c>
      <c r="D388" s="2304">
        <v>0.93569999999999998</v>
      </c>
      <c r="E388" s="2304">
        <v>0.93569999999999998</v>
      </c>
      <c r="F388" s="2304">
        <v>0.93569999999999998</v>
      </c>
      <c r="G388" s="2304">
        <v>0.93569999999999998</v>
      </c>
      <c r="H388" s="2304">
        <v>0.93569999999999998</v>
      </c>
      <c r="I388" s="2304">
        <v>0.82320000000000004</v>
      </c>
      <c r="J388" s="2304">
        <v>0.82320000000000004</v>
      </c>
      <c r="K388" s="2304">
        <v>0.82320000000000004</v>
      </c>
      <c r="L388" s="2304">
        <v>0.82320000000000004</v>
      </c>
      <c r="M388" s="2305">
        <v>0.82320000000000004</v>
      </c>
    </row>
    <row r="389" spans="1:13">
      <c r="A389" s="2306">
        <v>2.8</v>
      </c>
      <c r="B389" s="2304">
        <v>0.98009999999999997</v>
      </c>
      <c r="C389" s="2304">
        <v>0.98009999999999997</v>
      </c>
      <c r="D389" s="2304">
        <v>0.92879999999999996</v>
      </c>
      <c r="E389" s="2304">
        <v>0.92879999999999996</v>
      </c>
      <c r="F389" s="2304">
        <v>0.92879999999999996</v>
      </c>
      <c r="G389" s="2304">
        <v>0.92879999999999996</v>
      </c>
      <c r="H389" s="2304">
        <v>0.92879999999999996</v>
      </c>
      <c r="I389" s="2304">
        <v>0.81359999999999999</v>
      </c>
      <c r="J389" s="2304">
        <v>0.81359999999999999</v>
      </c>
      <c r="K389" s="2304">
        <v>0.81359999999999999</v>
      </c>
      <c r="L389" s="2304">
        <v>0.81359999999999999</v>
      </c>
      <c r="M389" s="2305">
        <v>0.81359999999999999</v>
      </c>
    </row>
    <row r="390" spans="1:13">
      <c r="A390" s="2306">
        <v>2.9</v>
      </c>
      <c r="B390" s="2304">
        <v>0.97430000000000005</v>
      </c>
      <c r="C390" s="2304">
        <v>0.97430000000000005</v>
      </c>
      <c r="D390" s="2304">
        <v>0.92220000000000002</v>
      </c>
      <c r="E390" s="2304">
        <v>0.92220000000000002</v>
      </c>
      <c r="F390" s="2304">
        <v>0.92220000000000002</v>
      </c>
      <c r="G390" s="2304">
        <v>0.92220000000000002</v>
      </c>
      <c r="H390" s="2304">
        <v>0.92220000000000002</v>
      </c>
      <c r="I390" s="2304">
        <v>0.80459999999999998</v>
      </c>
      <c r="J390" s="2304">
        <v>0.80459999999999998</v>
      </c>
      <c r="K390" s="2304">
        <v>0.80459999999999998</v>
      </c>
      <c r="L390" s="2304">
        <v>0.80459999999999998</v>
      </c>
      <c r="M390" s="2305">
        <v>0.80459999999999998</v>
      </c>
    </row>
    <row r="391" spans="1:13">
      <c r="A391" s="2306">
        <v>3</v>
      </c>
      <c r="B391" s="2304">
        <v>0.96889999999999998</v>
      </c>
      <c r="C391" s="2304">
        <v>0.96889999999999998</v>
      </c>
      <c r="D391" s="2304">
        <v>0.91610000000000003</v>
      </c>
      <c r="E391" s="2304">
        <v>0.91610000000000003</v>
      </c>
      <c r="F391" s="2304">
        <v>0.91610000000000003</v>
      </c>
      <c r="G391" s="2304">
        <v>0.91610000000000003</v>
      </c>
      <c r="H391" s="2304">
        <v>0.91610000000000003</v>
      </c>
      <c r="I391" s="2304">
        <v>0.79620000000000002</v>
      </c>
      <c r="J391" s="2304">
        <v>0.79620000000000002</v>
      </c>
      <c r="K391" s="2304">
        <v>0.79620000000000002</v>
      </c>
      <c r="L391" s="2304">
        <v>0.79620000000000002</v>
      </c>
      <c r="M391" s="2305">
        <v>0.79620000000000002</v>
      </c>
    </row>
    <row r="392" spans="1:13">
      <c r="A392" s="2306">
        <v>3.1</v>
      </c>
      <c r="B392" s="2304">
        <v>0.96389999999999998</v>
      </c>
      <c r="C392" s="2304">
        <v>0.96389999999999998</v>
      </c>
      <c r="D392" s="2304">
        <v>0.91039999999999999</v>
      </c>
      <c r="E392" s="2304">
        <v>0.91039999999999999</v>
      </c>
      <c r="F392" s="2304">
        <v>0.91039999999999999</v>
      </c>
      <c r="G392" s="2304">
        <v>0.91039999999999999</v>
      </c>
      <c r="H392" s="2304">
        <v>0.91039999999999999</v>
      </c>
      <c r="I392" s="2304">
        <v>0.7883</v>
      </c>
      <c r="J392" s="2304">
        <v>0.7883</v>
      </c>
      <c r="K392" s="2304">
        <v>0.7883</v>
      </c>
      <c r="L392" s="2304">
        <v>0.7883</v>
      </c>
      <c r="M392" s="2305">
        <v>0.7883</v>
      </c>
    </row>
    <row r="393" spans="1:13">
      <c r="A393" s="2306">
        <v>3.2</v>
      </c>
      <c r="B393" s="2304">
        <v>0.95930000000000004</v>
      </c>
      <c r="C393" s="2304">
        <v>0.95930000000000004</v>
      </c>
      <c r="D393" s="2304">
        <v>0.9052</v>
      </c>
      <c r="E393" s="2304">
        <v>0.9052</v>
      </c>
      <c r="F393" s="2304">
        <v>0.9052</v>
      </c>
      <c r="G393" s="2304">
        <v>0.9052</v>
      </c>
      <c r="H393" s="2304">
        <v>0.9052</v>
      </c>
      <c r="I393" s="2304">
        <v>0.78090000000000004</v>
      </c>
      <c r="J393" s="2304">
        <v>0.78090000000000004</v>
      </c>
      <c r="K393" s="2304">
        <v>0.78090000000000004</v>
      </c>
      <c r="L393" s="2304">
        <v>0.78090000000000004</v>
      </c>
      <c r="M393" s="2305">
        <v>0.78090000000000004</v>
      </c>
    </row>
    <row r="394" spans="1:13">
      <c r="A394" s="2306">
        <v>3.3</v>
      </c>
      <c r="B394" s="2304">
        <v>0.95489999999999997</v>
      </c>
      <c r="C394" s="2304">
        <v>0.95489999999999997</v>
      </c>
      <c r="D394" s="2304">
        <v>0.9002</v>
      </c>
      <c r="E394" s="2304">
        <v>0.9002</v>
      </c>
      <c r="F394" s="2304">
        <v>0.9002</v>
      </c>
      <c r="G394" s="2304">
        <v>0.9002</v>
      </c>
      <c r="H394" s="2304">
        <v>0.9002</v>
      </c>
      <c r="I394" s="2304">
        <v>0.77410000000000001</v>
      </c>
      <c r="J394" s="2304">
        <v>0.77410000000000001</v>
      </c>
      <c r="K394" s="2304">
        <v>0.77410000000000001</v>
      </c>
      <c r="L394" s="2304">
        <v>0.77410000000000001</v>
      </c>
      <c r="M394" s="2305">
        <v>0.77410000000000001</v>
      </c>
    </row>
    <row r="395" spans="1:13">
      <c r="A395" s="2306">
        <v>3.4</v>
      </c>
      <c r="B395" s="2304">
        <v>0.95089999999999997</v>
      </c>
      <c r="C395" s="2304">
        <v>0.95089999999999997</v>
      </c>
      <c r="D395" s="2304">
        <v>0.89559999999999995</v>
      </c>
      <c r="E395" s="2304">
        <v>0.89559999999999995</v>
      </c>
      <c r="F395" s="2304">
        <v>0.89559999999999995</v>
      </c>
      <c r="G395" s="2304">
        <v>0.89559999999999995</v>
      </c>
      <c r="H395" s="2304">
        <v>0.89559999999999995</v>
      </c>
      <c r="I395" s="2304">
        <v>0.76759999999999995</v>
      </c>
      <c r="J395" s="2304">
        <v>0.76759999999999995</v>
      </c>
      <c r="K395" s="2304">
        <v>0.76759999999999995</v>
      </c>
      <c r="L395" s="2304">
        <v>0.76759999999999995</v>
      </c>
      <c r="M395" s="2305">
        <v>0.76759999999999995</v>
      </c>
    </row>
    <row r="396" spans="1:13">
      <c r="A396" s="2306">
        <v>3.5</v>
      </c>
      <c r="B396" s="2304">
        <v>0.94710000000000005</v>
      </c>
      <c r="C396" s="2304">
        <v>0.94710000000000005</v>
      </c>
      <c r="D396" s="2304">
        <v>0.89129999999999998</v>
      </c>
      <c r="E396" s="2304">
        <v>0.89129999999999998</v>
      </c>
      <c r="F396" s="2304">
        <v>0.89129999999999998</v>
      </c>
      <c r="G396" s="2304">
        <v>0.89129999999999998</v>
      </c>
      <c r="H396" s="2304">
        <v>0.89129999999999998</v>
      </c>
      <c r="I396" s="2304">
        <v>0.76160000000000005</v>
      </c>
      <c r="J396" s="2304">
        <v>0.76160000000000005</v>
      </c>
      <c r="K396" s="2304">
        <v>0.76160000000000005</v>
      </c>
      <c r="L396" s="2304">
        <v>0.76160000000000005</v>
      </c>
      <c r="M396" s="2305">
        <v>0.76160000000000005</v>
      </c>
    </row>
    <row r="397" spans="1:13">
      <c r="A397" s="2306">
        <v>3.6</v>
      </c>
      <c r="B397" s="2304">
        <v>0.94359999999999999</v>
      </c>
      <c r="C397" s="2304">
        <v>0.94359999999999999</v>
      </c>
      <c r="D397" s="2304">
        <v>0.88729999999999998</v>
      </c>
      <c r="E397" s="2304">
        <v>0.88729999999999998</v>
      </c>
      <c r="F397" s="2304">
        <v>0.88729999999999998</v>
      </c>
      <c r="G397" s="2304">
        <v>0.88729999999999998</v>
      </c>
      <c r="H397" s="2304">
        <v>0.88729999999999998</v>
      </c>
      <c r="I397" s="2304">
        <v>0.75590000000000002</v>
      </c>
      <c r="J397" s="2304">
        <v>0.75590000000000002</v>
      </c>
      <c r="K397" s="2304">
        <v>0.75590000000000002</v>
      </c>
      <c r="L397" s="2304">
        <v>0.75590000000000002</v>
      </c>
      <c r="M397" s="2305">
        <v>0.75590000000000002</v>
      </c>
    </row>
    <row r="398" spans="1:13">
      <c r="A398" s="2306">
        <v>3.7</v>
      </c>
      <c r="B398" s="2304">
        <v>0.94040000000000001</v>
      </c>
      <c r="C398" s="2304">
        <v>0.94040000000000001</v>
      </c>
      <c r="D398" s="2304">
        <v>0.88349999999999995</v>
      </c>
      <c r="E398" s="2304">
        <v>0.88349999999999995</v>
      </c>
      <c r="F398" s="2304">
        <v>0.88349999999999995</v>
      </c>
      <c r="G398" s="2304">
        <v>0.88349999999999995</v>
      </c>
      <c r="H398" s="2304">
        <v>0.88349999999999995</v>
      </c>
      <c r="I398" s="2304">
        <v>0.75070000000000003</v>
      </c>
      <c r="J398" s="2304">
        <v>0.75070000000000003</v>
      </c>
      <c r="K398" s="2304">
        <v>0.75070000000000003</v>
      </c>
      <c r="L398" s="2304">
        <v>0.75070000000000003</v>
      </c>
      <c r="M398" s="2305">
        <v>0.75070000000000003</v>
      </c>
    </row>
    <row r="399" spans="1:13">
      <c r="A399" s="2306">
        <v>3.8</v>
      </c>
      <c r="B399" s="2304">
        <v>0.93740000000000001</v>
      </c>
      <c r="C399" s="2304">
        <v>0.93740000000000001</v>
      </c>
      <c r="D399" s="2304">
        <v>0.88009999999999999</v>
      </c>
      <c r="E399" s="2304">
        <v>0.88009999999999999</v>
      </c>
      <c r="F399" s="2304">
        <v>0.88009999999999999</v>
      </c>
      <c r="G399" s="2304">
        <v>0.88009999999999999</v>
      </c>
      <c r="H399" s="2304">
        <v>0.88009999999999999</v>
      </c>
      <c r="I399" s="2304">
        <v>0.74570000000000003</v>
      </c>
      <c r="J399" s="2304">
        <v>0.74570000000000003</v>
      </c>
      <c r="K399" s="2304">
        <v>0.74570000000000003</v>
      </c>
      <c r="L399" s="2304">
        <v>0.74570000000000003</v>
      </c>
      <c r="M399" s="2305">
        <v>0.74570000000000003</v>
      </c>
    </row>
    <row r="400" spans="1:13">
      <c r="A400" s="2306">
        <v>3.9</v>
      </c>
      <c r="B400" s="2304">
        <v>0.93459999999999999</v>
      </c>
      <c r="C400" s="2304">
        <v>0.93459999999999999</v>
      </c>
      <c r="D400" s="2304">
        <v>0.87680000000000002</v>
      </c>
      <c r="E400" s="2304">
        <v>0.87680000000000002</v>
      </c>
      <c r="F400" s="2304">
        <v>0.87680000000000002</v>
      </c>
      <c r="G400" s="2304">
        <v>0.87680000000000002</v>
      </c>
      <c r="H400" s="2304">
        <v>0.87680000000000002</v>
      </c>
      <c r="I400" s="2304">
        <v>0.74109999999999998</v>
      </c>
      <c r="J400" s="2304">
        <v>0.74109999999999998</v>
      </c>
      <c r="K400" s="2304">
        <v>0.74109999999999998</v>
      </c>
      <c r="L400" s="2304">
        <v>0.74109999999999998</v>
      </c>
      <c r="M400" s="2305">
        <v>0.74109999999999998</v>
      </c>
    </row>
    <row r="401" spans="1:13">
      <c r="A401" s="2306">
        <v>4</v>
      </c>
      <c r="B401" s="2304">
        <v>0.93179999999999996</v>
      </c>
      <c r="C401" s="2304">
        <v>0.93179999999999996</v>
      </c>
      <c r="D401" s="2304">
        <v>0.87380000000000002</v>
      </c>
      <c r="E401" s="2304">
        <v>0.87380000000000002</v>
      </c>
      <c r="F401" s="2304">
        <v>0.87380000000000002</v>
      </c>
      <c r="G401" s="2304">
        <v>0.87380000000000002</v>
      </c>
      <c r="H401" s="2304">
        <v>0.87380000000000002</v>
      </c>
      <c r="I401" s="2304">
        <v>0.73680000000000001</v>
      </c>
      <c r="J401" s="2304">
        <v>0.73680000000000001</v>
      </c>
      <c r="K401" s="2304">
        <v>0.73680000000000001</v>
      </c>
      <c r="L401" s="2304">
        <v>0.73680000000000001</v>
      </c>
      <c r="M401" s="2305">
        <v>0.73680000000000001</v>
      </c>
    </row>
    <row r="402" spans="1:13">
      <c r="A402" s="2306">
        <v>4.0999999999999996</v>
      </c>
      <c r="B402" s="2304">
        <v>0.92920000000000003</v>
      </c>
      <c r="C402" s="2304">
        <v>0.92920000000000003</v>
      </c>
      <c r="D402" s="2304">
        <v>0.87090000000000001</v>
      </c>
      <c r="E402" s="2304">
        <v>0.87090000000000001</v>
      </c>
      <c r="F402" s="2304">
        <v>0.87090000000000001</v>
      </c>
      <c r="G402" s="2304">
        <v>0.87090000000000001</v>
      </c>
      <c r="H402" s="2304">
        <v>0.87090000000000001</v>
      </c>
      <c r="I402" s="2304">
        <v>0.73270000000000002</v>
      </c>
      <c r="J402" s="2304">
        <v>0.73270000000000002</v>
      </c>
      <c r="K402" s="2304">
        <v>0.73270000000000002</v>
      </c>
      <c r="L402" s="2304">
        <v>0.73270000000000002</v>
      </c>
      <c r="M402" s="2305">
        <v>0.73270000000000002</v>
      </c>
    </row>
    <row r="403" spans="1:13">
      <c r="A403" s="2306">
        <v>4.2</v>
      </c>
      <c r="B403" s="2304">
        <v>0.92659999999999998</v>
      </c>
      <c r="C403" s="2304">
        <v>0.92659999999999998</v>
      </c>
      <c r="D403" s="2304">
        <v>0.86819999999999997</v>
      </c>
      <c r="E403" s="2304">
        <v>0.86819999999999997</v>
      </c>
      <c r="F403" s="2304">
        <v>0.86819999999999997</v>
      </c>
      <c r="G403" s="2304">
        <v>0.86819999999999997</v>
      </c>
      <c r="H403" s="2304">
        <v>0.86819999999999997</v>
      </c>
      <c r="I403" s="2304">
        <v>0.7288</v>
      </c>
      <c r="J403" s="2304">
        <v>0.7288</v>
      </c>
      <c r="K403" s="2304">
        <v>0.7288</v>
      </c>
      <c r="L403" s="2304">
        <v>0.7288</v>
      </c>
      <c r="M403" s="2305">
        <v>0.7288</v>
      </c>
    </row>
    <row r="404" spans="1:13">
      <c r="A404" s="2306">
        <v>4.3</v>
      </c>
      <c r="B404" s="2304">
        <v>0.92410000000000003</v>
      </c>
      <c r="C404" s="2304">
        <v>0.92410000000000003</v>
      </c>
      <c r="D404" s="2304">
        <v>0.86550000000000005</v>
      </c>
      <c r="E404" s="2304">
        <v>0.86550000000000005</v>
      </c>
      <c r="F404" s="2304">
        <v>0.86550000000000005</v>
      </c>
      <c r="G404" s="2304">
        <v>0.86550000000000005</v>
      </c>
      <c r="H404" s="2304">
        <v>0.86550000000000005</v>
      </c>
      <c r="I404" s="2304">
        <v>0.72509999999999997</v>
      </c>
      <c r="J404" s="2304">
        <v>0.72509999999999997</v>
      </c>
      <c r="K404" s="2304">
        <v>0.72509999999999997</v>
      </c>
      <c r="L404" s="2304">
        <v>0.72509999999999997</v>
      </c>
      <c r="M404" s="2305">
        <v>0.72509999999999997</v>
      </c>
    </row>
    <row r="405" spans="1:13">
      <c r="A405" s="2306">
        <v>4.4000000000000004</v>
      </c>
      <c r="B405" s="2304">
        <v>0.92179999999999995</v>
      </c>
      <c r="C405" s="2304">
        <v>0.92179999999999995</v>
      </c>
      <c r="D405" s="2304">
        <v>0.8629</v>
      </c>
      <c r="E405" s="2304">
        <v>0.8629</v>
      </c>
      <c r="F405" s="2304">
        <v>0.8629</v>
      </c>
      <c r="G405" s="2304">
        <v>0.8629</v>
      </c>
      <c r="H405" s="2304">
        <v>0.8629</v>
      </c>
      <c r="I405" s="2304">
        <v>0.72150000000000003</v>
      </c>
      <c r="J405" s="2304">
        <v>0.72150000000000003</v>
      </c>
      <c r="K405" s="2304">
        <v>0.72150000000000003</v>
      </c>
      <c r="L405" s="2304">
        <v>0.72150000000000003</v>
      </c>
      <c r="M405" s="2305">
        <v>0.72150000000000003</v>
      </c>
    </row>
    <row r="406" spans="1:13">
      <c r="A406" s="2306">
        <v>4.5</v>
      </c>
      <c r="B406" s="2304">
        <v>0.91949999999999998</v>
      </c>
      <c r="C406" s="2304">
        <v>0.91949999999999998</v>
      </c>
      <c r="D406" s="2304">
        <v>0.86050000000000004</v>
      </c>
      <c r="E406" s="2304">
        <v>0.86050000000000004</v>
      </c>
      <c r="F406" s="2304">
        <v>0.86050000000000004</v>
      </c>
      <c r="G406" s="2304">
        <v>0.86050000000000004</v>
      </c>
      <c r="H406" s="2304">
        <v>0.86050000000000004</v>
      </c>
      <c r="I406" s="2304">
        <v>0.71819999999999995</v>
      </c>
      <c r="J406" s="2304">
        <v>0.71819999999999995</v>
      </c>
      <c r="K406" s="2304">
        <v>0.71819999999999995</v>
      </c>
      <c r="L406" s="2304">
        <v>0.71819999999999995</v>
      </c>
      <c r="M406" s="2305">
        <v>0.71819999999999995</v>
      </c>
    </row>
    <row r="407" spans="1:13">
      <c r="A407" s="2306">
        <v>4.5999999999999996</v>
      </c>
      <c r="B407" s="2304">
        <v>0.9173</v>
      </c>
      <c r="C407" s="2304">
        <v>0.9173</v>
      </c>
      <c r="D407" s="2304">
        <v>0.85809999999999997</v>
      </c>
      <c r="E407" s="2304">
        <v>0.85809999999999997</v>
      </c>
      <c r="F407" s="2304">
        <v>0.85809999999999997</v>
      </c>
      <c r="G407" s="2304">
        <v>0.85809999999999997</v>
      </c>
      <c r="H407" s="2304">
        <v>0.85809999999999997</v>
      </c>
      <c r="I407" s="2304">
        <v>0.71499999999999997</v>
      </c>
      <c r="J407" s="2304">
        <v>0.71499999999999997</v>
      </c>
      <c r="K407" s="2304">
        <v>0.71499999999999997</v>
      </c>
      <c r="L407" s="2304">
        <v>0.71499999999999997</v>
      </c>
      <c r="M407" s="2305">
        <v>0.71499999999999997</v>
      </c>
    </row>
    <row r="408" spans="1:13">
      <c r="A408" s="2306">
        <v>4.7</v>
      </c>
      <c r="B408" s="2304">
        <v>0.91520000000000001</v>
      </c>
      <c r="C408" s="2304">
        <v>0.91520000000000001</v>
      </c>
      <c r="D408" s="2304">
        <v>0.85570000000000002</v>
      </c>
      <c r="E408" s="2304">
        <v>0.85570000000000002</v>
      </c>
      <c r="F408" s="2304">
        <v>0.85570000000000002</v>
      </c>
      <c r="G408" s="2304">
        <v>0.85570000000000002</v>
      </c>
      <c r="H408" s="2304">
        <v>0.85570000000000002</v>
      </c>
      <c r="I408" s="2304">
        <v>0.71199999999999997</v>
      </c>
      <c r="J408" s="2304">
        <v>0.71199999999999997</v>
      </c>
      <c r="K408" s="2304">
        <v>0.71199999999999997</v>
      </c>
      <c r="L408" s="2304">
        <v>0.71199999999999997</v>
      </c>
      <c r="M408" s="2305">
        <v>0.71199999999999997</v>
      </c>
    </row>
    <row r="409" spans="1:13">
      <c r="A409" s="2306">
        <v>4.8</v>
      </c>
      <c r="B409" s="2304">
        <v>0.91310000000000002</v>
      </c>
      <c r="C409" s="2304">
        <v>0.91310000000000002</v>
      </c>
      <c r="D409" s="2304">
        <v>0.85340000000000005</v>
      </c>
      <c r="E409" s="2304">
        <v>0.85340000000000005</v>
      </c>
      <c r="F409" s="2304">
        <v>0.85340000000000005</v>
      </c>
      <c r="G409" s="2304">
        <v>0.85340000000000005</v>
      </c>
      <c r="H409" s="2304">
        <v>0.85340000000000005</v>
      </c>
      <c r="I409" s="2304">
        <v>0.70909999999999995</v>
      </c>
      <c r="J409" s="2304">
        <v>0.70909999999999995</v>
      </c>
      <c r="K409" s="2304">
        <v>0.70909999999999995</v>
      </c>
      <c r="L409" s="2304">
        <v>0.70909999999999995</v>
      </c>
      <c r="M409" s="2305">
        <v>0.70909999999999995</v>
      </c>
    </row>
    <row r="410" spans="1:13">
      <c r="A410" s="2306">
        <v>4.9000000000000004</v>
      </c>
      <c r="B410" s="2304">
        <v>0.91120000000000001</v>
      </c>
      <c r="C410" s="2304">
        <v>0.91120000000000001</v>
      </c>
      <c r="D410" s="2304">
        <v>0.85109999999999997</v>
      </c>
      <c r="E410" s="2304">
        <v>0.85109999999999997</v>
      </c>
      <c r="F410" s="2304">
        <v>0.85109999999999997</v>
      </c>
      <c r="G410" s="2304">
        <v>0.85109999999999997</v>
      </c>
      <c r="H410" s="2304">
        <v>0.85109999999999997</v>
      </c>
      <c r="I410" s="2304">
        <v>0.70620000000000005</v>
      </c>
      <c r="J410" s="2304">
        <v>0.70620000000000005</v>
      </c>
      <c r="K410" s="2304">
        <v>0.70620000000000005</v>
      </c>
      <c r="L410" s="2304">
        <v>0.70620000000000005</v>
      </c>
      <c r="M410" s="2305">
        <v>0.70620000000000005</v>
      </c>
    </row>
    <row r="411" spans="1:13">
      <c r="A411" s="2306">
        <v>5</v>
      </c>
      <c r="B411" s="2304">
        <v>0.90920000000000001</v>
      </c>
      <c r="C411" s="2304">
        <v>0.90920000000000001</v>
      </c>
      <c r="D411" s="2304">
        <v>0.84889999999999999</v>
      </c>
      <c r="E411" s="2304">
        <v>0.84889999999999999</v>
      </c>
      <c r="F411" s="2304">
        <v>0.84889999999999999</v>
      </c>
      <c r="G411" s="2304">
        <v>0.84889999999999999</v>
      </c>
      <c r="H411" s="2304">
        <v>0.84889999999999999</v>
      </c>
      <c r="I411" s="2304">
        <v>0.70350000000000001</v>
      </c>
      <c r="J411" s="2304">
        <v>0.70350000000000001</v>
      </c>
      <c r="K411" s="2304">
        <v>0.70350000000000001</v>
      </c>
      <c r="L411" s="2304">
        <v>0.70350000000000001</v>
      </c>
      <c r="M411" s="2305">
        <v>0.70350000000000001</v>
      </c>
    </row>
    <row r="412" spans="1:13">
      <c r="A412" s="2303">
        <v>5.0999999999999996</v>
      </c>
      <c r="B412" s="2304">
        <v>0.90720000000000001</v>
      </c>
      <c r="C412" s="2304">
        <v>0.90720000000000001</v>
      </c>
      <c r="D412" s="2304">
        <v>0.84670000000000001</v>
      </c>
      <c r="E412" s="2304">
        <v>0.84670000000000001</v>
      </c>
      <c r="F412" s="2304">
        <v>0.84670000000000001</v>
      </c>
      <c r="G412" s="2304">
        <v>0.84670000000000001</v>
      </c>
      <c r="H412" s="2304">
        <v>0.84670000000000001</v>
      </c>
      <c r="I412" s="2304">
        <v>0.70089999999999997</v>
      </c>
      <c r="J412" s="2304">
        <v>0.70089999999999997</v>
      </c>
      <c r="K412" s="2304">
        <v>0.70089999999999997</v>
      </c>
      <c r="L412" s="2304">
        <v>0.70089999999999997</v>
      </c>
      <c r="M412" s="2305">
        <v>0.70089999999999997</v>
      </c>
    </row>
    <row r="413" spans="1:13">
      <c r="A413" s="2303">
        <v>5.2</v>
      </c>
      <c r="B413" s="2304">
        <v>0.90529999999999999</v>
      </c>
      <c r="C413" s="2304">
        <v>0.90529999999999999</v>
      </c>
      <c r="D413" s="2304">
        <v>0.84450000000000003</v>
      </c>
      <c r="E413" s="2304">
        <v>0.84450000000000003</v>
      </c>
      <c r="F413" s="2304">
        <v>0.84450000000000003</v>
      </c>
      <c r="G413" s="2304">
        <v>0.84450000000000003</v>
      </c>
      <c r="H413" s="2304">
        <v>0.84450000000000003</v>
      </c>
      <c r="I413" s="2304">
        <v>0.69820000000000004</v>
      </c>
      <c r="J413" s="2304">
        <v>0.69820000000000004</v>
      </c>
      <c r="K413" s="2304">
        <v>0.69820000000000004</v>
      </c>
      <c r="L413" s="2304">
        <v>0.69820000000000004</v>
      </c>
      <c r="M413" s="2305">
        <v>0.69820000000000004</v>
      </c>
    </row>
    <row r="414" spans="1:13">
      <c r="A414" s="2303">
        <v>5.3</v>
      </c>
      <c r="B414" s="2304">
        <v>0.90339999999999998</v>
      </c>
      <c r="C414" s="2304">
        <v>0.90339999999999998</v>
      </c>
      <c r="D414" s="2304">
        <v>0.84230000000000005</v>
      </c>
      <c r="E414" s="2304">
        <v>0.84230000000000005</v>
      </c>
      <c r="F414" s="2304">
        <v>0.84230000000000005</v>
      </c>
      <c r="G414" s="2304">
        <v>0.84230000000000005</v>
      </c>
      <c r="H414" s="2304">
        <v>0.84230000000000005</v>
      </c>
      <c r="I414" s="2304">
        <v>0.69569999999999999</v>
      </c>
      <c r="J414" s="2304">
        <v>0.69569999999999999</v>
      </c>
      <c r="K414" s="2304">
        <v>0.69569999999999999</v>
      </c>
      <c r="L414" s="2304">
        <v>0.69569999999999999</v>
      </c>
      <c r="M414" s="2305">
        <v>0.69569999999999999</v>
      </c>
    </row>
    <row r="415" spans="1:13">
      <c r="A415" s="2303">
        <v>5.4</v>
      </c>
      <c r="B415" s="2304">
        <v>0.90149999999999997</v>
      </c>
      <c r="C415" s="2304">
        <v>0.90149999999999997</v>
      </c>
      <c r="D415" s="2304">
        <v>0.84019999999999995</v>
      </c>
      <c r="E415" s="2304">
        <v>0.84019999999999995</v>
      </c>
      <c r="F415" s="2304">
        <v>0.84019999999999995</v>
      </c>
      <c r="G415" s="2304">
        <v>0.84019999999999995</v>
      </c>
      <c r="H415" s="2304">
        <v>0.84019999999999995</v>
      </c>
      <c r="I415" s="2304">
        <v>0.69310000000000005</v>
      </c>
      <c r="J415" s="2304">
        <v>0.69310000000000005</v>
      </c>
      <c r="K415" s="2304">
        <v>0.69310000000000005</v>
      </c>
      <c r="L415" s="2304">
        <v>0.69310000000000005</v>
      </c>
      <c r="M415" s="2305">
        <v>0.69310000000000005</v>
      </c>
    </row>
    <row r="416" spans="1:13">
      <c r="A416" s="2303">
        <v>5.5</v>
      </c>
      <c r="B416" s="2304">
        <v>0.89959999999999996</v>
      </c>
      <c r="C416" s="2304">
        <v>0.89959999999999996</v>
      </c>
      <c r="D416" s="2304">
        <v>0.83809999999999996</v>
      </c>
      <c r="E416" s="2304">
        <v>0.83809999999999996</v>
      </c>
      <c r="F416" s="2304">
        <v>0.83809999999999996</v>
      </c>
      <c r="G416" s="2304">
        <v>0.83809999999999996</v>
      </c>
      <c r="H416" s="2304">
        <v>0.83809999999999996</v>
      </c>
      <c r="I416" s="2304">
        <v>0.69059999999999999</v>
      </c>
      <c r="J416" s="2304">
        <v>0.69059999999999999</v>
      </c>
      <c r="K416" s="2304">
        <v>0.69059999999999999</v>
      </c>
      <c r="L416" s="2304">
        <v>0.69059999999999999</v>
      </c>
      <c r="M416" s="2305">
        <v>0.69059999999999999</v>
      </c>
    </row>
    <row r="417" spans="1:13">
      <c r="A417" s="2303">
        <v>5.6</v>
      </c>
      <c r="B417" s="2304">
        <v>0.89780000000000004</v>
      </c>
      <c r="C417" s="2304">
        <v>0.89780000000000004</v>
      </c>
      <c r="D417" s="2304">
        <v>0.83599999999999997</v>
      </c>
      <c r="E417" s="2304">
        <v>0.83599999999999997</v>
      </c>
      <c r="F417" s="2304">
        <v>0.83599999999999997</v>
      </c>
      <c r="G417" s="2304">
        <v>0.83599999999999997</v>
      </c>
      <c r="H417" s="2304">
        <v>0.83599999999999997</v>
      </c>
      <c r="I417" s="2304">
        <v>0.68810000000000004</v>
      </c>
      <c r="J417" s="2304">
        <v>0.68810000000000004</v>
      </c>
      <c r="K417" s="2304">
        <v>0.68810000000000004</v>
      </c>
      <c r="L417" s="2304">
        <v>0.68810000000000004</v>
      </c>
      <c r="M417" s="2305">
        <v>0.68810000000000004</v>
      </c>
    </row>
    <row r="418" spans="1:13">
      <c r="A418" s="2306">
        <v>5.7</v>
      </c>
      <c r="B418" s="2304">
        <v>0.89600000000000002</v>
      </c>
      <c r="C418" s="2304">
        <v>0.89600000000000002</v>
      </c>
      <c r="D418" s="2304">
        <v>0.83389999999999997</v>
      </c>
      <c r="E418" s="2304">
        <v>0.83389999999999997</v>
      </c>
      <c r="F418" s="2304">
        <v>0.83389999999999997</v>
      </c>
      <c r="G418" s="2304">
        <v>0.83389999999999997</v>
      </c>
      <c r="H418" s="2304">
        <v>0.83389999999999997</v>
      </c>
      <c r="I418" s="2304">
        <v>0.68569999999999998</v>
      </c>
      <c r="J418" s="2304">
        <v>0.68569999999999998</v>
      </c>
      <c r="K418" s="2304">
        <v>0.68569999999999998</v>
      </c>
      <c r="L418" s="2304">
        <v>0.68569999999999998</v>
      </c>
      <c r="M418" s="2305">
        <v>0.68569999999999998</v>
      </c>
    </row>
    <row r="419" spans="1:13">
      <c r="A419" s="2303">
        <v>5.8</v>
      </c>
      <c r="B419" s="2304">
        <v>0.89419999999999999</v>
      </c>
      <c r="C419" s="2304">
        <v>0.89419999999999999</v>
      </c>
      <c r="D419" s="2304">
        <v>0.83189999999999997</v>
      </c>
      <c r="E419" s="2304">
        <v>0.83189999999999997</v>
      </c>
      <c r="F419" s="2304">
        <v>0.83189999999999997</v>
      </c>
      <c r="G419" s="2304">
        <v>0.83189999999999997</v>
      </c>
      <c r="H419" s="2304">
        <v>0.83189999999999997</v>
      </c>
      <c r="I419" s="2304">
        <v>0.68320000000000003</v>
      </c>
      <c r="J419" s="2304">
        <v>0.68320000000000003</v>
      </c>
      <c r="K419" s="2304">
        <v>0.68320000000000003</v>
      </c>
      <c r="L419" s="2304">
        <v>0.68320000000000003</v>
      </c>
      <c r="M419" s="2305">
        <v>0.68320000000000003</v>
      </c>
    </row>
    <row r="420" spans="1:13">
      <c r="A420" s="2303">
        <v>5.9</v>
      </c>
      <c r="B420" s="2304">
        <v>0.89239999999999997</v>
      </c>
      <c r="C420" s="2304">
        <v>0.89239999999999997</v>
      </c>
      <c r="D420" s="2304">
        <v>0.82989999999999997</v>
      </c>
      <c r="E420" s="2304">
        <v>0.82989999999999997</v>
      </c>
      <c r="F420" s="2304">
        <v>0.82989999999999997</v>
      </c>
      <c r="G420" s="2304">
        <v>0.82989999999999997</v>
      </c>
      <c r="H420" s="2304">
        <v>0.82989999999999997</v>
      </c>
      <c r="I420" s="2304">
        <v>0.68069999999999997</v>
      </c>
      <c r="J420" s="2304">
        <v>0.68069999999999997</v>
      </c>
      <c r="K420" s="2304">
        <v>0.68069999999999997</v>
      </c>
      <c r="L420" s="2304">
        <v>0.68069999999999997</v>
      </c>
      <c r="M420" s="2305">
        <v>0.68069999999999997</v>
      </c>
    </row>
    <row r="421" spans="1:13">
      <c r="A421" s="2303">
        <v>6</v>
      </c>
      <c r="B421" s="2304">
        <v>0.89070000000000005</v>
      </c>
      <c r="C421" s="2304">
        <v>0.89070000000000005</v>
      </c>
      <c r="D421" s="2304">
        <v>0.82789999999999997</v>
      </c>
      <c r="E421" s="2304">
        <v>0.82789999999999997</v>
      </c>
      <c r="F421" s="2304">
        <v>0.82789999999999997</v>
      </c>
      <c r="G421" s="2304">
        <v>0.82789999999999997</v>
      </c>
      <c r="H421" s="2304">
        <v>0.82789999999999997</v>
      </c>
      <c r="I421" s="2304">
        <v>0.6784</v>
      </c>
      <c r="J421" s="2304">
        <v>0.6784</v>
      </c>
      <c r="K421" s="2304">
        <v>0.6784</v>
      </c>
      <c r="L421" s="2304">
        <v>0.6784</v>
      </c>
      <c r="M421" s="2305">
        <v>0.6784</v>
      </c>
    </row>
    <row r="422" spans="1:13">
      <c r="A422" s="2303">
        <v>6.1</v>
      </c>
      <c r="B422" s="2304">
        <v>0.88900000000000001</v>
      </c>
      <c r="C422" s="2304">
        <v>0.88900000000000001</v>
      </c>
      <c r="D422" s="2304">
        <v>0.82589999999999997</v>
      </c>
      <c r="E422" s="2304">
        <v>0.82589999999999997</v>
      </c>
      <c r="F422" s="2304">
        <v>0.82589999999999997</v>
      </c>
      <c r="G422" s="2304">
        <v>0.82589999999999997</v>
      </c>
      <c r="H422" s="2304">
        <v>0.82589999999999997</v>
      </c>
      <c r="I422" s="2304">
        <v>0.67600000000000005</v>
      </c>
      <c r="J422" s="2304">
        <v>0.67600000000000005</v>
      </c>
      <c r="K422" s="2304">
        <v>0.67600000000000005</v>
      </c>
      <c r="L422" s="2304">
        <v>0.67600000000000005</v>
      </c>
      <c r="M422" s="2305">
        <v>0.67600000000000005</v>
      </c>
    </row>
    <row r="423" spans="1:13">
      <c r="A423" s="2303">
        <v>6.2</v>
      </c>
      <c r="B423" s="2304">
        <v>0.88729999999999998</v>
      </c>
      <c r="C423" s="2304">
        <v>0.88729999999999998</v>
      </c>
      <c r="D423" s="2304">
        <v>0.82389999999999997</v>
      </c>
      <c r="E423" s="2304">
        <v>0.82389999999999997</v>
      </c>
      <c r="F423" s="2304">
        <v>0.82389999999999997</v>
      </c>
      <c r="G423" s="2304">
        <v>0.82389999999999997</v>
      </c>
      <c r="H423" s="2304">
        <v>0.82389999999999997</v>
      </c>
      <c r="I423" s="2304">
        <v>0.67359999999999998</v>
      </c>
      <c r="J423" s="2304">
        <v>0.67359999999999998</v>
      </c>
      <c r="K423" s="2304">
        <v>0.67359999999999998</v>
      </c>
      <c r="L423" s="2304">
        <v>0.67359999999999998</v>
      </c>
      <c r="M423" s="2305">
        <v>0.67359999999999998</v>
      </c>
    </row>
    <row r="424" spans="1:13">
      <c r="A424" s="2303">
        <v>6.3</v>
      </c>
      <c r="B424" s="2304">
        <v>0.88560000000000005</v>
      </c>
      <c r="C424" s="2304">
        <v>0.88560000000000005</v>
      </c>
      <c r="D424" s="2304">
        <v>0.82189999999999996</v>
      </c>
      <c r="E424" s="2304">
        <v>0.82189999999999996</v>
      </c>
      <c r="F424" s="2304">
        <v>0.82189999999999996</v>
      </c>
      <c r="G424" s="2304">
        <v>0.82189999999999996</v>
      </c>
      <c r="H424" s="2304">
        <v>0.82189999999999996</v>
      </c>
      <c r="I424" s="2304">
        <v>0.67130000000000001</v>
      </c>
      <c r="J424" s="2304">
        <v>0.67130000000000001</v>
      </c>
      <c r="K424" s="2304">
        <v>0.67130000000000001</v>
      </c>
      <c r="L424" s="2304">
        <v>0.67130000000000001</v>
      </c>
      <c r="M424" s="2305">
        <v>0.67130000000000001</v>
      </c>
    </row>
    <row r="425" spans="1:13">
      <c r="A425" s="2303">
        <v>6.4</v>
      </c>
      <c r="B425" s="2304">
        <v>0.88390000000000002</v>
      </c>
      <c r="C425" s="2304">
        <v>0.88390000000000002</v>
      </c>
      <c r="D425" s="2304">
        <v>0.82</v>
      </c>
      <c r="E425" s="2304">
        <v>0.82</v>
      </c>
      <c r="F425" s="2304">
        <v>0.82</v>
      </c>
      <c r="G425" s="2304">
        <v>0.82</v>
      </c>
      <c r="H425" s="2304">
        <v>0.82</v>
      </c>
      <c r="I425" s="2304">
        <v>0.66890000000000005</v>
      </c>
      <c r="J425" s="2304">
        <v>0.66890000000000005</v>
      </c>
      <c r="K425" s="2304">
        <v>0.66890000000000005</v>
      </c>
      <c r="L425" s="2304">
        <v>0.66890000000000005</v>
      </c>
      <c r="M425" s="2305">
        <v>0.66890000000000005</v>
      </c>
    </row>
    <row r="426" spans="1:13">
      <c r="A426" s="2303">
        <v>6.5</v>
      </c>
      <c r="B426" s="2304">
        <v>0.88229999999999997</v>
      </c>
      <c r="C426" s="2304">
        <v>0.88229999999999997</v>
      </c>
      <c r="D426" s="2304">
        <v>0.81810000000000005</v>
      </c>
      <c r="E426" s="2304">
        <v>0.81810000000000005</v>
      </c>
      <c r="F426" s="2304">
        <v>0.81810000000000005</v>
      </c>
      <c r="G426" s="2304">
        <v>0.81810000000000005</v>
      </c>
      <c r="H426" s="2304">
        <v>0.81810000000000005</v>
      </c>
      <c r="I426" s="2304">
        <v>0.66659999999999997</v>
      </c>
      <c r="J426" s="2304">
        <v>0.66659999999999997</v>
      </c>
      <c r="K426" s="2304">
        <v>0.66659999999999997</v>
      </c>
      <c r="L426" s="2304">
        <v>0.66659999999999997</v>
      </c>
      <c r="M426" s="2305">
        <v>0.66659999999999997</v>
      </c>
    </row>
    <row r="427" spans="1:13">
      <c r="A427" s="2303">
        <v>6.6</v>
      </c>
      <c r="B427" s="2304">
        <v>0.88070000000000004</v>
      </c>
      <c r="C427" s="2304">
        <v>0.88070000000000004</v>
      </c>
      <c r="D427" s="2304">
        <v>0.81620000000000004</v>
      </c>
      <c r="E427" s="2304">
        <v>0.81620000000000004</v>
      </c>
      <c r="F427" s="2304">
        <v>0.81620000000000004</v>
      </c>
      <c r="G427" s="2304">
        <v>0.81620000000000004</v>
      </c>
      <c r="H427" s="2304">
        <v>0.81620000000000004</v>
      </c>
      <c r="I427" s="2304">
        <v>0.66439999999999999</v>
      </c>
      <c r="J427" s="2304">
        <v>0.66439999999999999</v>
      </c>
      <c r="K427" s="2304">
        <v>0.66439999999999999</v>
      </c>
      <c r="L427" s="2304">
        <v>0.66439999999999999</v>
      </c>
      <c r="M427" s="2305">
        <v>0.66439999999999999</v>
      </c>
    </row>
    <row r="428" spans="1:13">
      <c r="A428" s="2303">
        <v>6.7</v>
      </c>
      <c r="B428" s="2304">
        <v>0.879</v>
      </c>
      <c r="C428" s="2304">
        <v>0.879</v>
      </c>
      <c r="D428" s="2304">
        <v>0.81430000000000002</v>
      </c>
      <c r="E428" s="2304">
        <v>0.81430000000000002</v>
      </c>
      <c r="F428" s="2304">
        <v>0.81430000000000002</v>
      </c>
      <c r="G428" s="2304">
        <v>0.81430000000000002</v>
      </c>
      <c r="H428" s="2304">
        <v>0.81430000000000002</v>
      </c>
      <c r="I428" s="2304">
        <v>0.66210000000000002</v>
      </c>
      <c r="J428" s="2304">
        <v>0.66210000000000002</v>
      </c>
      <c r="K428" s="2304">
        <v>0.66210000000000002</v>
      </c>
      <c r="L428" s="2304">
        <v>0.66210000000000002</v>
      </c>
      <c r="M428" s="2305">
        <v>0.66210000000000002</v>
      </c>
    </row>
    <row r="429" spans="1:13">
      <c r="A429" s="2303">
        <v>6.8</v>
      </c>
      <c r="B429" s="2304">
        <v>0.87739999999999996</v>
      </c>
      <c r="C429" s="2304">
        <v>0.87739999999999996</v>
      </c>
      <c r="D429" s="2304">
        <v>0.81240000000000001</v>
      </c>
      <c r="E429" s="2304">
        <v>0.81240000000000001</v>
      </c>
      <c r="F429" s="2304">
        <v>0.81240000000000001</v>
      </c>
      <c r="G429" s="2304">
        <v>0.81240000000000001</v>
      </c>
      <c r="H429" s="2304">
        <v>0.81240000000000001</v>
      </c>
      <c r="I429" s="2304">
        <v>0.65980000000000005</v>
      </c>
      <c r="J429" s="2304">
        <v>0.65980000000000005</v>
      </c>
      <c r="K429" s="2304">
        <v>0.65980000000000005</v>
      </c>
      <c r="L429" s="2304">
        <v>0.65980000000000005</v>
      </c>
      <c r="M429" s="2305">
        <v>0.65980000000000005</v>
      </c>
    </row>
    <row r="430" spans="1:13">
      <c r="A430" s="2303">
        <v>6.9</v>
      </c>
      <c r="B430" s="2304">
        <v>0.87580000000000002</v>
      </c>
      <c r="C430" s="2304">
        <v>0.87580000000000002</v>
      </c>
      <c r="D430" s="2304">
        <v>0.8105</v>
      </c>
      <c r="E430" s="2304">
        <v>0.8105</v>
      </c>
      <c r="F430" s="2304">
        <v>0.8105</v>
      </c>
      <c r="G430" s="2304">
        <v>0.8105</v>
      </c>
      <c r="H430" s="2304">
        <v>0.8105</v>
      </c>
      <c r="I430" s="2304">
        <v>0.65749999999999997</v>
      </c>
      <c r="J430" s="2304">
        <v>0.65749999999999997</v>
      </c>
      <c r="K430" s="2304">
        <v>0.65749999999999997</v>
      </c>
      <c r="L430" s="2304">
        <v>0.65749999999999997</v>
      </c>
      <c r="M430" s="2305">
        <v>0.65749999999999997</v>
      </c>
    </row>
    <row r="431" spans="1:13">
      <c r="A431" s="2303">
        <v>7</v>
      </c>
      <c r="B431" s="2304">
        <v>0.87419999999999998</v>
      </c>
      <c r="C431" s="2304">
        <v>0.87419999999999998</v>
      </c>
      <c r="D431" s="2304">
        <v>0.80869999999999997</v>
      </c>
      <c r="E431" s="2304">
        <v>0.80869999999999997</v>
      </c>
      <c r="F431" s="2304">
        <v>0.80869999999999997</v>
      </c>
      <c r="G431" s="2304">
        <v>0.80869999999999997</v>
      </c>
      <c r="H431" s="2304">
        <v>0.80869999999999997</v>
      </c>
      <c r="I431" s="2304">
        <v>0.65529999999999999</v>
      </c>
      <c r="J431" s="2304">
        <v>0.65529999999999999</v>
      </c>
      <c r="K431" s="2304">
        <v>0.65529999999999999</v>
      </c>
      <c r="L431" s="2304">
        <v>0.65529999999999999</v>
      </c>
      <c r="M431" s="2305">
        <v>0.65529999999999999</v>
      </c>
    </row>
    <row r="432" spans="1:13">
      <c r="A432" s="2303">
        <v>7.1</v>
      </c>
      <c r="B432" s="2304">
        <v>0.87270000000000003</v>
      </c>
      <c r="C432" s="2304">
        <v>0.87270000000000003</v>
      </c>
      <c r="D432" s="2304">
        <v>0.80689999999999995</v>
      </c>
      <c r="E432" s="2304">
        <v>0.80689999999999995</v>
      </c>
      <c r="F432" s="2304">
        <v>0.80689999999999995</v>
      </c>
      <c r="G432" s="2304">
        <v>0.80689999999999995</v>
      </c>
      <c r="H432" s="2304">
        <v>0.80689999999999995</v>
      </c>
      <c r="I432" s="2304">
        <v>0.6532</v>
      </c>
      <c r="J432" s="2304">
        <v>0.6532</v>
      </c>
      <c r="K432" s="2304">
        <v>0.6532</v>
      </c>
      <c r="L432" s="2304">
        <v>0.6532</v>
      </c>
      <c r="M432" s="2305">
        <v>0.6532</v>
      </c>
    </row>
    <row r="433" spans="1:13">
      <c r="A433" s="2303">
        <v>7.2</v>
      </c>
      <c r="B433" s="2304">
        <v>0.87119999999999997</v>
      </c>
      <c r="C433" s="2304">
        <v>0.87119999999999997</v>
      </c>
      <c r="D433" s="2304">
        <v>0.80510000000000004</v>
      </c>
      <c r="E433" s="2304">
        <v>0.80510000000000004</v>
      </c>
      <c r="F433" s="2304">
        <v>0.80510000000000004</v>
      </c>
      <c r="G433" s="2304">
        <v>0.80510000000000004</v>
      </c>
      <c r="H433" s="2304">
        <v>0.80510000000000004</v>
      </c>
      <c r="I433" s="2304">
        <v>0.65100000000000002</v>
      </c>
      <c r="J433" s="2304">
        <v>0.65100000000000002</v>
      </c>
      <c r="K433" s="2304">
        <v>0.65100000000000002</v>
      </c>
      <c r="L433" s="2304">
        <v>0.65100000000000002</v>
      </c>
      <c r="M433" s="2305">
        <v>0.65100000000000002</v>
      </c>
    </row>
    <row r="434" spans="1:13">
      <c r="A434" s="2303">
        <v>7.3</v>
      </c>
      <c r="B434" s="2304">
        <v>0.86970000000000003</v>
      </c>
      <c r="C434" s="2304">
        <v>0.86970000000000003</v>
      </c>
      <c r="D434" s="2304">
        <v>0.80330000000000001</v>
      </c>
      <c r="E434" s="2304">
        <v>0.80330000000000001</v>
      </c>
      <c r="F434" s="2304">
        <v>0.80330000000000001</v>
      </c>
      <c r="G434" s="2304">
        <v>0.80330000000000001</v>
      </c>
      <c r="H434" s="2304">
        <v>0.80330000000000001</v>
      </c>
      <c r="I434" s="2304">
        <v>0.64880000000000004</v>
      </c>
      <c r="J434" s="2304">
        <v>0.64880000000000004</v>
      </c>
      <c r="K434" s="2304">
        <v>0.64880000000000004</v>
      </c>
      <c r="L434" s="2304">
        <v>0.64880000000000004</v>
      </c>
      <c r="M434" s="2305">
        <v>0.64880000000000004</v>
      </c>
    </row>
    <row r="435" spans="1:13">
      <c r="A435" s="2303">
        <v>7.4</v>
      </c>
      <c r="B435" s="2304">
        <v>0.86819999999999997</v>
      </c>
      <c r="C435" s="2304">
        <v>0.86819999999999997</v>
      </c>
      <c r="D435" s="2304">
        <v>0.80149999999999999</v>
      </c>
      <c r="E435" s="2304">
        <v>0.80149999999999999</v>
      </c>
      <c r="F435" s="2304">
        <v>0.80149999999999999</v>
      </c>
      <c r="G435" s="2304">
        <v>0.80149999999999999</v>
      </c>
      <c r="H435" s="2304">
        <v>0.80149999999999999</v>
      </c>
      <c r="I435" s="2304">
        <v>0.64659999999999995</v>
      </c>
      <c r="J435" s="2304">
        <v>0.64659999999999995</v>
      </c>
      <c r="K435" s="2304">
        <v>0.64659999999999995</v>
      </c>
      <c r="L435" s="2304">
        <v>0.64659999999999995</v>
      </c>
      <c r="M435" s="2305">
        <v>0.64659999999999995</v>
      </c>
    </row>
    <row r="436" spans="1:13">
      <c r="A436" s="2303">
        <v>7.5</v>
      </c>
      <c r="B436" s="2304">
        <v>0.86660000000000004</v>
      </c>
      <c r="C436" s="2304">
        <v>0.86660000000000004</v>
      </c>
      <c r="D436" s="2304">
        <v>0.79969999999999997</v>
      </c>
      <c r="E436" s="2304">
        <v>0.79969999999999997</v>
      </c>
      <c r="F436" s="2304">
        <v>0.79969999999999997</v>
      </c>
      <c r="G436" s="2304">
        <v>0.79969999999999997</v>
      </c>
      <c r="H436" s="2304">
        <v>0.79969999999999997</v>
      </c>
      <c r="I436" s="2304">
        <v>0.64449999999999996</v>
      </c>
      <c r="J436" s="2304">
        <v>0.64449999999999996</v>
      </c>
      <c r="K436" s="2304">
        <v>0.64449999999999996</v>
      </c>
      <c r="L436" s="2304">
        <v>0.64449999999999996</v>
      </c>
      <c r="M436" s="2305">
        <v>0.64449999999999996</v>
      </c>
    </row>
    <row r="437" spans="1:13">
      <c r="A437" s="2303">
        <v>7.6</v>
      </c>
      <c r="B437" s="2304">
        <v>0.86509999999999998</v>
      </c>
      <c r="C437" s="2304">
        <v>0.86509999999999998</v>
      </c>
      <c r="D437" s="2304">
        <v>0.79800000000000004</v>
      </c>
      <c r="E437" s="2304">
        <v>0.79800000000000004</v>
      </c>
      <c r="F437" s="2304">
        <v>0.79800000000000004</v>
      </c>
      <c r="G437" s="2304">
        <v>0.79800000000000004</v>
      </c>
      <c r="H437" s="2304">
        <v>0.79800000000000004</v>
      </c>
      <c r="I437" s="2304">
        <v>0.64239999999999997</v>
      </c>
      <c r="J437" s="2304">
        <v>0.64239999999999997</v>
      </c>
      <c r="K437" s="2304">
        <v>0.64239999999999997</v>
      </c>
      <c r="L437" s="2304">
        <v>0.64239999999999997</v>
      </c>
      <c r="M437" s="2305">
        <v>0.64239999999999997</v>
      </c>
    </row>
    <row r="438" spans="1:13">
      <c r="A438" s="2303">
        <v>7.7</v>
      </c>
      <c r="B438" s="2304">
        <v>0.86370000000000002</v>
      </c>
      <c r="C438" s="2304">
        <v>0.86370000000000002</v>
      </c>
      <c r="D438" s="2304">
        <v>0.79630000000000001</v>
      </c>
      <c r="E438" s="2304">
        <v>0.79630000000000001</v>
      </c>
      <c r="F438" s="2304">
        <v>0.79630000000000001</v>
      </c>
      <c r="G438" s="2304">
        <v>0.79630000000000001</v>
      </c>
      <c r="H438" s="2304">
        <v>0.79630000000000001</v>
      </c>
      <c r="I438" s="2304">
        <v>0.64029999999999998</v>
      </c>
      <c r="J438" s="2304">
        <v>0.64029999999999998</v>
      </c>
      <c r="K438" s="2304">
        <v>0.64029999999999998</v>
      </c>
      <c r="L438" s="2304">
        <v>0.64029999999999998</v>
      </c>
      <c r="M438" s="2305">
        <v>0.64029999999999998</v>
      </c>
    </row>
    <row r="439" spans="1:13">
      <c r="A439" s="2303">
        <v>7.8</v>
      </c>
      <c r="B439" s="2304">
        <v>0.86229999999999996</v>
      </c>
      <c r="C439" s="2304">
        <v>0.86229999999999996</v>
      </c>
      <c r="D439" s="2304">
        <v>0.79449999999999998</v>
      </c>
      <c r="E439" s="2304">
        <v>0.79449999999999998</v>
      </c>
      <c r="F439" s="2304">
        <v>0.79449999999999998</v>
      </c>
      <c r="G439" s="2304">
        <v>0.79449999999999998</v>
      </c>
      <c r="H439" s="2304">
        <v>0.79449999999999998</v>
      </c>
      <c r="I439" s="2304">
        <v>0.63819999999999999</v>
      </c>
      <c r="J439" s="2304">
        <v>0.63819999999999999</v>
      </c>
      <c r="K439" s="2304">
        <v>0.63819999999999999</v>
      </c>
      <c r="L439" s="2304">
        <v>0.63819999999999999</v>
      </c>
      <c r="M439" s="2305">
        <v>0.63819999999999999</v>
      </c>
    </row>
    <row r="440" spans="1:13">
      <c r="A440" s="2303">
        <v>7.9</v>
      </c>
      <c r="B440" s="2304">
        <v>0.8609</v>
      </c>
      <c r="C440" s="2304">
        <v>0.8609</v>
      </c>
      <c r="D440" s="2304">
        <v>0.79279999999999995</v>
      </c>
      <c r="E440" s="2304">
        <v>0.79279999999999995</v>
      </c>
      <c r="F440" s="2304">
        <v>0.79279999999999995</v>
      </c>
      <c r="G440" s="2304">
        <v>0.79279999999999995</v>
      </c>
      <c r="H440" s="2304">
        <v>0.79279999999999995</v>
      </c>
      <c r="I440" s="2304">
        <v>0.6361</v>
      </c>
      <c r="J440" s="2304">
        <v>0.6361</v>
      </c>
      <c r="K440" s="2304">
        <v>0.6361</v>
      </c>
      <c r="L440" s="2304">
        <v>0.6361</v>
      </c>
      <c r="M440" s="2305">
        <v>0.6361</v>
      </c>
    </row>
    <row r="441" spans="1:13">
      <c r="A441" s="2303">
        <v>8</v>
      </c>
      <c r="B441" s="2304">
        <v>0.85940000000000005</v>
      </c>
      <c r="C441" s="2304">
        <v>0.85940000000000005</v>
      </c>
      <c r="D441" s="2304">
        <v>0.79110000000000003</v>
      </c>
      <c r="E441" s="2304">
        <v>0.79110000000000003</v>
      </c>
      <c r="F441" s="2304">
        <v>0.79110000000000003</v>
      </c>
      <c r="G441" s="2304">
        <v>0.79110000000000003</v>
      </c>
      <c r="H441" s="2304">
        <v>0.79110000000000003</v>
      </c>
      <c r="I441" s="2304">
        <v>0.6341</v>
      </c>
      <c r="J441" s="2304">
        <v>0.6341</v>
      </c>
      <c r="K441" s="2304">
        <v>0.6341</v>
      </c>
      <c r="L441" s="2304">
        <v>0.6341</v>
      </c>
      <c r="M441" s="2305">
        <v>0.6341</v>
      </c>
    </row>
    <row r="442" spans="1:13">
      <c r="A442" s="2303">
        <v>8.1</v>
      </c>
      <c r="B442" s="2304">
        <v>0.85799999999999998</v>
      </c>
      <c r="C442" s="2304">
        <v>0.85799999999999998</v>
      </c>
      <c r="D442" s="2304">
        <v>0.78939999999999999</v>
      </c>
      <c r="E442" s="2304">
        <v>0.78939999999999999</v>
      </c>
      <c r="F442" s="2304">
        <v>0.78939999999999999</v>
      </c>
      <c r="G442" s="2304">
        <v>0.78939999999999999</v>
      </c>
      <c r="H442" s="2304">
        <v>0.78939999999999999</v>
      </c>
      <c r="I442" s="2304">
        <v>0.6321</v>
      </c>
      <c r="J442" s="2304">
        <v>0.6321</v>
      </c>
      <c r="K442" s="2304">
        <v>0.6321</v>
      </c>
      <c r="L442" s="2304">
        <v>0.6321</v>
      </c>
      <c r="M442" s="2305">
        <v>0.6321</v>
      </c>
    </row>
    <row r="443" spans="1:13">
      <c r="A443" s="2303">
        <v>8.1999999999999993</v>
      </c>
      <c r="B443" s="2304">
        <v>0.85660000000000003</v>
      </c>
      <c r="C443" s="2304">
        <v>0.85660000000000003</v>
      </c>
      <c r="D443" s="2304">
        <v>0.78779999999999994</v>
      </c>
      <c r="E443" s="2304">
        <v>0.78779999999999994</v>
      </c>
      <c r="F443" s="2304">
        <v>0.78779999999999994</v>
      </c>
      <c r="G443" s="2304">
        <v>0.78779999999999994</v>
      </c>
      <c r="H443" s="2304">
        <v>0.78779999999999994</v>
      </c>
      <c r="I443" s="2304">
        <v>0.63009999999999999</v>
      </c>
      <c r="J443" s="2304">
        <v>0.63009999999999999</v>
      </c>
      <c r="K443" s="2304">
        <v>0.63009999999999999</v>
      </c>
      <c r="L443" s="2304">
        <v>0.63009999999999999</v>
      </c>
      <c r="M443" s="2305">
        <v>0.63009999999999999</v>
      </c>
    </row>
    <row r="444" spans="1:13">
      <c r="A444" s="2303">
        <v>8.3000000000000007</v>
      </c>
      <c r="B444" s="2304">
        <v>0.85529999999999995</v>
      </c>
      <c r="C444" s="2304">
        <v>0.85529999999999995</v>
      </c>
      <c r="D444" s="2304">
        <v>0.78620000000000001</v>
      </c>
      <c r="E444" s="2304">
        <v>0.78620000000000001</v>
      </c>
      <c r="F444" s="2304">
        <v>0.78620000000000001</v>
      </c>
      <c r="G444" s="2304">
        <v>0.78620000000000001</v>
      </c>
      <c r="H444" s="2304">
        <v>0.78620000000000001</v>
      </c>
      <c r="I444" s="2304">
        <v>0.62809999999999999</v>
      </c>
      <c r="J444" s="2304">
        <v>0.62809999999999999</v>
      </c>
      <c r="K444" s="2304">
        <v>0.62809999999999999</v>
      </c>
      <c r="L444" s="2304">
        <v>0.62809999999999999</v>
      </c>
      <c r="M444" s="2305">
        <v>0.62809999999999999</v>
      </c>
    </row>
    <row r="445" spans="1:13">
      <c r="A445" s="2303">
        <v>8.4</v>
      </c>
      <c r="B445" s="2304">
        <v>0.85389999999999999</v>
      </c>
      <c r="C445" s="2304">
        <v>0.85389999999999999</v>
      </c>
      <c r="D445" s="2304">
        <v>0.78459999999999996</v>
      </c>
      <c r="E445" s="2304">
        <v>0.78459999999999996</v>
      </c>
      <c r="F445" s="2304">
        <v>0.78459999999999996</v>
      </c>
      <c r="G445" s="2304">
        <v>0.78459999999999996</v>
      </c>
      <c r="H445" s="2304">
        <v>0.78459999999999996</v>
      </c>
      <c r="I445" s="2304">
        <v>0.62609999999999999</v>
      </c>
      <c r="J445" s="2304">
        <v>0.62609999999999999</v>
      </c>
      <c r="K445" s="2304">
        <v>0.62609999999999999</v>
      </c>
      <c r="L445" s="2304">
        <v>0.62609999999999999</v>
      </c>
      <c r="M445" s="2305">
        <v>0.62609999999999999</v>
      </c>
    </row>
    <row r="446" spans="1:13">
      <c r="A446" s="2303">
        <v>8.5</v>
      </c>
      <c r="B446" s="2304">
        <v>0.85260000000000002</v>
      </c>
      <c r="C446" s="2304">
        <v>0.85260000000000002</v>
      </c>
      <c r="D446" s="2304">
        <v>0.78290000000000004</v>
      </c>
      <c r="E446" s="2304">
        <v>0.78290000000000004</v>
      </c>
      <c r="F446" s="2304">
        <v>0.78290000000000004</v>
      </c>
      <c r="G446" s="2304">
        <v>0.78290000000000004</v>
      </c>
      <c r="H446" s="2304">
        <v>0.78290000000000004</v>
      </c>
      <c r="I446" s="2304">
        <v>0.62419999999999998</v>
      </c>
      <c r="J446" s="2304">
        <v>0.62419999999999998</v>
      </c>
      <c r="K446" s="2304">
        <v>0.62419999999999998</v>
      </c>
      <c r="L446" s="2304">
        <v>0.62419999999999998</v>
      </c>
      <c r="M446" s="2305">
        <v>0.62419999999999998</v>
      </c>
    </row>
    <row r="447" spans="1:13">
      <c r="A447" s="2303">
        <v>8.6</v>
      </c>
      <c r="B447" s="2304">
        <v>0.85129999999999995</v>
      </c>
      <c r="C447" s="2304">
        <v>0.85129999999999995</v>
      </c>
      <c r="D447" s="2304">
        <v>0.78129999999999999</v>
      </c>
      <c r="E447" s="2304">
        <v>0.78129999999999999</v>
      </c>
      <c r="F447" s="2304">
        <v>0.78129999999999999</v>
      </c>
      <c r="G447" s="2304">
        <v>0.78129999999999999</v>
      </c>
      <c r="H447" s="2304">
        <v>0.78129999999999999</v>
      </c>
      <c r="I447" s="2304">
        <v>0.62229999999999996</v>
      </c>
      <c r="J447" s="2304">
        <v>0.62229999999999996</v>
      </c>
      <c r="K447" s="2304">
        <v>0.62229999999999996</v>
      </c>
      <c r="L447" s="2304">
        <v>0.62229999999999996</v>
      </c>
      <c r="M447" s="2305">
        <v>0.62229999999999996</v>
      </c>
    </row>
    <row r="448" spans="1:13">
      <c r="A448" s="2303">
        <v>8.6999999999999993</v>
      </c>
      <c r="B448" s="2304">
        <v>0.85</v>
      </c>
      <c r="C448" s="2304">
        <v>0.85</v>
      </c>
      <c r="D448" s="2304">
        <v>0.77969999999999995</v>
      </c>
      <c r="E448" s="2304">
        <v>0.77969999999999995</v>
      </c>
      <c r="F448" s="2304">
        <v>0.77969999999999995</v>
      </c>
      <c r="G448" s="2304">
        <v>0.77969999999999995</v>
      </c>
      <c r="H448" s="2304">
        <v>0.77969999999999995</v>
      </c>
      <c r="I448" s="2304">
        <v>0.62039999999999995</v>
      </c>
      <c r="J448" s="2304">
        <v>0.62039999999999995</v>
      </c>
      <c r="K448" s="2304">
        <v>0.62039999999999995</v>
      </c>
      <c r="L448" s="2304">
        <v>0.62039999999999995</v>
      </c>
      <c r="M448" s="2305">
        <v>0.62039999999999995</v>
      </c>
    </row>
    <row r="449" spans="1:13">
      <c r="A449" s="2303">
        <v>8.8000000000000007</v>
      </c>
      <c r="B449" s="2304">
        <v>0.84860000000000002</v>
      </c>
      <c r="C449" s="2304">
        <v>0.84860000000000002</v>
      </c>
      <c r="D449" s="2304">
        <v>0.7782</v>
      </c>
      <c r="E449" s="2304">
        <v>0.7782</v>
      </c>
      <c r="F449" s="2304">
        <v>0.7782</v>
      </c>
      <c r="G449" s="2304">
        <v>0.7782</v>
      </c>
      <c r="H449" s="2304">
        <v>0.7782</v>
      </c>
      <c r="I449" s="2304">
        <v>0.61850000000000005</v>
      </c>
      <c r="J449" s="2304">
        <v>0.61850000000000005</v>
      </c>
      <c r="K449" s="2304">
        <v>0.61850000000000005</v>
      </c>
      <c r="L449" s="2304">
        <v>0.61850000000000005</v>
      </c>
      <c r="M449" s="2305">
        <v>0.61850000000000005</v>
      </c>
    </row>
    <row r="450" spans="1:13">
      <c r="A450" s="2303">
        <v>8.9</v>
      </c>
      <c r="B450" s="2304">
        <v>0.84740000000000004</v>
      </c>
      <c r="C450" s="2304">
        <v>0.84740000000000004</v>
      </c>
      <c r="D450" s="2304">
        <v>0.77669999999999995</v>
      </c>
      <c r="E450" s="2304">
        <v>0.77669999999999995</v>
      </c>
      <c r="F450" s="2304">
        <v>0.77669999999999995</v>
      </c>
      <c r="G450" s="2304">
        <v>0.77669999999999995</v>
      </c>
      <c r="H450" s="2304">
        <v>0.77669999999999995</v>
      </c>
      <c r="I450" s="2304">
        <v>0.61670000000000003</v>
      </c>
      <c r="J450" s="2304">
        <v>0.61670000000000003</v>
      </c>
      <c r="K450" s="2304">
        <v>0.61670000000000003</v>
      </c>
      <c r="L450" s="2304">
        <v>0.61670000000000003</v>
      </c>
      <c r="M450" s="2305">
        <v>0.61670000000000003</v>
      </c>
    </row>
    <row r="451" spans="1:13">
      <c r="A451" s="2306">
        <v>9</v>
      </c>
      <c r="B451" s="2304">
        <v>0.84619999999999995</v>
      </c>
      <c r="C451" s="2304">
        <v>0.84619999999999995</v>
      </c>
      <c r="D451" s="2304">
        <v>0.77510000000000001</v>
      </c>
      <c r="E451" s="2304">
        <v>0.77510000000000001</v>
      </c>
      <c r="F451" s="2304">
        <v>0.77510000000000001</v>
      </c>
      <c r="G451" s="2304">
        <v>0.77510000000000001</v>
      </c>
      <c r="H451" s="2304">
        <v>0.77510000000000001</v>
      </c>
      <c r="I451" s="2304">
        <v>0.61480000000000001</v>
      </c>
      <c r="J451" s="2304">
        <v>0.61480000000000001</v>
      </c>
      <c r="K451" s="2304">
        <v>0.61480000000000001</v>
      </c>
      <c r="L451" s="2304">
        <v>0.61480000000000001</v>
      </c>
      <c r="M451" s="2305">
        <v>0.61480000000000001</v>
      </c>
    </row>
    <row r="452" spans="1:13">
      <c r="A452" s="2306">
        <v>9.1</v>
      </c>
      <c r="B452" s="2304">
        <v>0.84499999999999997</v>
      </c>
      <c r="C452" s="2304">
        <v>0.84499999999999997</v>
      </c>
      <c r="D452" s="2304">
        <v>0.77359999999999995</v>
      </c>
      <c r="E452" s="2304">
        <v>0.77359999999999995</v>
      </c>
      <c r="F452" s="2304">
        <v>0.77359999999999995</v>
      </c>
      <c r="G452" s="2304">
        <v>0.77359999999999995</v>
      </c>
      <c r="H452" s="2304">
        <v>0.77359999999999995</v>
      </c>
      <c r="I452" s="2304">
        <v>0.61299999999999999</v>
      </c>
      <c r="J452" s="2304">
        <v>0.61299999999999999</v>
      </c>
      <c r="K452" s="2304">
        <v>0.61299999999999999</v>
      </c>
      <c r="L452" s="2304">
        <v>0.61299999999999999</v>
      </c>
      <c r="M452" s="2305">
        <v>0.61299999999999999</v>
      </c>
    </row>
    <row r="453" spans="1:13">
      <c r="A453" s="2306">
        <v>9.1999999999999993</v>
      </c>
      <c r="B453" s="2304">
        <v>0.84370000000000001</v>
      </c>
      <c r="C453" s="2304">
        <v>0.84370000000000001</v>
      </c>
      <c r="D453" s="2304">
        <v>0.77210000000000001</v>
      </c>
      <c r="E453" s="2304">
        <v>0.77210000000000001</v>
      </c>
      <c r="F453" s="2304">
        <v>0.77210000000000001</v>
      </c>
      <c r="G453" s="2304">
        <v>0.77210000000000001</v>
      </c>
      <c r="H453" s="2304">
        <v>0.77210000000000001</v>
      </c>
      <c r="I453" s="2304">
        <v>0.61119999999999997</v>
      </c>
      <c r="J453" s="2304">
        <v>0.61119999999999997</v>
      </c>
      <c r="K453" s="2304">
        <v>0.61119999999999997</v>
      </c>
      <c r="L453" s="2304">
        <v>0.61119999999999997</v>
      </c>
      <c r="M453" s="2305">
        <v>0.61119999999999997</v>
      </c>
    </row>
    <row r="454" spans="1:13">
      <c r="A454" s="2306">
        <v>9.3000000000000007</v>
      </c>
      <c r="B454" s="2304">
        <v>0.84250000000000003</v>
      </c>
      <c r="C454" s="2304">
        <v>0.84250000000000003</v>
      </c>
      <c r="D454" s="2304">
        <v>0.77059999999999995</v>
      </c>
      <c r="E454" s="2304">
        <v>0.77059999999999995</v>
      </c>
      <c r="F454" s="2304">
        <v>0.77059999999999995</v>
      </c>
      <c r="G454" s="2304">
        <v>0.77059999999999995</v>
      </c>
      <c r="H454" s="2304">
        <v>0.77059999999999995</v>
      </c>
      <c r="I454" s="2304">
        <v>0.60940000000000005</v>
      </c>
      <c r="J454" s="2304">
        <v>0.60940000000000005</v>
      </c>
      <c r="K454" s="2304">
        <v>0.60940000000000005</v>
      </c>
      <c r="L454" s="2304">
        <v>0.60940000000000005</v>
      </c>
      <c r="M454" s="2305">
        <v>0.60940000000000005</v>
      </c>
    </row>
    <row r="455" spans="1:13">
      <c r="A455" s="2306">
        <v>9.4</v>
      </c>
      <c r="B455" s="2304">
        <v>0.84130000000000005</v>
      </c>
      <c r="C455" s="2304">
        <v>0.84130000000000005</v>
      </c>
      <c r="D455" s="2304">
        <v>0.76900000000000002</v>
      </c>
      <c r="E455" s="2304">
        <v>0.76900000000000002</v>
      </c>
      <c r="F455" s="2304">
        <v>0.76900000000000002</v>
      </c>
      <c r="G455" s="2304">
        <v>0.76900000000000002</v>
      </c>
      <c r="H455" s="2304">
        <v>0.76900000000000002</v>
      </c>
      <c r="I455" s="2304">
        <v>0.60760000000000003</v>
      </c>
      <c r="J455" s="2304">
        <v>0.60760000000000003</v>
      </c>
      <c r="K455" s="2304">
        <v>0.60760000000000003</v>
      </c>
      <c r="L455" s="2304">
        <v>0.60760000000000003</v>
      </c>
      <c r="M455" s="2305">
        <v>0.60760000000000003</v>
      </c>
    </row>
    <row r="456" spans="1:13">
      <c r="A456" s="2306">
        <v>9.5</v>
      </c>
      <c r="B456" s="2304">
        <v>0.84009999999999996</v>
      </c>
      <c r="C456" s="2304">
        <v>0.84009999999999996</v>
      </c>
      <c r="D456" s="2304">
        <v>0.76759999999999995</v>
      </c>
      <c r="E456" s="2304">
        <v>0.76759999999999995</v>
      </c>
      <c r="F456" s="2304">
        <v>0.76759999999999995</v>
      </c>
      <c r="G456" s="2304">
        <v>0.76759999999999995</v>
      </c>
      <c r="H456" s="2304">
        <v>0.76759999999999995</v>
      </c>
      <c r="I456" s="2304">
        <v>0.60580000000000001</v>
      </c>
      <c r="J456" s="2304">
        <v>0.60580000000000001</v>
      </c>
      <c r="K456" s="2304">
        <v>0.60580000000000001</v>
      </c>
      <c r="L456" s="2304">
        <v>0.60580000000000001</v>
      </c>
      <c r="M456" s="2305">
        <v>0.60580000000000001</v>
      </c>
    </row>
    <row r="457" spans="1:13">
      <c r="A457" s="2306">
        <v>9.6</v>
      </c>
      <c r="B457" s="2304">
        <v>0.83899999999999997</v>
      </c>
      <c r="C457" s="2304">
        <v>0.83899999999999997</v>
      </c>
      <c r="D457" s="2304">
        <v>0.76619999999999999</v>
      </c>
      <c r="E457" s="2304">
        <v>0.76619999999999999</v>
      </c>
      <c r="F457" s="2304">
        <v>0.76619999999999999</v>
      </c>
      <c r="G457" s="2304">
        <v>0.76619999999999999</v>
      </c>
      <c r="H457" s="2304">
        <v>0.76619999999999999</v>
      </c>
      <c r="I457" s="2304">
        <v>0.60409999999999997</v>
      </c>
      <c r="J457" s="2304">
        <v>0.60409999999999997</v>
      </c>
      <c r="K457" s="2304">
        <v>0.60409999999999997</v>
      </c>
      <c r="L457" s="2304">
        <v>0.60409999999999997</v>
      </c>
      <c r="M457" s="2305">
        <v>0.60409999999999997</v>
      </c>
    </row>
    <row r="458" spans="1:13">
      <c r="A458" s="2306">
        <v>9.6999999999999993</v>
      </c>
      <c r="B458" s="2304">
        <v>0.83779999999999999</v>
      </c>
      <c r="C458" s="2304">
        <v>0.83779999999999999</v>
      </c>
      <c r="D458" s="2304">
        <v>0.76480000000000004</v>
      </c>
      <c r="E458" s="2304">
        <v>0.76480000000000004</v>
      </c>
      <c r="F458" s="2304">
        <v>0.76480000000000004</v>
      </c>
      <c r="G458" s="2304">
        <v>0.76480000000000004</v>
      </c>
      <c r="H458" s="2304">
        <v>0.76480000000000004</v>
      </c>
      <c r="I458" s="2304">
        <v>0.60240000000000005</v>
      </c>
      <c r="J458" s="2304">
        <v>0.60240000000000005</v>
      </c>
      <c r="K458" s="2304">
        <v>0.60240000000000005</v>
      </c>
      <c r="L458" s="2304">
        <v>0.60240000000000005</v>
      </c>
      <c r="M458" s="2305">
        <v>0.60240000000000005</v>
      </c>
    </row>
    <row r="459" spans="1:13">
      <c r="A459" s="2306">
        <v>9.8000000000000007</v>
      </c>
      <c r="B459" s="2304">
        <v>0.8367</v>
      </c>
      <c r="C459" s="2304">
        <v>0.8367</v>
      </c>
      <c r="D459" s="2304">
        <v>0.76329999999999998</v>
      </c>
      <c r="E459" s="2304">
        <v>0.76329999999999998</v>
      </c>
      <c r="F459" s="2304">
        <v>0.76329999999999998</v>
      </c>
      <c r="G459" s="2304">
        <v>0.76329999999999998</v>
      </c>
      <c r="H459" s="2304">
        <v>0.76329999999999998</v>
      </c>
      <c r="I459" s="2304">
        <v>0.60060000000000002</v>
      </c>
      <c r="J459" s="2304">
        <v>0.60060000000000002</v>
      </c>
      <c r="K459" s="2304">
        <v>0.60060000000000002</v>
      </c>
      <c r="L459" s="2304">
        <v>0.60060000000000002</v>
      </c>
      <c r="M459" s="2305">
        <v>0.60060000000000002</v>
      </c>
    </row>
    <row r="460" spans="1:13" ht="14.25" thickBot="1">
      <c r="A460" s="2307">
        <v>9.9</v>
      </c>
      <c r="B460" s="2308">
        <v>0.83560000000000001</v>
      </c>
      <c r="C460" s="2308">
        <v>0.83560000000000001</v>
      </c>
      <c r="D460" s="2308">
        <v>0.76190000000000002</v>
      </c>
      <c r="E460" s="2308">
        <v>0.76190000000000002</v>
      </c>
      <c r="F460" s="2308">
        <v>0.76190000000000002</v>
      </c>
      <c r="G460" s="2308">
        <v>0.76190000000000002</v>
      </c>
      <c r="H460" s="2308">
        <v>0.76190000000000002</v>
      </c>
      <c r="I460" s="2308">
        <v>0.59889999999999999</v>
      </c>
      <c r="J460" s="2308">
        <v>0.59889999999999999</v>
      </c>
      <c r="K460" s="2308">
        <v>0.59889999999999999</v>
      </c>
      <c r="L460" s="2308">
        <v>0.59889999999999999</v>
      </c>
      <c r="M460" s="2309">
        <v>0.59889999999999999</v>
      </c>
    </row>
  </sheetData>
  <sheetProtection password="CEE9" sheet="1" objects="1" scenarios="1"/>
  <phoneticPr fontId="7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63557</v>
      </c>
      <c r="C2" s="2" t="s">
        <v>104</v>
      </c>
      <c r="D2" s="94"/>
      <c r="E2" s="94"/>
      <c r="F2" s="94"/>
      <c r="G2" s="94"/>
    </row>
    <row r="3" spans="1:7" s="95" customFormat="1" ht="18" customHeight="1" thickBot="1">
      <c r="A3" s="98" t="s">
        <v>56</v>
      </c>
      <c r="B3" s="99">
        <f ca="1">ROUND(B2*10000/'数据-汇总表'!E3,0)</f>
        <v>11071</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29" t="s">
        <v>344</v>
      </c>
      <c r="B6" s="110" t="s">
        <v>62</v>
      </c>
      <c r="C6" s="111">
        <v>20000</v>
      </c>
      <c r="D6" s="112"/>
      <c r="E6" s="113"/>
      <c r="F6" s="113"/>
      <c r="G6" s="114"/>
    </row>
    <row r="7" spans="1:7" s="109" customFormat="1" ht="13.5" customHeight="1">
      <c r="A7" s="529" t="s">
        <v>345</v>
      </c>
      <c r="B7" s="110" t="s">
        <v>28</v>
      </c>
      <c r="C7" s="115">
        <f>ROUND(C6*F7,0)</f>
        <v>610</v>
      </c>
      <c r="D7" s="115"/>
      <c r="E7" s="113"/>
      <c r="F7" s="116">
        <f>'数据-取费表'!B49+'数据-取费表'!B50</f>
        <v>3.0499999999999999E-2</v>
      </c>
      <c r="G7" s="114"/>
    </row>
    <row r="8" spans="1:7" s="118" customFormat="1">
      <c r="A8" s="529" t="s">
        <v>346</v>
      </c>
      <c r="B8" s="110" t="s">
        <v>63</v>
      </c>
      <c r="C8" s="115" t="str">
        <f>IF(G8="已包含在土地购买价格中","0",'数据-取费表'!B29)</f>
        <v>0</v>
      </c>
      <c r="D8" s="117"/>
      <c r="E8" s="115"/>
      <c r="F8" s="116"/>
      <c r="G8" s="1" t="s">
        <v>445</v>
      </c>
    </row>
    <row r="9" spans="1:7" s="109" customFormat="1" ht="13.5" customHeight="1">
      <c r="A9" s="530" t="s">
        <v>353</v>
      </c>
      <c r="B9" s="119" t="s">
        <v>64</v>
      </c>
      <c r="C9" s="120">
        <f>ROUND(D9*E9/10000,0)</f>
        <v>0</v>
      </c>
      <c r="D9" s="556">
        <f>'数据-汇总表'!E5</f>
        <v>0</v>
      </c>
      <c r="E9" s="120">
        <f>'数据-取费表'!B27</f>
        <v>0</v>
      </c>
      <c r="F9" s="116"/>
      <c r="G9" s="121"/>
    </row>
    <row r="10" spans="1:7" s="109" customFormat="1" ht="13.5" customHeight="1">
      <c r="A10" s="530" t="s">
        <v>354</v>
      </c>
      <c r="B10" s="119" t="s">
        <v>65</v>
      </c>
      <c r="C10" s="120">
        <f>ROUND(D10*E10/10000,0)</f>
        <v>1148</v>
      </c>
      <c r="D10" s="556">
        <f>'数据-汇总表'!E6</f>
        <v>57408.26</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28" t="s">
        <v>411</v>
      </c>
      <c r="B19" s="105" t="s">
        <v>82</v>
      </c>
      <c r="C19" s="106">
        <f>IF(G19="已包含在土地取得成本中","0",ROUND(D19*E19/10000,0))</f>
        <v>746</v>
      </c>
      <c r="D19" s="107">
        <f>'数据-汇总表'!E3</f>
        <v>57408.26</v>
      </c>
      <c r="E19" s="106">
        <f>'数据-取费表'!B31</f>
        <v>130</v>
      </c>
      <c r="F19" s="126"/>
      <c r="G19" s="1" t="s">
        <v>430</v>
      </c>
    </row>
    <row r="20" spans="1:7" s="109" customFormat="1" ht="13.5" customHeight="1">
      <c r="A20" s="528" t="s">
        <v>413</v>
      </c>
      <c r="B20" s="105" t="s">
        <v>75</v>
      </c>
      <c r="C20" s="127">
        <f>ROUND((C5+C19)*F20,0)</f>
        <v>427</v>
      </c>
      <c r="D20" s="127"/>
      <c r="E20" s="127"/>
      <c r="F20" s="128">
        <f>'数据-取费表'!B38</f>
        <v>0.02</v>
      </c>
      <c r="G20" s="727" t="s">
        <v>424</v>
      </c>
    </row>
    <row r="21" spans="1:7" s="109" customFormat="1" ht="13.5" customHeight="1">
      <c r="A21" s="528" t="s">
        <v>415</v>
      </c>
      <c r="B21" s="105" t="s">
        <v>76</v>
      </c>
      <c r="C21" s="130">
        <f>F21</f>
        <v>0.02</v>
      </c>
      <c r="D21" s="131" t="s">
        <v>97</v>
      </c>
      <c r="E21" s="127"/>
      <c r="F21" s="128">
        <f>'数据-取费表'!B39</f>
        <v>0.02</v>
      </c>
      <c r="G21" s="129" t="s">
        <v>77</v>
      </c>
    </row>
    <row r="22" spans="1:7" s="109" customFormat="1" ht="13.5" customHeight="1">
      <c r="A22" s="528" t="s">
        <v>339</v>
      </c>
      <c r="B22" s="105" t="s">
        <v>78</v>
      </c>
      <c r="C22" s="763">
        <f ca="1">ROUND(SUM(C23:C25),0)</f>
        <v>1370</v>
      </c>
      <c r="D22" s="130">
        <f ca="1">C26</f>
        <v>5.9999999999999995E-4</v>
      </c>
      <c r="E22" s="131" t="s">
        <v>97</v>
      </c>
      <c r="F22" s="132">
        <f ca="1">'数据-取费表'!B41</f>
        <v>3.1300000000000001E-2</v>
      </c>
      <c r="G22" s="727" t="str">
        <f>IF('数据-取费表'!B22&lt;=1,"单利计息","复利计息")</f>
        <v>复利计息</v>
      </c>
    </row>
    <row r="23" spans="1:7" s="109" customFormat="1" ht="13.5" customHeight="1">
      <c r="A23" s="531" t="s">
        <v>347</v>
      </c>
      <c r="B23" s="110" t="s">
        <v>417</v>
      </c>
      <c r="C23" s="764">
        <f ca="1">ROUND(IF('数据-取费表'!B22&lt;=1,C5*F22*'数据-取费表'!B23,C5*(POWER((1+F22),'数据-取费表'!B23)-1)),0)</f>
        <v>1310</v>
      </c>
      <c r="D23" s="133"/>
      <c r="E23" s="133"/>
      <c r="F23" s="134"/>
      <c r="G23" s="135" t="s">
        <v>79</v>
      </c>
    </row>
    <row r="24" spans="1:7" s="109" customFormat="1" ht="13.5" customHeight="1">
      <c r="A24" s="531" t="s">
        <v>345</v>
      </c>
      <c r="B24" s="110" t="s">
        <v>412</v>
      </c>
      <c r="C24" s="764">
        <f ca="1">ROUND(IF('数据-取费表'!B22&lt;=1,C19*F22*('数据-取费表'!B19/2+'数据-取费表'!B21),C19*(POWER((1+F22),('数据-取费表'!B19/2+'数据-取费表'!B21))-1)),0)</f>
        <v>47</v>
      </c>
      <c r="D24" s="133"/>
      <c r="E24" s="133"/>
      <c r="F24" s="134"/>
      <c r="G24" s="135" t="s">
        <v>80</v>
      </c>
    </row>
    <row r="25" spans="1:7" s="109" customFormat="1" ht="24">
      <c r="A25" s="531" t="s">
        <v>346</v>
      </c>
      <c r="B25" s="110" t="s">
        <v>414</v>
      </c>
      <c r="C25" s="764">
        <f ca="1">ROUND(IF('数据-取费表'!B22&lt;=1,C20*F22*'数据-取费表'!B23/2,C20*(POWER((1+F22),'数据-取费表'!B23/2)-1)),0)</f>
        <v>13</v>
      </c>
      <c r="D25" s="133"/>
      <c r="E25" s="136"/>
      <c r="F25" s="134"/>
      <c r="G25" s="137" t="s">
        <v>81</v>
      </c>
    </row>
    <row r="26" spans="1:7" s="109" customFormat="1">
      <c r="A26" s="531" t="s">
        <v>348</v>
      </c>
      <c r="B26" s="110" t="s">
        <v>416</v>
      </c>
      <c r="C26" s="133">
        <f ca="1">ROUND(IF('数据-取费表'!B22&lt;=1,F21*F22*'数据-取费表'!B23/2,F21*(POWER((1+F22),'数据-取费表'!B23/2)-1)),4)</f>
        <v>5.9999999999999995E-4</v>
      </c>
      <c r="D26" s="133"/>
      <c r="E26" s="136"/>
      <c r="F26" s="134"/>
      <c r="G26" s="138"/>
    </row>
    <row r="27" spans="1:7" s="109" customFormat="1" ht="24.75">
      <c r="A27" s="528" t="s">
        <v>340</v>
      </c>
      <c r="B27" s="139" t="s">
        <v>83</v>
      </c>
      <c r="C27" s="140">
        <f>C28</f>
        <v>3267</v>
      </c>
      <c r="D27" s="130">
        <f>C29</f>
        <v>3.0000000000000001E-3</v>
      </c>
      <c r="E27" s="131" t="s">
        <v>97</v>
      </c>
      <c r="F27" s="141">
        <f>'数据-取费表'!Q16</f>
        <v>0.15</v>
      </c>
      <c r="G27" s="142" t="s">
        <v>425</v>
      </c>
    </row>
    <row r="28" spans="1:7" s="109" customFormat="1" ht="13.5" customHeight="1">
      <c r="A28" s="531" t="s">
        <v>347</v>
      </c>
      <c r="B28" s="143" t="s">
        <v>418</v>
      </c>
      <c r="C28" s="144">
        <f>ROUND((C5+C19+C20)*F27*'数据-取费表'!B21/'数据-取费表'!B20,0)</f>
        <v>3267</v>
      </c>
      <c r="D28" s="130"/>
      <c r="E28" s="131"/>
      <c r="F28" s="141"/>
      <c r="G28" s="142"/>
    </row>
    <row r="29" spans="1:7" s="109" customFormat="1" ht="13.5" customHeight="1">
      <c r="A29" s="531" t="s">
        <v>345</v>
      </c>
      <c r="B29" s="143" t="s">
        <v>419</v>
      </c>
      <c r="C29" s="133">
        <f>ROUND(C21*F27*'数据-取费表'!B21/'数据-取费表'!B20,4)</f>
        <v>3.0000000000000001E-3</v>
      </c>
      <c r="D29" s="130"/>
      <c r="E29" s="131"/>
      <c r="F29" s="141"/>
      <c r="G29" s="142"/>
    </row>
    <row r="30" spans="1:7" s="109" customFormat="1" ht="13.5" customHeight="1">
      <c r="A30" s="528"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27059</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32148</v>
      </c>
      <c r="D33" s="127"/>
      <c r="E33" s="107"/>
      <c r="F33" s="136"/>
      <c r="G33" s="129"/>
    </row>
    <row r="34" spans="1:7" s="153" customFormat="1" ht="13.5" customHeight="1">
      <c r="A34" s="531" t="s">
        <v>347</v>
      </c>
      <c r="B34" s="110" t="s">
        <v>30</v>
      </c>
      <c r="C34" s="115">
        <f>IF(F34=100%,'数据-取费表'!M16-SUMIF('数据-取费表'!C:C,"公共配套",'数据-取费表'!M:M),'数据-取费表'!O16-SUMIF('数据-取费表'!C:C,"公共配套",'数据-取费表'!O:O))</f>
        <v>28704</v>
      </c>
      <c r="D34" s="112"/>
      <c r="E34" s="115"/>
      <c r="F34" s="152">
        <f>IF('数据-取费表'!B24=0,1,'数据-取费表'!N16)</f>
        <v>1</v>
      </c>
      <c r="G34" s="114" t="s">
        <v>87</v>
      </c>
    </row>
    <row r="35" spans="1:7" ht="13.5" customHeight="1">
      <c r="A35" s="531" t="s">
        <v>349</v>
      </c>
      <c r="B35" s="110" t="s">
        <v>31</v>
      </c>
      <c r="C35" s="115">
        <f>ROUND(C34*F35,0)</f>
        <v>1435</v>
      </c>
      <c r="D35" s="115"/>
      <c r="E35" s="115"/>
      <c r="F35" s="154">
        <f>'数据-取费表'!B33</f>
        <v>0.05</v>
      </c>
      <c r="G35" s="114" t="s">
        <v>88</v>
      </c>
    </row>
    <row r="36" spans="1:7" ht="24">
      <c r="A36" s="531"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31" t="s">
        <v>351</v>
      </c>
      <c r="B37" s="110" t="s">
        <v>89</v>
      </c>
      <c r="C37" s="144">
        <f>ROUND(E37*D37*F34/10000,0)</f>
        <v>1722</v>
      </c>
      <c r="D37" s="112">
        <f>'数据-汇总表'!E3</f>
        <v>57408.26</v>
      </c>
      <c r="E37" s="144">
        <f>'数据-取费表'!B35</f>
        <v>300</v>
      </c>
      <c r="F37" s="154"/>
      <c r="G37" s="156" t="s">
        <v>90</v>
      </c>
    </row>
    <row r="38" spans="1:7" ht="13.5" customHeight="1">
      <c r="A38" s="531" t="s">
        <v>352</v>
      </c>
      <c r="B38" s="110" t="s">
        <v>34</v>
      </c>
      <c r="C38" s="115">
        <f>ROUND(C34*F38,0)</f>
        <v>287</v>
      </c>
      <c r="D38" s="115"/>
      <c r="E38" s="115"/>
      <c r="F38" s="154">
        <f>'数据-取费表'!B36</f>
        <v>0.01</v>
      </c>
      <c r="G38" s="114" t="s">
        <v>88</v>
      </c>
    </row>
    <row r="39" spans="1:7" s="109" customFormat="1" ht="13.5" customHeight="1">
      <c r="A39" s="528" t="s">
        <v>336</v>
      </c>
      <c r="B39" s="105" t="s">
        <v>75</v>
      </c>
      <c r="C39" s="127">
        <f>ROUND(C33*F20,0)</f>
        <v>643</v>
      </c>
      <c r="D39" s="127"/>
      <c r="E39" s="127"/>
      <c r="F39" s="128"/>
      <c r="G39" s="727" t="s">
        <v>427</v>
      </c>
    </row>
    <row r="40" spans="1:7" s="109" customFormat="1" ht="13.5" customHeight="1">
      <c r="A40" s="528" t="s">
        <v>337</v>
      </c>
      <c r="B40" s="105" t="s">
        <v>76</v>
      </c>
      <c r="C40" s="157">
        <f>F21</f>
        <v>0.02</v>
      </c>
      <c r="D40" s="131" t="s">
        <v>100</v>
      </c>
      <c r="E40" s="127"/>
      <c r="F40" s="128"/>
      <c r="G40" s="129" t="s">
        <v>91</v>
      </c>
    </row>
    <row r="41" spans="1:7" s="109" customFormat="1" ht="13.5" customHeight="1">
      <c r="A41" s="528" t="s">
        <v>338</v>
      </c>
      <c r="B41" s="105" t="s">
        <v>78</v>
      </c>
      <c r="C41" s="127">
        <f ca="1">ROUND(SUM(C42:C43),0)</f>
        <v>1026</v>
      </c>
      <c r="D41" s="130">
        <f ca="1">C44</f>
        <v>5.9999999999999995E-4</v>
      </c>
      <c r="E41" s="131" t="s">
        <v>100</v>
      </c>
      <c r="F41" s="132"/>
      <c r="G41" s="727" t="str">
        <f>IF('数据-取费表'!B22&lt;=1,"单利计息","复利计息")</f>
        <v>复利计息</v>
      </c>
    </row>
    <row r="42" spans="1:7" ht="13.5" customHeight="1">
      <c r="A42" s="531" t="s">
        <v>347</v>
      </c>
      <c r="B42" s="110" t="s">
        <v>417</v>
      </c>
      <c r="C42" s="133">
        <f ca="1">ROUND(IF('数据-取费表'!B22&lt;=1,C33*F22*'数据-取费表'!B21/2,C33*(POWER((1+F22),'数据-取费表'!B21/2)-1)),0)</f>
        <v>1006</v>
      </c>
      <c r="D42" s="133"/>
      <c r="E42" s="133"/>
      <c r="F42" s="134"/>
      <c r="G42" s="4547" t="s">
        <v>92</v>
      </c>
    </row>
    <row r="43" spans="1:7" ht="13.5" customHeight="1">
      <c r="A43" s="531" t="s">
        <v>345</v>
      </c>
      <c r="B43" s="110" t="s">
        <v>420</v>
      </c>
      <c r="C43" s="133">
        <f ca="1">ROUND(IF('数据-取费表'!B22&lt;=1,C39*F22*'数据-取费表'!B21/2,C39*(POWER((1+F22),'数据-取费表'!B21/2)-1)),0)</f>
        <v>20</v>
      </c>
      <c r="D43" s="133"/>
      <c r="E43" s="133"/>
      <c r="F43" s="134"/>
      <c r="G43" s="4549"/>
    </row>
    <row r="44" spans="1:7" ht="13.5" customHeight="1">
      <c r="A44" s="531" t="s">
        <v>346</v>
      </c>
      <c r="B44" s="110" t="s">
        <v>422</v>
      </c>
      <c r="C44" s="133">
        <f ca="1">ROUND(IF('数据-取费表'!B22&lt;=1,C40*F22*'数据-取费表'!B21/2,C40*(POWER((1+F22),'数据-取费表'!B21/2)-1)),4)</f>
        <v>5.9999999999999995E-4</v>
      </c>
      <c r="D44" s="133"/>
      <c r="E44" s="133"/>
      <c r="F44" s="134"/>
      <c r="G44" s="4548"/>
    </row>
    <row r="45" spans="1:7" s="109" customFormat="1" ht="13.5" customHeight="1">
      <c r="A45" s="528" t="s">
        <v>339</v>
      </c>
      <c r="B45" s="139" t="s">
        <v>83</v>
      </c>
      <c r="C45" s="140">
        <f>C46</f>
        <v>4919</v>
      </c>
      <c r="D45" s="130">
        <f>C47</f>
        <v>3.0000000000000001E-3</v>
      </c>
      <c r="E45" s="131" t="s">
        <v>100</v>
      </c>
      <c r="F45" s="141"/>
      <c r="G45" s="142" t="s">
        <v>428</v>
      </c>
    </row>
    <row r="46" spans="1:7" s="109" customFormat="1" ht="13.5" customHeight="1">
      <c r="A46" s="531" t="s">
        <v>347</v>
      </c>
      <c r="B46" s="143" t="s">
        <v>421</v>
      </c>
      <c r="C46" s="144">
        <f>ROUND((C33+C39)*F27,0)</f>
        <v>4919</v>
      </c>
      <c r="D46" s="158"/>
      <c r="E46" s="131"/>
      <c r="F46" s="141"/>
      <c r="G46" s="142"/>
    </row>
    <row r="47" spans="1:7" s="109" customFormat="1" ht="13.5" customHeight="1">
      <c r="A47" s="531" t="s">
        <v>345</v>
      </c>
      <c r="B47" s="143" t="s">
        <v>423</v>
      </c>
      <c r="C47" s="133">
        <f>ROUND(C40*F27,4)</f>
        <v>3.0000000000000001E-3</v>
      </c>
      <c r="D47" s="158"/>
      <c r="E47" s="131"/>
      <c r="F47" s="141"/>
      <c r="G47" s="142"/>
    </row>
    <row r="48" spans="1:7" s="109" customFormat="1" ht="13.5" customHeight="1">
      <c r="A48" s="528" t="s">
        <v>340</v>
      </c>
      <c r="B48" s="105" t="s">
        <v>93</v>
      </c>
      <c r="C48" s="157">
        <f>F30</f>
        <v>0</v>
      </c>
      <c r="D48" s="131" t="s">
        <v>101</v>
      </c>
      <c r="E48" s="127"/>
      <c r="F48" s="132"/>
      <c r="G48" s="129" t="s">
        <v>94</v>
      </c>
    </row>
    <row r="49" spans="1:7" ht="16.5" customHeight="1">
      <c r="A49" s="528" t="s">
        <v>341</v>
      </c>
      <c r="B49" s="105" t="s">
        <v>102</v>
      </c>
      <c r="C49" s="127">
        <f ca="1">ROUND((C33+C39+C41+C45)/(1-C40-D41-D45-C48/(1+'数据-取费表'!B43)),0)</f>
        <v>39672</v>
      </c>
      <c r="D49" s="127"/>
      <c r="E49" s="127"/>
      <c r="F49" s="159"/>
      <c r="G49" s="129" t="s">
        <v>429</v>
      </c>
    </row>
    <row r="50" spans="1:7" s="153" customFormat="1" ht="24">
      <c r="A50" s="528" t="s">
        <v>342</v>
      </c>
      <c r="B50" s="105" t="s">
        <v>95</v>
      </c>
      <c r="C50" s="127"/>
      <c r="D50" s="127"/>
      <c r="E50" s="127"/>
      <c r="F50" s="159">
        <f>IF('数据-取费表'!B24=0,'数据-取费表'!N16,1)</f>
        <v>0.92</v>
      </c>
      <c r="G50" s="142" t="s">
        <v>96</v>
      </c>
    </row>
    <row r="51" spans="1:7" ht="16.5" customHeight="1">
      <c r="A51" s="528" t="s">
        <v>343</v>
      </c>
      <c r="B51" s="105" t="s">
        <v>103</v>
      </c>
      <c r="C51" s="127">
        <f ca="1">ROUND(C49*F50,0)</f>
        <v>36498</v>
      </c>
      <c r="D51" s="127"/>
      <c r="E51" s="127"/>
      <c r="F51" s="159"/>
      <c r="G51" s="129" t="s">
        <v>35</v>
      </c>
    </row>
    <row r="52" spans="1:7" s="103" customFormat="1" ht="16.5" thickBot="1">
      <c r="A52" s="160" t="s">
        <v>36</v>
      </c>
      <c r="B52" s="161"/>
      <c r="C52" s="162">
        <f ca="1">C31+C51</f>
        <v>63557</v>
      </c>
      <c r="D52" s="161"/>
      <c r="E52" s="161"/>
      <c r="F52" s="161"/>
      <c r="G52" s="163"/>
    </row>
    <row r="55" spans="1:7" ht="15">
      <c r="B55" s="165" t="s">
        <v>37</v>
      </c>
      <c r="C55" s="166"/>
    </row>
    <row r="56" spans="1:7">
      <c r="B56" s="168" t="s">
        <v>38</v>
      </c>
      <c r="C56" s="169">
        <f ca="1">ROUND(C51/C52,3)</f>
        <v>0.57399999999999995</v>
      </c>
    </row>
    <row r="57" spans="1:7">
      <c r="B57" s="168" t="s">
        <v>39</v>
      </c>
      <c r="C57" s="170">
        <f ca="1">1-C56</f>
        <v>0.42600000000000005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86" customWidth="1"/>
    <col min="2" max="2" width="20" style="2386" customWidth="1"/>
    <col min="3" max="7" width="8.875" style="2386"/>
    <col min="8" max="16384" width="8.875" style="2262"/>
  </cols>
  <sheetData>
    <row r="1" spans="1:7">
      <c r="A1" s="4756" t="s">
        <v>3066</v>
      </c>
      <c r="B1" s="4756"/>
    </row>
    <row r="2" spans="1:7" ht="14.25" thickBot="1">
      <c r="A2" s="2387"/>
      <c r="B2" s="2387"/>
    </row>
    <row r="3" spans="1:7" ht="14.25" thickBot="1">
      <c r="A3" s="2387"/>
      <c r="B3" s="2387"/>
      <c r="C3" s="2388" t="s">
        <v>2696</v>
      </c>
      <c r="D3" s="2388" t="s">
        <v>2752</v>
      </c>
      <c r="E3" s="2388" t="s">
        <v>2698</v>
      </c>
      <c r="F3" s="2388" t="s">
        <v>2753</v>
      </c>
      <c r="G3" s="2388" t="s">
        <v>2516</v>
      </c>
    </row>
    <row r="4" spans="1:7" ht="14.25" thickBot="1">
      <c r="A4" s="2389" t="s">
        <v>2751</v>
      </c>
      <c r="B4" s="2390" t="s">
        <v>2757</v>
      </c>
      <c r="C4" s="2388"/>
      <c r="D4" s="2388"/>
      <c r="E4" s="2388"/>
      <c r="F4" s="2388"/>
      <c r="G4" s="2388"/>
    </row>
    <row r="5" spans="1:7">
      <c r="A5" s="2391" t="s">
        <v>2725</v>
      </c>
      <c r="B5" s="2392" t="s">
        <v>2739</v>
      </c>
      <c r="C5" s="2393">
        <v>9.8000000000000004E-2</v>
      </c>
      <c r="D5" s="2393">
        <v>8.6999999999999994E-2</v>
      </c>
      <c r="E5" s="2393">
        <v>8.6999999999999994E-2</v>
      </c>
      <c r="F5" s="2393">
        <v>9.8000000000000004E-2</v>
      </c>
      <c r="G5" s="2394">
        <v>9.5000000000000001E-2</v>
      </c>
    </row>
    <row r="6" spans="1:7">
      <c r="A6" s="2395" t="s">
        <v>142</v>
      </c>
      <c r="B6" s="2396" t="s">
        <v>2754</v>
      </c>
      <c r="C6" s="2397">
        <v>9.8000000000000004E-2</v>
      </c>
      <c r="D6" s="2397">
        <v>9.8000000000000004E-2</v>
      </c>
      <c r="E6" s="2397">
        <v>9.8000000000000004E-2</v>
      </c>
      <c r="F6" s="2397">
        <v>0.1</v>
      </c>
      <c r="G6" s="2398">
        <v>9.9000000000000005E-2</v>
      </c>
    </row>
    <row r="7" spans="1:7">
      <c r="A7" s="2395" t="s">
        <v>142</v>
      </c>
      <c r="B7" s="2396" t="s">
        <v>135</v>
      </c>
      <c r="C7" s="2397">
        <v>9.7000000000000003E-2</v>
      </c>
      <c r="D7" s="2397">
        <v>9.7000000000000003E-2</v>
      </c>
      <c r="E7" s="2397">
        <v>9.6000000000000002E-2</v>
      </c>
      <c r="F7" s="2397">
        <v>0.1</v>
      </c>
      <c r="G7" s="2398">
        <v>9.8000000000000004E-2</v>
      </c>
    </row>
    <row r="8" spans="1:7">
      <c r="A8" s="2395" t="s">
        <v>142</v>
      </c>
      <c r="B8" s="2396" t="s">
        <v>143</v>
      </c>
      <c r="C8" s="2397">
        <v>8.1000000000000003E-2</v>
      </c>
      <c r="D8" s="2397">
        <v>8.2000000000000003E-2</v>
      </c>
      <c r="E8" s="2397">
        <v>7.0000000000000007E-2</v>
      </c>
      <c r="F8" s="2397">
        <v>9.6000000000000002E-2</v>
      </c>
      <c r="G8" s="2398">
        <v>8.8999999999999996E-2</v>
      </c>
    </row>
    <row r="9" spans="1:7" ht="14.25" thickBot="1">
      <c r="A9" s="2399" t="s">
        <v>142</v>
      </c>
      <c r="B9" s="2400" t="s">
        <v>152</v>
      </c>
      <c r="C9" s="2401">
        <v>0.1</v>
      </c>
      <c r="D9" s="2401">
        <v>0.1</v>
      </c>
      <c r="E9" s="2401">
        <v>0.1</v>
      </c>
      <c r="F9" s="2402"/>
      <c r="G9" s="2403">
        <v>0.1</v>
      </c>
    </row>
    <row r="10" spans="1:7">
      <c r="A10" s="2391" t="s">
        <v>182</v>
      </c>
      <c r="B10" s="2392" t="s">
        <v>2740</v>
      </c>
      <c r="C10" s="2393">
        <v>6.7000000000000004E-2</v>
      </c>
      <c r="D10" s="2393">
        <v>7.9000000000000001E-2</v>
      </c>
      <c r="E10" s="2393">
        <v>7.9000000000000001E-2</v>
      </c>
      <c r="F10" s="2393">
        <v>0.1</v>
      </c>
      <c r="G10" s="2394">
        <v>9.0999999999999998E-2</v>
      </c>
    </row>
    <row r="11" spans="1:7">
      <c r="A11" s="2395" t="s">
        <v>182</v>
      </c>
      <c r="B11" s="2396" t="s">
        <v>126</v>
      </c>
      <c r="C11" s="2397">
        <v>0.05</v>
      </c>
      <c r="D11" s="2397">
        <v>5.2999999999999999E-2</v>
      </c>
      <c r="E11" s="2397">
        <v>6.3E-2</v>
      </c>
      <c r="F11" s="2397">
        <v>0.1</v>
      </c>
      <c r="G11" s="2398">
        <v>7.1999999999999995E-2</v>
      </c>
    </row>
    <row r="12" spans="1:7">
      <c r="A12" s="2395" t="s">
        <v>182</v>
      </c>
      <c r="B12" s="2396" t="s">
        <v>109</v>
      </c>
      <c r="C12" s="2397">
        <v>5.2999999999999999E-2</v>
      </c>
      <c r="D12" s="2397">
        <v>0.09</v>
      </c>
      <c r="E12" s="2397">
        <v>7.1999999999999995E-2</v>
      </c>
      <c r="F12" s="2397">
        <v>0.1</v>
      </c>
      <c r="G12" s="2398">
        <v>9.7000000000000003E-2</v>
      </c>
    </row>
    <row r="13" spans="1:7">
      <c r="A13" s="2395" t="s">
        <v>182</v>
      </c>
      <c r="B13" s="2396" t="s">
        <v>144</v>
      </c>
      <c r="C13" s="2397">
        <v>9.7000000000000003E-2</v>
      </c>
      <c r="D13" s="2397">
        <v>9.1999999999999998E-2</v>
      </c>
      <c r="E13" s="2397">
        <v>9.5000000000000001E-2</v>
      </c>
      <c r="F13" s="2397">
        <v>0.1</v>
      </c>
      <c r="G13" s="2398">
        <v>9.7000000000000003E-2</v>
      </c>
    </row>
    <row r="14" spans="1:7">
      <c r="A14" s="2395" t="s">
        <v>182</v>
      </c>
      <c r="B14" s="2396" t="s">
        <v>153</v>
      </c>
      <c r="C14" s="2397">
        <v>9.7000000000000003E-2</v>
      </c>
      <c r="D14" s="2397">
        <v>9.7000000000000003E-2</v>
      </c>
      <c r="E14" s="2397">
        <v>9.7000000000000003E-2</v>
      </c>
      <c r="F14" s="2397">
        <v>0.1</v>
      </c>
      <c r="G14" s="2398">
        <v>9.8000000000000004E-2</v>
      </c>
    </row>
    <row r="15" spans="1:7">
      <c r="A15" s="2395" t="s">
        <v>182</v>
      </c>
      <c r="B15" s="2396" t="s">
        <v>160</v>
      </c>
      <c r="C15" s="2397">
        <v>9.8000000000000004E-2</v>
      </c>
      <c r="D15" s="2397">
        <v>9.0999999999999998E-2</v>
      </c>
      <c r="E15" s="2397">
        <v>0.06</v>
      </c>
      <c r="F15" s="2397">
        <v>0.1</v>
      </c>
      <c r="G15" s="2398">
        <v>9.7000000000000003E-2</v>
      </c>
    </row>
    <row r="16" spans="1:7">
      <c r="A16" s="2395" t="s">
        <v>182</v>
      </c>
      <c r="B16" s="2396" t="s">
        <v>166</v>
      </c>
      <c r="C16" s="2397">
        <v>9.8000000000000004E-2</v>
      </c>
      <c r="D16" s="2397">
        <v>9.7000000000000003E-2</v>
      </c>
      <c r="E16" s="2397">
        <v>9.5000000000000001E-2</v>
      </c>
      <c r="F16" s="2397">
        <v>0.1</v>
      </c>
      <c r="G16" s="2398">
        <v>9.9000000000000005E-2</v>
      </c>
    </row>
    <row r="17" spans="1:7">
      <c r="A17" s="2395" t="s">
        <v>182</v>
      </c>
      <c r="B17" s="2396" t="s">
        <v>173</v>
      </c>
      <c r="C17" s="2397">
        <v>8.8999999999999996E-2</v>
      </c>
      <c r="D17" s="2397">
        <v>9.1999999999999998E-2</v>
      </c>
      <c r="E17" s="2397">
        <v>6.0999999999999999E-2</v>
      </c>
      <c r="F17" s="2397">
        <v>0.1</v>
      </c>
      <c r="G17" s="2398">
        <v>9.7000000000000003E-2</v>
      </c>
    </row>
    <row r="18" spans="1:7">
      <c r="A18" s="2395" t="s">
        <v>182</v>
      </c>
      <c r="B18" s="2396" t="s">
        <v>183</v>
      </c>
      <c r="C18" s="2397">
        <v>9.8000000000000004E-2</v>
      </c>
      <c r="D18" s="2397">
        <v>9.8000000000000004E-2</v>
      </c>
      <c r="E18" s="2397">
        <v>9.8000000000000004E-2</v>
      </c>
      <c r="F18" s="2404"/>
      <c r="G18" s="2398">
        <v>9.9000000000000005E-2</v>
      </c>
    </row>
    <row r="19" spans="1:7">
      <c r="A19" s="2395" t="s">
        <v>182</v>
      </c>
      <c r="B19" s="2396" t="s">
        <v>192</v>
      </c>
      <c r="C19" s="2397">
        <v>9.9000000000000005E-2</v>
      </c>
      <c r="D19" s="2397">
        <v>7.3999999999999996E-2</v>
      </c>
      <c r="E19" s="2397">
        <v>8.1000000000000003E-2</v>
      </c>
      <c r="F19" s="2404"/>
      <c r="G19" s="2398">
        <v>9.2999999999999999E-2</v>
      </c>
    </row>
    <row r="20" spans="1:7">
      <c r="A20" s="2395" t="s">
        <v>182</v>
      </c>
      <c r="B20" s="2396" t="s">
        <v>199</v>
      </c>
      <c r="C20" s="2397">
        <v>0.1</v>
      </c>
      <c r="D20" s="2397">
        <v>8.8999999999999996E-2</v>
      </c>
      <c r="E20" s="2397">
        <v>8.8999999999999996E-2</v>
      </c>
      <c r="F20" s="2404"/>
      <c r="G20" s="2398">
        <v>9.5000000000000001E-2</v>
      </c>
    </row>
    <row r="21" spans="1:7">
      <c r="A21" s="2395" t="s">
        <v>182</v>
      </c>
      <c r="B21" s="2396" t="s">
        <v>206</v>
      </c>
      <c r="C21" s="2397">
        <v>0.1</v>
      </c>
      <c r="D21" s="2397">
        <v>9.0999999999999998E-2</v>
      </c>
      <c r="E21" s="2397">
        <v>8.2000000000000003E-2</v>
      </c>
      <c r="F21" s="2404"/>
      <c r="G21" s="2398">
        <v>9.7000000000000003E-2</v>
      </c>
    </row>
    <row r="22" spans="1:7">
      <c r="A22" s="2395" t="s">
        <v>182</v>
      </c>
      <c r="B22" s="2396" t="s">
        <v>2790</v>
      </c>
      <c r="C22" s="2397">
        <v>9.5000000000000001E-2</v>
      </c>
      <c r="D22" s="2397">
        <v>9.9000000000000005E-2</v>
      </c>
      <c r="E22" s="2397">
        <v>9.8000000000000004E-2</v>
      </c>
      <c r="F22" s="2404"/>
      <c r="G22" s="2398">
        <v>0.1</v>
      </c>
    </row>
    <row r="23" spans="1:7">
      <c r="A23" s="2395" t="s">
        <v>182</v>
      </c>
      <c r="B23" s="2396" t="s">
        <v>220</v>
      </c>
      <c r="C23" s="2397">
        <v>9.9000000000000005E-2</v>
      </c>
      <c r="D23" s="2397">
        <v>0.1</v>
      </c>
      <c r="E23" s="2397">
        <v>0.1</v>
      </c>
      <c r="F23" s="2404"/>
      <c r="G23" s="2398">
        <v>0.1</v>
      </c>
    </row>
    <row r="24" spans="1:7">
      <c r="A24" s="2395" t="s">
        <v>182</v>
      </c>
      <c r="B24" s="2396" t="s">
        <v>228</v>
      </c>
      <c r="C24" s="2397">
        <v>9.5000000000000001E-2</v>
      </c>
      <c r="D24" s="2397">
        <v>0.1</v>
      </c>
      <c r="E24" s="2397">
        <v>9.8000000000000004E-2</v>
      </c>
      <c r="F24" s="2404"/>
      <c r="G24" s="2398">
        <v>0.1</v>
      </c>
    </row>
    <row r="25" spans="1:7">
      <c r="A25" s="2395" t="s">
        <v>182</v>
      </c>
      <c r="B25" s="2396" t="s">
        <v>233</v>
      </c>
      <c r="C25" s="2397">
        <v>0.05</v>
      </c>
      <c r="D25" s="2397">
        <v>9.6000000000000002E-2</v>
      </c>
      <c r="E25" s="2397">
        <v>9.6000000000000002E-2</v>
      </c>
      <c r="F25" s="2404"/>
      <c r="G25" s="2398">
        <v>9.6000000000000002E-2</v>
      </c>
    </row>
    <row r="26" spans="1:7">
      <c r="A26" s="2395" t="s">
        <v>182</v>
      </c>
      <c r="B26" s="2396" t="s">
        <v>242</v>
      </c>
      <c r="C26" s="2397">
        <v>6.3E-2</v>
      </c>
      <c r="D26" s="2397">
        <v>9.9000000000000005E-2</v>
      </c>
      <c r="E26" s="2397">
        <v>9.8000000000000004E-2</v>
      </c>
      <c r="F26" s="2404"/>
      <c r="G26" s="2398">
        <v>0.1</v>
      </c>
    </row>
    <row r="27" spans="1:7">
      <c r="A27" s="2395" t="s">
        <v>182</v>
      </c>
      <c r="B27" s="2396" t="s">
        <v>249</v>
      </c>
      <c r="C27" s="2397">
        <v>5.1999999999999998E-2</v>
      </c>
      <c r="D27" s="2397">
        <v>9.5000000000000001E-2</v>
      </c>
      <c r="E27" s="2397">
        <v>6.4000000000000001E-2</v>
      </c>
      <c r="F27" s="2404"/>
      <c r="G27" s="2398">
        <v>9.7000000000000003E-2</v>
      </c>
    </row>
    <row r="28" spans="1:7">
      <c r="A28" s="2395" t="s">
        <v>182</v>
      </c>
      <c r="B28" s="2396" t="s">
        <v>257</v>
      </c>
      <c r="C28" s="2404"/>
      <c r="D28" s="2397">
        <v>6.3E-2</v>
      </c>
      <c r="E28" s="2397">
        <v>5.1999999999999998E-2</v>
      </c>
      <c r="F28" s="2404"/>
      <c r="G28" s="2398">
        <v>6.3E-2</v>
      </c>
    </row>
    <row r="29" spans="1:7" ht="14.25" thickBot="1">
      <c r="A29" s="2399" t="s">
        <v>182</v>
      </c>
      <c r="B29" s="2400" t="s">
        <v>2808</v>
      </c>
      <c r="C29" s="2405"/>
      <c r="D29" s="2401">
        <v>5.1999999999999998E-2</v>
      </c>
      <c r="E29" s="2401">
        <v>7.0000000000000007E-2</v>
      </c>
      <c r="F29" s="2405"/>
      <c r="G29" s="2403">
        <v>7.0999999999999994E-2</v>
      </c>
    </row>
    <row r="30" spans="1:7">
      <c r="A30" s="2406" t="s">
        <v>294</v>
      </c>
      <c r="B30" s="2392" t="s">
        <v>2741</v>
      </c>
      <c r="C30" s="2393">
        <v>6.6000000000000003E-2</v>
      </c>
      <c r="D30" s="2393">
        <v>6.6000000000000003E-2</v>
      </c>
      <c r="E30" s="2393">
        <v>5.7000000000000002E-2</v>
      </c>
      <c r="F30" s="2393">
        <v>0.1</v>
      </c>
      <c r="G30" s="2394">
        <v>6.8000000000000005E-2</v>
      </c>
    </row>
    <row r="31" spans="1:7">
      <c r="A31" s="2407" t="s">
        <v>294</v>
      </c>
      <c r="B31" s="2396" t="s">
        <v>127</v>
      </c>
      <c r="C31" s="2397">
        <v>5.5E-2</v>
      </c>
      <c r="D31" s="2397">
        <v>8.2000000000000003E-2</v>
      </c>
      <c r="E31" s="2397">
        <v>6.4000000000000001E-2</v>
      </c>
      <c r="F31" s="2397">
        <v>0.1</v>
      </c>
      <c r="G31" s="2398">
        <v>9.5000000000000001E-2</v>
      </c>
    </row>
    <row r="32" spans="1:7">
      <c r="A32" s="2407" t="s">
        <v>294</v>
      </c>
      <c r="B32" s="2396" t="s">
        <v>136</v>
      </c>
      <c r="C32" s="2397">
        <v>8.2000000000000003E-2</v>
      </c>
      <c r="D32" s="2397">
        <v>8.6999999999999994E-2</v>
      </c>
      <c r="E32" s="2397">
        <v>9.5000000000000001E-2</v>
      </c>
      <c r="F32" s="2397">
        <v>0.1</v>
      </c>
      <c r="G32" s="2398">
        <v>9.6000000000000002E-2</v>
      </c>
    </row>
    <row r="33" spans="1:7">
      <c r="A33" s="2407" t="s">
        <v>294</v>
      </c>
      <c r="B33" s="2396" t="s">
        <v>145</v>
      </c>
      <c r="C33" s="2397">
        <v>9.9000000000000005E-2</v>
      </c>
      <c r="D33" s="2397">
        <v>9.1999999999999998E-2</v>
      </c>
      <c r="E33" s="2397">
        <v>8.6999999999999994E-2</v>
      </c>
      <c r="F33" s="2397">
        <v>0.1</v>
      </c>
      <c r="G33" s="2398">
        <v>9.7000000000000003E-2</v>
      </c>
    </row>
    <row r="34" spans="1:7">
      <c r="A34" s="2407" t="s">
        <v>294</v>
      </c>
      <c r="B34" s="2396" t="s">
        <v>154</v>
      </c>
      <c r="C34" s="2397">
        <v>8.4000000000000005E-2</v>
      </c>
      <c r="D34" s="2397">
        <v>9.7000000000000003E-2</v>
      </c>
      <c r="E34" s="2397">
        <v>7.0999999999999994E-2</v>
      </c>
      <c r="F34" s="2397">
        <v>0.1</v>
      </c>
      <c r="G34" s="2398">
        <v>9.8000000000000004E-2</v>
      </c>
    </row>
    <row r="35" spans="1:7">
      <c r="A35" s="2407" t="s">
        <v>294</v>
      </c>
      <c r="B35" s="2396" t="s">
        <v>161</v>
      </c>
      <c r="C35" s="2397">
        <v>8.3000000000000004E-2</v>
      </c>
      <c r="D35" s="2397">
        <v>9.7000000000000003E-2</v>
      </c>
      <c r="E35" s="2397">
        <v>6.0999999999999999E-2</v>
      </c>
      <c r="F35" s="2397">
        <v>0.1</v>
      </c>
      <c r="G35" s="2398">
        <v>9.9000000000000005E-2</v>
      </c>
    </row>
    <row r="36" spans="1:7">
      <c r="A36" s="2407" t="s">
        <v>294</v>
      </c>
      <c r="B36" s="2396" t="s">
        <v>167</v>
      </c>
      <c r="C36" s="2397">
        <v>9.7000000000000003E-2</v>
      </c>
      <c r="D36" s="2397">
        <v>9.7000000000000003E-2</v>
      </c>
      <c r="E36" s="2397">
        <v>7.8E-2</v>
      </c>
      <c r="F36" s="2397">
        <v>0.1</v>
      </c>
      <c r="G36" s="2398">
        <v>9.9000000000000005E-2</v>
      </c>
    </row>
    <row r="37" spans="1:7">
      <c r="A37" s="2407" t="s">
        <v>294</v>
      </c>
      <c r="B37" s="2396" t="s">
        <v>174</v>
      </c>
      <c r="C37" s="2397">
        <v>9.7000000000000003E-2</v>
      </c>
      <c r="D37" s="2397">
        <v>9.5000000000000001E-2</v>
      </c>
      <c r="E37" s="2397">
        <v>7.8E-2</v>
      </c>
      <c r="F37" s="2397">
        <v>0.1</v>
      </c>
      <c r="G37" s="2398">
        <v>9.7000000000000003E-2</v>
      </c>
    </row>
    <row r="38" spans="1:7">
      <c r="A38" s="2407" t="s">
        <v>294</v>
      </c>
      <c r="B38" s="2396" t="s">
        <v>184</v>
      </c>
      <c r="C38" s="2397">
        <v>9.7000000000000003E-2</v>
      </c>
      <c r="D38" s="2397">
        <v>7.6999999999999999E-2</v>
      </c>
      <c r="E38" s="2397">
        <v>7.0000000000000007E-2</v>
      </c>
      <c r="F38" s="2397">
        <v>0.1</v>
      </c>
      <c r="G38" s="2398">
        <v>7.6999999999999999E-2</v>
      </c>
    </row>
    <row r="39" spans="1:7">
      <c r="A39" s="2407" t="s">
        <v>294</v>
      </c>
      <c r="B39" s="2396" t="s">
        <v>193</v>
      </c>
      <c r="C39" s="2397">
        <v>9.5000000000000001E-2</v>
      </c>
      <c r="D39" s="2397">
        <v>7.6999999999999999E-2</v>
      </c>
      <c r="E39" s="2397">
        <v>6.6000000000000003E-2</v>
      </c>
      <c r="F39" s="2397">
        <v>0.1</v>
      </c>
      <c r="G39" s="2398">
        <v>8.5999999999999993E-2</v>
      </c>
    </row>
    <row r="40" spans="1:7">
      <c r="A40" s="2407" t="s">
        <v>294</v>
      </c>
      <c r="B40" s="2396" t="s">
        <v>200</v>
      </c>
      <c r="C40" s="2397">
        <v>7.6999999999999999E-2</v>
      </c>
      <c r="D40" s="2397">
        <v>7.8E-2</v>
      </c>
      <c r="E40" s="2397">
        <v>8.2000000000000003E-2</v>
      </c>
      <c r="F40" s="2408"/>
      <c r="G40" s="2398">
        <v>7.8E-2</v>
      </c>
    </row>
    <row r="41" spans="1:7">
      <c r="A41" s="2407" t="s">
        <v>294</v>
      </c>
      <c r="B41" s="2396" t="s">
        <v>207</v>
      </c>
      <c r="C41" s="2397">
        <v>7.8E-2</v>
      </c>
      <c r="D41" s="2397">
        <v>7.8E-2</v>
      </c>
      <c r="E41" s="2397">
        <v>8.2000000000000003E-2</v>
      </c>
      <c r="F41" s="2408"/>
      <c r="G41" s="2398">
        <v>8.5999999999999993E-2</v>
      </c>
    </row>
    <row r="42" spans="1:7">
      <c r="A42" s="2407" t="s">
        <v>294</v>
      </c>
      <c r="B42" s="2396" t="s">
        <v>213</v>
      </c>
      <c r="C42" s="2397">
        <v>7.8E-2</v>
      </c>
      <c r="D42" s="2397">
        <v>9.6000000000000002E-2</v>
      </c>
      <c r="E42" s="2397">
        <v>7.1999999999999995E-2</v>
      </c>
      <c r="F42" s="2408"/>
      <c r="G42" s="2398">
        <v>9.8000000000000004E-2</v>
      </c>
    </row>
    <row r="43" spans="1:7">
      <c r="A43" s="2407" t="s">
        <v>2727</v>
      </c>
      <c r="B43" s="2396" t="s">
        <v>221</v>
      </c>
      <c r="C43" s="2397">
        <v>7.8E-2</v>
      </c>
      <c r="D43" s="2397">
        <v>9.9000000000000005E-2</v>
      </c>
      <c r="E43" s="2397">
        <v>9.6000000000000002E-2</v>
      </c>
      <c r="F43" s="2408"/>
      <c r="G43" s="2398">
        <v>0.1</v>
      </c>
    </row>
    <row r="44" spans="1:7">
      <c r="A44" s="2407" t="s">
        <v>294</v>
      </c>
      <c r="B44" s="2396" t="s">
        <v>229</v>
      </c>
      <c r="C44" s="2397">
        <v>9.6000000000000002E-2</v>
      </c>
      <c r="D44" s="2397">
        <v>0.1</v>
      </c>
      <c r="E44" s="2397">
        <v>9.8000000000000004E-2</v>
      </c>
      <c r="F44" s="2408"/>
      <c r="G44" s="2398">
        <v>0.1</v>
      </c>
    </row>
    <row r="45" spans="1:7">
      <c r="A45" s="2407" t="s">
        <v>294</v>
      </c>
      <c r="B45" s="2396" t="s">
        <v>234</v>
      </c>
      <c r="C45" s="2397">
        <v>9.9000000000000005E-2</v>
      </c>
      <c r="D45" s="2397">
        <v>9.8000000000000004E-2</v>
      </c>
      <c r="E45" s="2397">
        <v>9.5000000000000001E-2</v>
      </c>
      <c r="F45" s="2408"/>
      <c r="G45" s="2398">
        <v>9.8000000000000004E-2</v>
      </c>
    </row>
    <row r="46" spans="1:7">
      <c r="A46" s="2407" t="s">
        <v>294</v>
      </c>
      <c r="B46" s="2396" t="s">
        <v>243</v>
      </c>
      <c r="C46" s="2397">
        <v>0.1</v>
      </c>
      <c r="D46" s="2397">
        <v>9.9000000000000005E-2</v>
      </c>
      <c r="E46" s="2397">
        <v>9.6000000000000002E-2</v>
      </c>
      <c r="F46" s="2408"/>
      <c r="G46" s="2398">
        <v>0.1</v>
      </c>
    </row>
    <row r="47" spans="1:7">
      <c r="A47" s="2407" t="s">
        <v>294</v>
      </c>
      <c r="B47" s="2396" t="s">
        <v>250</v>
      </c>
      <c r="C47" s="2397">
        <v>9.8000000000000004E-2</v>
      </c>
      <c r="D47" s="2397">
        <v>8.6999999999999994E-2</v>
      </c>
      <c r="E47" s="2397">
        <v>5.8999999999999997E-2</v>
      </c>
      <c r="F47" s="2408"/>
      <c r="G47" s="2398">
        <v>9.6000000000000002E-2</v>
      </c>
    </row>
    <row r="48" spans="1:7">
      <c r="A48" s="2407" t="s">
        <v>294</v>
      </c>
      <c r="B48" s="2396" t="s">
        <v>258</v>
      </c>
      <c r="C48" s="2397">
        <v>9.9000000000000005E-2</v>
      </c>
      <c r="D48" s="2397">
        <v>9.8000000000000004E-2</v>
      </c>
      <c r="E48" s="2397">
        <v>9.5000000000000001E-2</v>
      </c>
      <c r="F48" s="2408"/>
      <c r="G48" s="2398">
        <v>9.8000000000000004E-2</v>
      </c>
    </row>
    <row r="49" spans="1:7">
      <c r="A49" s="2407" t="s">
        <v>294</v>
      </c>
      <c r="B49" s="2396" t="s">
        <v>265</v>
      </c>
      <c r="C49" s="2397">
        <v>8.7999999999999995E-2</v>
      </c>
      <c r="D49" s="2397">
        <v>9.9000000000000005E-2</v>
      </c>
      <c r="E49" s="2397">
        <v>7.0000000000000007E-2</v>
      </c>
      <c r="F49" s="2408"/>
      <c r="G49" s="2398">
        <v>0.1</v>
      </c>
    </row>
    <row r="50" spans="1:7">
      <c r="A50" s="2407" t="s">
        <v>294</v>
      </c>
      <c r="B50" s="2396" t="s">
        <v>2811</v>
      </c>
      <c r="C50" s="2397">
        <v>9.8000000000000004E-2</v>
      </c>
      <c r="D50" s="2397">
        <v>7.2999999999999995E-2</v>
      </c>
      <c r="E50" s="2397">
        <v>7.0999999999999994E-2</v>
      </c>
      <c r="F50" s="2408"/>
      <c r="G50" s="2398">
        <v>7.2999999999999995E-2</v>
      </c>
    </row>
    <row r="51" spans="1:7">
      <c r="A51" s="2407" t="s">
        <v>294</v>
      </c>
      <c r="B51" s="2396" t="s">
        <v>2813</v>
      </c>
      <c r="C51" s="2397">
        <v>9.9000000000000005E-2</v>
      </c>
      <c r="D51" s="2397">
        <v>8.5000000000000006E-2</v>
      </c>
      <c r="E51" s="2397">
        <v>6.3E-2</v>
      </c>
      <c r="F51" s="2408"/>
      <c r="G51" s="2398">
        <v>9.6000000000000002E-2</v>
      </c>
    </row>
    <row r="52" spans="1:7">
      <c r="A52" s="2407" t="s">
        <v>294</v>
      </c>
      <c r="B52" s="2396" t="s">
        <v>2817</v>
      </c>
      <c r="C52" s="2397">
        <v>7.3999999999999996E-2</v>
      </c>
      <c r="D52" s="2397">
        <v>9.6000000000000002E-2</v>
      </c>
      <c r="E52" s="2397">
        <v>0.05</v>
      </c>
      <c r="F52" s="2408"/>
      <c r="G52" s="2398">
        <v>9.8000000000000004E-2</v>
      </c>
    </row>
    <row r="53" spans="1:7">
      <c r="A53" s="2407" t="s">
        <v>294</v>
      </c>
      <c r="B53" s="2396" t="s">
        <v>2822</v>
      </c>
      <c r="C53" s="2397">
        <v>8.5999999999999993E-2</v>
      </c>
      <c r="D53" s="2408"/>
      <c r="E53" s="2397">
        <v>9.1999999999999998E-2</v>
      </c>
      <c r="F53" s="2408"/>
      <c r="G53" s="2409"/>
    </row>
    <row r="54" spans="1:7" ht="14.25" thickBot="1">
      <c r="A54" s="2410" t="s">
        <v>294</v>
      </c>
      <c r="B54" s="2400" t="s">
        <v>2825</v>
      </c>
      <c r="C54" s="2401">
        <v>9.6000000000000002E-2</v>
      </c>
      <c r="D54" s="2402"/>
      <c r="E54" s="2411"/>
      <c r="F54" s="2402"/>
      <c r="G54" s="2412"/>
    </row>
    <row r="55" spans="1:7">
      <c r="A55" s="2406" t="s">
        <v>108</v>
      </c>
      <c r="B55" s="2392" t="s">
        <v>2742</v>
      </c>
      <c r="C55" s="2393">
        <v>9.6000000000000002E-2</v>
      </c>
      <c r="D55" s="2393">
        <v>8.4000000000000005E-2</v>
      </c>
      <c r="E55" s="2393">
        <v>9.1999999999999998E-2</v>
      </c>
      <c r="F55" s="2393">
        <v>0.1</v>
      </c>
      <c r="G55" s="2394">
        <v>9.5000000000000001E-2</v>
      </c>
    </row>
    <row r="56" spans="1:7">
      <c r="A56" s="2407" t="s">
        <v>108</v>
      </c>
      <c r="B56" s="2396" t="s">
        <v>128</v>
      </c>
      <c r="C56" s="2397">
        <v>8.4000000000000005E-2</v>
      </c>
      <c r="D56" s="2397">
        <v>9.1999999999999998E-2</v>
      </c>
      <c r="E56" s="2397">
        <v>9.5000000000000001E-2</v>
      </c>
      <c r="F56" s="2397">
        <v>9.1999999999999998E-2</v>
      </c>
      <c r="G56" s="2398">
        <v>9.6000000000000002E-2</v>
      </c>
    </row>
    <row r="57" spans="1:7">
      <c r="A57" s="2407" t="s">
        <v>108</v>
      </c>
      <c r="B57" s="2396" t="s">
        <v>137</v>
      </c>
      <c r="C57" s="2397">
        <v>9.9000000000000005E-2</v>
      </c>
      <c r="D57" s="2397">
        <v>9.6000000000000002E-2</v>
      </c>
      <c r="E57" s="2397">
        <v>9.1999999999999998E-2</v>
      </c>
      <c r="F57" s="2397">
        <v>0.1</v>
      </c>
      <c r="G57" s="2398">
        <v>9.8000000000000004E-2</v>
      </c>
    </row>
    <row r="58" spans="1:7">
      <c r="A58" s="2407" t="s">
        <v>108</v>
      </c>
      <c r="B58" s="2396" t="s">
        <v>146</v>
      </c>
      <c r="C58" s="2397">
        <v>9.8000000000000004E-2</v>
      </c>
      <c r="D58" s="2397">
        <v>9.5000000000000001E-2</v>
      </c>
      <c r="E58" s="2397">
        <v>5.7000000000000002E-2</v>
      </c>
      <c r="F58" s="2397">
        <v>0.1</v>
      </c>
      <c r="G58" s="2398">
        <v>9.6000000000000002E-2</v>
      </c>
    </row>
    <row r="59" spans="1:7">
      <c r="A59" s="2407" t="s">
        <v>108</v>
      </c>
      <c r="B59" s="2396" t="s">
        <v>155</v>
      </c>
      <c r="C59" s="2397">
        <v>9.5000000000000001E-2</v>
      </c>
      <c r="D59" s="2397">
        <v>0.1</v>
      </c>
      <c r="E59" s="2397">
        <v>7.4999999999999997E-2</v>
      </c>
      <c r="F59" s="2397">
        <v>0.1</v>
      </c>
      <c r="G59" s="2398">
        <v>0.1</v>
      </c>
    </row>
    <row r="60" spans="1:7">
      <c r="A60" s="2407" t="s">
        <v>108</v>
      </c>
      <c r="B60" s="2396" t="s">
        <v>162</v>
      </c>
      <c r="C60" s="2397">
        <v>0.1</v>
      </c>
      <c r="D60" s="2397">
        <v>9.7000000000000003E-2</v>
      </c>
      <c r="E60" s="2397">
        <v>0.1</v>
      </c>
      <c r="F60" s="2397">
        <v>0.1</v>
      </c>
      <c r="G60" s="2398">
        <v>9.7000000000000003E-2</v>
      </c>
    </row>
    <row r="61" spans="1:7">
      <c r="A61" s="2407" t="s">
        <v>108</v>
      </c>
      <c r="B61" s="2396" t="s">
        <v>168</v>
      </c>
      <c r="C61" s="2397">
        <v>9.7000000000000003E-2</v>
      </c>
      <c r="D61" s="2397">
        <v>0.1</v>
      </c>
      <c r="E61" s="2397">
        <v>9.2999999999999999E-2</v>
      </c>
      <c r="F61" s="2397">
        <v>0.1</v>
      </c>
      <c r="G61" s="2398">
        <v>0.1</v>
      </c>
    </row>
    <row r="62" spans="1:7">
      <c r="A62" s="2407" t="s">
        <v>108</v>
      </c>
      <c r="B62" s="2396" t="s">
        <v>175</v>
      </c>
      <c r="C62" s="2397">
        <v>0.1</v>
      </c>
      <c r="D62" s="2397">
        <v>9.7000000000000003E-2</v>
      </c>
      <c r="E62" s="2397">
        <v>8.8999999999999996E-2</v>
      </c>
      <c r="F62" s="2397">
        <v>0.1</v>
      </c>
      <c r="G62" s="2398">
        <v>9.8000000000000004E-2</v>
      </c>
    </row>
    <row r="63" spans="1:7">
      <c r="A63" s="2407" t="s">
        <v>108</v>
      </c>
      <c r="B63" s="2396" t="s">
        <v>185</v>
      </c>
      <c r="C63" s="2397">
        <v>9.7000000000000003E-2</v>
      </c>
      <c r="D63" s="2397">
        <v>9.7000000000000003E-2</v>
      </c>
      <c r="E63" s="2397">
        <v>9.9000000000000005E-2</v>
      </c>
      <c r="F63" s="2397">
        <v>0.1</v>
      </c>
      <c r="G63" s="2398">
        <v>9.7000000000000003E-2</v>
      </c>
    </row>
    <row r="64" spans="1:7">
      <c r="A64" s="2407" t="s">
        <v>108</v>
      </c>
      <c r="B64" s="2396" t="s">
        <v>194</v>
      </c>
      <c r="C64" s="2397">
        <v>9.7000000000000003E-2</v>
      </c>
      <c r="D64" s="2397">
        <v>7.3999999999999996E-2</v>
      </c>
      <c r="E64" s="2397">
        <v>7.8E-2</v>
      </c>
      <c r="F64" s="2397">
        <v>0.1</v>
      </c>
      <c r="G64" s="2398">
        <v>8.8999999999999996E-2</v>
      </c>
    </row>
    <row r="65" spans="1:7">
      <c r="A65" s="2407" t="s">
        <v>108</v>
      </c>
      <c r="B65" s="2396" t="s">
        <v>201</v>
      </c>
      <c r="C65" s="2397">
        <v>7.2999999999999995E-2</v>
      </c>
      <c r="D65" s="2397">
        <v>9.8000000000000004E-2</v>
      </c>
      <c r="E65" s="2397">
        <v>9.5000000000000001E-2</v>
      </c>
      <c r="F65" s="2397">
        <v>0.1</v>
      </c>
      <c r="G65" s="2398">
        <v>9.9000000000000005E-2</v>
      </c>
    </row>
    <row r="66" spans="1:7">
      <c r="A66" s="2407" t="s">
        <v>108</v>
      </c>
      <c r="B66" s="2396" t="s">
        <v>208</v>
      </c>
      <c r="C66" s="2397">
        <v>9.8000000000000004E-2</v>
      </c>
      <c r="D66" s="2397">
        <v>9.5000000000000001E-2</v>
      </c>
      <c r="E66" s="2397">
        <v>0.05</v>
      </c>
      <c r="F66" s="2397">
        <v>0.1</v>
      </c>
      <c r="G66" s="2398">
        <v>9.7000000000000003E-2</v>
      </c>
    </row>
    <row r="67" spans="1:7">
      <c r="A67" s="2407" t="s">
        <v>108</v>
      </c>
      <c r="B67" s="2396" t="s">
        <v>214</v>
      </c>
      <c r="C67" s="2397">
        <v>9.5000000000000001E-2</v>
      </c>
      <c r="D67" s="2397">
        <v>9.7000000000000003E-2</v>
      </c>
      <c r="E67" s="2397">
        <v>9.7000000000000003E-2</v>
      </c>
      <c r="F67" s="2397">
        <v>0.1</v>
      </c>
      <c r="G67" s="2398">
        <v>9.9000000000000005E-2</v>
      </c>
    </row>
    <row r="68" spans="1:7">
      <c r="A68" s="2407" t="s">
        <v>108</v>
      </c>
      <c r="B68" s="2396" t="s">
        <v>222</v>
      </c>
      <c r="C68" s="2397">
        <v>9.7000000000000003E-2</v>
      </c>
      <c r="D68" s="2397">
        <v>6.8000000000000005E-2</v>
      </c>
      <c r="E68" s="2397">
        <v>6.6000000000000003E-2</v>
      </c>
      <c r="F68" s="2397">
        <v>0.1</v>
      </c>
      <c r="G68" s="2398">
        <v>8.4000000000000005E-2</v>
      </c>
    </row>
    <row r="69" spans="1:7">
      <c r="A69" s="2407" t="s">
        <v>108</v>
      </c>
      <c r="B69" s="2396" t="s">
        <v>230</v>
      </c>
      <c r="C69" s="2397">
        <v>6.8000000000000005E-2</v>
      </c>
      <c r="D69" s="2397">
        <v>9.8000000000000004E-2</v>
      </c>
      <c r="E69" s="2397">
        <v>9.5000000000000001E-2</v>
      </c>
      <c r="F69" s="2397">
        <v>0.1</v>
      </c>
      <c r="G69" s="2398">
        <v>0.1</v>
      </c>
    </row>
    <row r="70" spans="1:7">
      <c r="A70" s="2407" t="s">
        <v>108</v>
      </c>
      <c r="B70" s="2396" t="s">
        <v>235</v>
      </c>
      <c r="C70" s="2397">
        <v>9.8000000000000004E-2</v>
      </c>
      <c r="D70" s="2397">
        <v>8.8999999999999996E-2</v>
      </c>
      <c r="E70" s="2397">
        <v>5.8999999999999997E-2</v>
      </c>
      <c r="F70" s="2397">
        <v>0.1</v>
      </c>
      <c r="G70" s="2398">
        <v>9.6000000000000002E-2</v>
      </c>
    </row>
    <row r="71" spans="1:7">
      <c r="A71" s="2407" t="s">
        <v>108</v>
      </c>
      <c r="B71" s="2396" t="s">
        <v>244</v>
      </c>
      <c r="C71" s="2397">
        <v>8.8999999999999996E-2</v>
      </c>
      <c r="D71" s="2397">
        <v>9.9000000000000005E-2</v>
      </c>
      <c r="E71" s="2397">
        <v>9.6000000000000002E-2</v>
      </c>
      <c r="F71" s="2397">
        <v>0.1</v>
      </c>
      <c r="G71" s="2398">
        <v>0.1</v>
      </c>
    </row>
    <row r="72" spans="1:7">
      <c r="A72" s="2407" t="s">
        <v>108</v>
      </c>
      <c r="B72" s="2396" t="s">
        <v>251</v>
      </c>
      <c r="C72" s="2397">
        <v>9.9000000000000005E-2</v>
      </c>
      <c r="D72" s="2397">
        <v>0.1</v>
      </c>
      <c r="E72" s="2397">
        <v>7.0000000000000007E-2</v>
      </c>
      <c r="F72" s="2408"/>
      <c r="G72" s="2398">
        <v>0.1</v>
      </c>
    </row>
    <row r="73" spans="1:7">
      <c r="A73" s="2407" t="s">
        <v>108</v>
      </c>
      <c r="B73" s="2396" t="s">
        <v>259</v>
      </c>
      <c r="C73" s="2397">
        <v>0.1</v>
      </c>
      <c r="D73" s="2397">
        <v>0.1</v>
      </c>
      <c r="E73" s="2397">
        <v>9.6000000000000002E-2</v>
      </c>
      <c r="F73" s="2408"/>
      <c r="G73" s="2398">
        <v>0.1</v>
      </c>
    </row>
    <row r="74" spans="1:7">
      <c r="A74" s="2407" t="s">
        <v>108</v>
      </c>
      <c r="B74" s="2396" t="s">
        <v>266</v>
      </c>
      <c r="C74" s="2397">
        <v>0.1</v>
      </c>
      <c r="D74" s="2397">
        <v>0.1</v>
      </c>
      <c r="E74" s="2397">
        <v>9.8000000000000004E-2</v>
      </c>
      <c r="F74" s="2408"/>
      <c r="G74" s="2398">
        <v>0.1</v>
      </c>
    </row>
    <row r="75" spans="1:7">
      <c r="A75" s="2407" t="s">
        <v>108</v>
      </c>
      <c r="B75" s="2396" t="s">
        <v>270</v>
      </c>
      <c r="C75" s="2397">
        <v>0.1</v>
      </c>
      <c r="D75" s="2397">
        <v>9.9000000000000005E-2</v>
      </c>
      <c r="E75" s="2397">
        <v>9.8000000000000004E-2</v>
      </c>
      <c r="F75" s="2408"/>
      <c r="G75" s="2398">
        <v>0.1</v>
      </c>
    </row>
    <row r="76" spans="1:7">
      <c r="A76" s="2407" t="s">
        <v>108</v>
      </c>
      <c r="B76" s="2396" t="s">
        <v>276</v>
      </c>
      <c r="C76" s="2397">
        <v>9.9000000000000005E-2</v>
      </c>
      <c r="D76" s="2397">
        <v>0.1</v>
      </c>
      <c r="E76" s="2397">
        <v>9.7000000000000003E-2</v>
      </c>
      <c r="F76" s="2408"/>
      <c r="G76" s="2398">
        <v>0.1</v>
      </c>
    </row>
    <row r="77" spans="1:7">
      <c r="A77" s="2407" t="s">
        <v>108</v>
      </c>
      <c r="B77" s="2396" t="s">
        <v>279</v>
      </c>
      <c r="C77" s="2397">
        <v>0.1</v>
      </c>
      <c r="D77" s="2397">
        <v>0.1</v>
      </c>
      <c r="E77" s="2397">
        <v>9.6000000000000002E-2</v>
      </c>
      <c r="F77" s="2408"/>
      <c r="G77" s="2398">
        <v>0.1</v>
      </c>
    </row>
    <row r="78" spans="1:7">
      <c r="A78" s="2407" t="s">
        <v>108</v>
      </c>
      <c r="B78" s="2396" t="s">
        <v>2823</v>
      </c>
      <c r="C78" s="2397">
        <v>0.1</v>
      </c>
      <c r="D78" s="2397">
        <v>8.5000000000000006E-2</v>
      </c>
      <c r="E78" s="2397">
        <v>9.6000000000000002E-2</v>
      </c>
      <c r="F78" s="2408"/>
      <c r="G78" s="2398">
        <v>9.6000000000000002E-2</v>
      </c>
    </row>
    <row r="79" spans="1:7">
      <c r="A79" s="2407" t="s">
        <v>108</v>
      </c>
      <c r="B79" s="2396" t="s">
        <v>2826</v>
      </c>
      <c r="C79" s="2397">
        <v>0.05</v>
      </c>
      <c r="D79" s="2397">
        <v>9.6000000000000002E-2</v>
      </c>
      <c r="E79" s="2397">
        <v>9.5000000000000001E-2</v>
      </c>
      <c r="F79" s="2408"/>
      <c r="G79" s="2398">
        <v>9.8000000000000004E-2</v>
      </c>
    </row>
    <row r="80" spans="1:7">
      <c r="A80" s="2407" t="s">
        <v>108</v>
      </c>
      <c r="B80" s="2396" t="s">
        <v>2830</v>
      </c>
      <c r="C80" s="2397">
        <v>8.5999999999999993E-2</v>
      </c>
      <c r="D80" s="2413"/>
      <c r="E80" s="2397">
        <v>0.1</v>
      </c>
      <c r="F80" s="2408"/>
      <c r="G80" s="2409"/>
    </row>
    <row r="81" spans="1:7">
      <c r="A81" s="2407" t="s">
        <v>108</v>
      </c>
      <c r="B81" s="2396" t="s">
        <v>2835</v>
      </c>
      <c r="C81" s="2397">
        <v>9.6000000000000002E-2</v>
      </c>
      <c r="D81" s="2408"/>
      <c r="E81" s="2397">
        <v>9.8000000000000004E-2</v>
      </c>
      <c r="F81" s="2408"/>
      <c r="G81" s="2409"/>
    </row>
    <row r="82" spans="1:7">
      <c r="A82" s="2407" t="s">
        <v>108</v>
      </c>
      <c r="B82" s="2396" t="s">
        <v>2842</v>
      </c>
      <c r="C82" s="2413"/>
      <c r="D82" s="2408"/>
      <c r="E82" s="2397">
        <v>7.6999999999999999E-2</v>
      </c>
      <c r="F82" s="2408"/>
      <c r="G82" s="2409"/>
    </row>
    <row r="83" spans="1:7">
      <c r="A83" s="2407" t="s">
        <v>108</v>
      </c>
      <c r="B83" s="2396" t="s">
        <v>2848</v>
      </c>
      <c r="C83" s="2408"/>
      <c r="D83" s="2408"/>
      <c r="E83" s="2408"/>
      <c r="F83" s="2397">
        <v>0.1</v>
      </c>
      <c r="G83" s="2414"/>
    </row>
    <row r="84" spans="1:7">
      <c r="A84" s="2407" t="s">
        <v>108</v>
      </c>
      <c r="B84" s="2396" t="s">
        <v>2855</v>
      </c>
      <c r="C84" s="2408"/>
      <c r="D84" s="2408"/>
      <c r="E84" s="2408"/>
      <c r="F84" s="2397">
        <v>0.1</v>
      </c>
      <c r="G84" s="2414"/>
    </row>
    <row r="85" spans="1:7">
      <c r="A85" s="2407" t="s">
        <v>108</v>
      </c>
      <c r="B85" s="2396" t="s">
        <v>2862</v>
      </c>
      <c r="C85" s="2408"/>
      <c r="D85" s="2408"/>
      <c r="E85" s="2408"/>
      <c r="F85" s="2397">
        <v>0.1</v>
      </c>
      <c r="G85" s="2414"/>
    </row>
    <row r="86" spans="1:7" ht="14.25" thickBot="1">
      <c r="A86" s="2410" t="s">
        <v>108</v>
      </c>
      <c r="B86" s="2400" t="s">
        <v>2867</v>
      </c>
      <c r="C86" s="2401">
        <v>9.8000000000000004E-2</v>
      </c>
      <c r="D86" s="2401">
        <v>9.8000000000000004E-2</v>
      </c>
      <c r="E86" s="2401">
        <v>9.6000000000000002E-2</v>
      </c>
      <c r="F86" s="2411"/>
      <c r="G86" s="2403">
        <v>0.1</v>
      </c>
    </row>
    <row r="87" spans="1:7">
      <c r="A87" s="2406" t="s">
        <v>301</v>
      </c>
      <c r="B87" s="2392" t="s">
        <v>2743</v>
      </c>
      <c r="C87" s="2393">
        <v>0.1</v>
      </c>
      <c r="D87" s="2393">
        <v>0.1</v>
      </c>
      <c r="E87" s="2393">
        <v>9.8000000000000004E-2</v>
      </c>
      <c r="F87" s="2393">
        <v>0.1</v>
      </c>
      <c r="G87" s="2394">
        <v>0.1</v>
      </c>
    </row>
    <row r="88" spans="1:7">
      <c r="A88" s="2407" t="s">
        <v>301</v>
      </c>
      <c r="B88" s="2396" t="s">
        <v>129</v>
      </c>
      <c r="C88" s="2397">
        <v>9.0999999999999998E-2</v>
      </c>
      <c r="D88" s="2397">
        <v>9.1999999999999998E-2</v>
      </c>
      <c r="E88" s="2397">
        <v>0.1</v>
      </c>
      <c r="F88" s="2397">
        <v>0.1</v>
      </c>
      <c r="G88" s="2398">
        <v>9.6000000000000002E-2</v>
      </c>
    </row>
    <row r="89" spans="1:7">
      <c r="A89" s="2407" t="s">
        <v>301</v>
      </c>
      <c r="B89" s="2396" t="s">
        <v>138</v>
      </c>
      <c r="C89" s="2397">
        <v>0.1</v>
      </c>
      <c r="D89" s="2397">
        <v>0.1</v>
      </c>
      <c r="E89" s="2397">
        <v>6.7000000000000004E-2</v>
      </c>
      <c r="F89" s="2397">
        <v>9.2999999999999999E-2</v>
      </c>
      <c r="G89" s="2398">
        <v>0.1</v>
      </c>
    </row>
    <row r="90" spans="1:7">
      <c r="A90" s="2407" t="s">
        <v>301</v>
      </c>
      <c r="B90" s="2396" t="s">
        <v>147</v>
      </c>
      <c r="C90" s="2397">
        <v>9.6000000000000002E-2</v>
      </c>
      <c r="D90" s="2397">
        <v>9.6000000000000002E-2</v>
      </c>
      <c r="E90" s="2397">
        <v>0.1</v>
      </c>
      <c r="F90" s="2397">
        <v>0.1</v>
      </c>
      <c r="G90" s="2398">
        <v>9.8000000000000004E-2</v>
      </c>
    </row>
    <row r="91" spans="1:7">
      <c r="A91" s="2407" t="s">
        <v>301</v>
      </c>
      <c r="B91" s="2396" t="s">
        <v>156</v>
      </c>
      <c r="C91" s="2397">
        <v>7.6999999999999999E-2</v>
      </c>
      <c r="D91" s="2397">
        <v>7.6999999999999999E-2</v>
      </c>
      <c r="E91" s="2397">
        <v>9.6000000000000002E-2</v>
      </c>
      <c r="F91" s="2397">
        <v>0.1</v>
      </c>
      <c r="G91" s="2398">
        <v>7.6999999999999999E-2</v>
      </c>
    </row>
    <row r="92" spans="1:7">
      <c r="A92" s="2407" t="s">
        <v>301</v>
      </c>
      <c r="B92" s="2396" t="s">
        <v>163</v>
      </c>
      <c r="C92" s="2397">
        <v>0.1</v>
      </c>
      <c r="D92" s="2397">
        <v>0.1</v>
      </c>
      <c r="E92" s="2397">
        <v>9.1999999999999998E-2</v>
      </c>
      <c r="F92" s="2397">
        <v>0.1</v>
      </c>
      <c r="G92" s="2398">
        <v>0.1</v>
      </c>
    </row>
    <row r="93" spans="1:7">
      <c r="A93" s="2407" t="s">
        <v>301</v>
      </c>
      <c r="B93" s="2396" t="s">
        <v>169</v>
      </c>
      <c r="C93" s="2397">
        <v>9.8000000000000004E-2</v>
      </c>
      <c r="D93" s="2397">
        <v>9.8000000000000004E-2</v>
      </c>
      <c r="E93" s="2397">
        <v>9.6000000000000002E-2</v>
      </c>
      <c r="F93" s="2397">
        <v>0.1</v>
      </c>
      <c r="G93" s="2398">
        <v>9.9000000000000005E-2</v>
      </c>
    </row>
    <row r="94" spans="1:7">
      <c r="A94" s="2407" t="s">
        <v>301</v>
      </c>
      <c r="B94" s="2396" t="s">
        <v>176</v>
      </c>
      <c r="C94" s="2397">
        <v>8.7999999999999995E-2</v>
      </c>
      <c r="D94" s="2397">
        <v>8.7999999999999995E-2</v>
      </c>
      <c r="E94" s="2397">
        <v>9.6000000000000002E-2</v>
      </c>
      <c r="F94" s="2397">
        <v>0.1</v>
      </c>
      <c r="G94" s="2398">
        <v>8.7999999999999995E-2</v>
      </c>
    </row>
    <row r="95" spans="1:7">
      <c r="A95" s="2407" t="s">
        <v>301</v>
      </c>
      <c r="B95" s="2396" t="s">
        <v>186</v>
      </c>
      <c r="C95" s="2397">
        <v>9.6000000000000002E-2</v>
      </c>
      <c r="D95" s="2397">
        <v>9.6000000000000002E-2</v>
      </c>
      <c r="E95" s="2397">
        <v>0.1</v>
      </c>
      <c r="F95" s="2397">
        <v>0.1</v>
      </c>
      <c r="G95" s="2398">
        <v>9.8000000000000004E-2</v>
      </c>
    </row>
    <row r="96" spans="1:7">
      <c r="A96" s="2407" t="s">
        <v>301</v>
      </c>
      <c r="B96" s="2396" t="s">
        <v>195</v>
      </c>
      <c r="C96" s="2397">
        <v>9.7000000000000003E-2</v>
      </c>
      <c r="D96" s="2397">
        <v>9.7000000000000003E-2</v>
      </c>
      <c r="E96" s="2397">
        <v>0.1</v>
      </c>
      <c r="F96" s="2397">
        <v>0.1</v>
      </c>
      <c r="G96" s="2398">
        <v>9.8000000000000004E-2</v>
      </c>
    </row>
    <row r="97" spans="1:7">
      <c r="A97" s="2407" t="s">
        <v>301</v>
      </c>
      <c r="B97" s="2396" t="s">
        <v>202</v>
      </c>
      <c r="C97" s="2397">
        <v>9.6000000000000002E-2</v>
      </c>
      <c r="D97" s="2397">
        <v>9.6000000000000002E-2</v>
      </c>
      <c r="E97" s="2397">
        <v>9.9000000000000005E-2</v>
      </c>
      <c r="F97" s="2397">
        <v>0.1</v>
      </c>
      <c r="G97" s="2398">
        <v>9.8000000000000004E-2</v>
      </c>
    </row>
    <row r="98" spans="1:7">
      <c r="A98" s="2407" t="s">
        <v>301</v>
      </c>
      <c r="B98" s="2396" t="s">
        <v>209</v>
      </c>
      <c r="C98" s="2397">
        <v>9.8000000000000004E-2</v>
      </c>
      <c r="D98" s="2397">
        <v>9.8000000000000004E-2</v>
      </c>
      <c r="E98" s="2397">
        <v>0.1</v>
      </c>
      <c r="F98" s="2397">
        <v>0.1</v>
      </c>
      <c r="G98" s="2398">
        <v>9.9000000000000005E-2</v>
      </c>
    </row>
    <row r="99" spans="1:7">
      <c r="A99" s="2407" t="s">
        <v>301</v>
      </c>
      <c r="B99" s="2396" t="s">
        <v>215</v>
      </c>
      <c r="C99" s="2397">
        <v>9.6000000000000002E-2</v>
      </c>
      <c r="D99" s="2397">
        <v>9.6000000000000002E-2</v>
      </c>
      <c r="E99" s="2397">
        <v>0.1</v>
      </c>
      <c r="F99" s="2397">
        <v>0.1</v>
      </c>
      <c r="G99" s="2398">
        <v>9.7000000000000003E-2</v>
      </c>
    </row>
    <row r="100" spans="1:7">
      <c r="A100" s="2407" t="s">
        <v>301</v>
      </c>
      <c r="B100" s="2396" t="s">
        <v>223</v>
      </c>
      <c r="C100" s="2397">
        <v>0.1</v>
      </c>
      <c r="D100" s="2397">
        <v>0.1</v>
      </c>
      <c r="E100" s="2397">
        <v>9.7000000000000003E-2</v>
      </c>
      <c r="F100" s="2397">
        <v>9.8000000000000004E-2</v>
      </c>
      <c r="G100" s="2398">
        <v>0.1</v>
      </c>
    </row>
    <row r="101" spans="1:7">
      <c r="A101" s="2407" t="s">
        <v>301</v>
      </c>
      <c r="B101" s="2396" t="s">
        <v>231</v>
      </c>
      <c r="C101" s="2397">
        <v>0.1</v>
      </c>
      <c r="D101" s="2397">
        <v>0.1</v>
      </c>
      <c r="E101" s="2397">
        <v>9.5000000000000001E-2</v>
      </c>
      <c r="F101" s="2397">
        <v>0.1</v>
      </c>
      <c r="G101" s="2398">
        <v>0.1</v>
      </c>
    </row>
    <row r="102" spans="1:7">
      <c r="A102" s="2407" t="s">
        <v>301</v>
      </c>
      <c r="B102" s="2396" t="s">
        <v>236</v>
      </c>
      <c r="C102" s="2397">
        <v>0.1</v>
      </c>
      <c r="D102" s="2397">
        <v>0.1</v>
      </c>
      <c r="E102" s="2397">
        <v>9.9000000000000005E-2</v>
      </c>
      <c r="F102" s="2397">
        <v>9.7000000000000003E-2</v>
      </c>
      <c r="G102" s="2398">
        <v>0.1</v>
      </c>
    </row>
    <row r="103" spans="1:7">
      <c r="A103" s="2407" t="s">
        <v>301</v>
      </c>
      <c r="B103" s="2396" t="s">
        <v>245</v>
      </c>
      <c r="C103" s="2397">
        <v>0.1</v>
      </c>
      <c r="D103" s="2397">
        <v>0.1</v>
      </c>
      <c r="E103" s="2397">
        <v>9.8000000000000004E-2</v>
      </c>
      <c r="F103" s="2397">
        <v>0.1</v>
      </c>
      <c r="G103" s="2398">
        <v>0.1</v>
      </c>
    </row>
    <row r="104" spans="1:7">
      <c r="A104" s="2407" t="s">
        <v>301</v>
      </c>
      <c r="B104" s="2396" t="s">
        <v>252</v>
      </c>
      <c r="C104" s="2397">
        <v>0.1</v>
      </c>
      <c r="D104" s="2397">
        <v>0.1</v>
      </c>
      <c r="E104" s="2397">
        <v>9.8000000000000004E-2</v>
      </c>
      <c r="F104" s="2397">
        <v>0.1</v>
      </c>
      <c r="G104" s="2398">
        <v>0.1</v>
      </c>
    </row>
    <row r="105" spans="1:7">
      <c r="A105" s="2407" t="s">
        <v>301</v>
      </c>
      <c r="B105" s="2396" t="s">
        <v>260</v>
      </c>
      <c r="C105" s="2397">
        <v>9.8000000000000004E-2</v>
      </c>
      <c r="D105" s="2397">
        <v>9.8000000000000004E-2</v>
      </c>
      <c r="E105" s="2397">
        <v>9.8000000000000004E-2</v>
      </c>
      <c r="F105" s="2397">
        <v>0.1</v>
      </c>
      <c r="G105" s="2398">
        <v>9.9000000000000005E-2</v>
      </c>
    </row>
    <row r="106" spans="1:7">
      <c r="A106" s="2407" t="s">
        <v>301</v>
      </c>
      <c r="B106" s="2396" t="s">
        <v>267</v>
      </c>
      <c r="C106" s="2397">
        <v>9.7000000000000003E-2</v>
      </c>
      <c r="D106" s="2397">
        <v>9.7000000000000003E-2</v>
      </c>
      <c r="E106" s="2397">
        <v>9.7000000000000003E-2</v>
      </c>
      <c r="F106" s="2397">
        <v>0.1</v>
      </c>
      <c r="G106" s="2398">
        <v>9.9000000000000005E-2</v>
      </c>
    </row>
    <row r="107" spans="1:7">
      <c r="A107" s="2407" t="s">
        <v>301</v>
      </c>
      <c r="B107" s="2396" t="s">
        <v>271</v>
      </c>
      <c r="C107" s="2397">
        <v>0.1</v>
      </c>
      <c r="D107" s="2397">
        <v>0.1</v>
      </c>
      <c r="E107" s="2397">
        <v>8.5999999999999993E-2</v>
      </c>
      <c r="F107" s="2397">
        <v>0.09</v>
      </c>
      <c r="G107" s="2398">
        <v>0.1</v>
      </c>
    </row>
    <row r="108" spans="1:7">
      <c r="A108" s="2407" t="s">
        <v>301</v>
      </c>
      <c r="B108" s="2396" t="s">
        <v>277</v>
      </c>
      <c r="C108" s="2397">
        <v>0.1</v>
      </c>
      <c r="D108" s="2397">
        <v>0.1</v>
      </c>
      <c r="E108" s="2397">
        <v>9.6000000000000002E-2</v>
      </c>
      <c r="F108" s="2408"/>
      <c r="G108" s="2398">
        <v>0.1</v>
      </c>
    </row>
    <row r="109" spans="1:7">
      <c r="A109" s="2407" t="s">
        <v>301</v>
      </c>
      <c r="B109" s="2396" t="s">
        <v>280</v>
      </c>
      <c r="C109" s="2397">
        <v>0.1</v>
      </c>
      <c r="D109" s="2397">
        <v>0.1</v>
      </c>
      <c r="E109" s="2397">
        <v>0.1</v>
      </c>
      <c r="F109" s="2408"/>
      <c r="G109" s="2398">
        <v>0.1</v>
      </c>
    </row>
    <row r="110" spans="1:7">
      <c r="A110" s="2407" t="s">
        <v>301</v>
      </c>
      <c r="B110" s="2396" t="s">
        <v>282</v>
      </c>
      <c r="C110" s="2397">
        <v>0.1</v>
      </c>
      <c r="D110" s="2397">
        <v>0.1</v>
      </c>
      <c r="E110" s="2397">
        <v>0.1</v>
      </c>
      <c r="F110" s="2408"/>
      <c r="G110" s="2398">
        <v>0.1</v>
      </c>
    </row>
    <row r="111" spans="1:7">
      <c r="A111" s="2407" t="s">
        <v>301</v>
      </c>
      <c r="B111" s="2396" t="s">
        <v>285</v>
      </c>
      <c r="C111" s="2397">
        <v>0.1</v>
      </c>
      <c r="D111" s="2397">
        <v>0.1</v>
      </c>
      <c r="E111" s="2397">
        <v>9.5000000000000001E-2</v>
      </c>
      <c r="F111" s="2408"/>
      <c r="G111" s="2398">
        <v>0.1</v>
      </c>
    </row>
    <row r="112" spans="1:7">
      <c r="A112" s="2407" t="s">
        <v>301</v>
      </c>
      <c r="B112" s="2396" t="s">
        <v>289</v>
      </c>
      <c r="C112" s="2397">
        <v>9.7000000000000003E-2</v>
      </c>
      <c r="D112" s="2397">
        <v>9.7000000000000003E-2</v>
      </c>
      <c r="E112" s="2397">
        <v>0.05</v>
      </c>
      <c r="F112" s="2408"/>
      <c r="G112" s="2398">
        <v>9.8000000000000004E-2</v>
      </c>
    </row>
    <row r="113" spans="1:7">
      <c r="A113" s="2407" t="s">
        <v>301</v>
      </c>
      <c r="B113" s="2396" t="s">
        <v>2836</v>
      </c>
      <c r="C113" s="2397">
        <v>0.1</v>
      </c>
      <c r="D113" s="2397">
        <v>0.1</v>
      </c>
      <c r="E113" s="2408"/>
      <c r="F113" s="2408"/>
      <c r="G113" s="2398">
        <v>0.1</v>
      </c>
    </row>
    <row r="114" spans="1:7">
      <c r="A114" s="2407" t="s">
        <v>301</v>
      </c>
      <c r="B114" s="2396" t="s">
        <v>2843</v>
      </c>
      <c r="C114" s="2397">
        <v>9.7000000000000003E-2</v>
      </c>
      <c r="D114" s="2397">
        <v>9.7000000000000003E-2</v>
      </c>
      <c r="E114" s="2408"/>
      <c r="F114" s="2408"/>
      <c r="G114" s="2398">
        <v>9.9000000000000005E-2</v>
      </c>
    </row>
    <row r="115" spans="1:7">
      <c r="A115" s="2407" t="s">
        <v>301</v>
      </c>
      <c r="B115" s="2396" t="s">
        <v>2849</v>
      </c>
      <c r="C115" s="2397">
        <v>0.1</v>
      </c>
      <c r="D115" s="2397">
        <v>0.1</v>
      </c>
      <c r="E115" s="2408"/>
      <c r="F115" s="2408"/>
      <c r="G115" s="2398">
        <v>0.1</v>
      </c>
    </row>
    <row r="116" spans="1:7">
      <c r="A116" s="2407" t="s">
        <v>301</v>
      </c>
      <c r="B116" s="2396" t="s">
        <v>2856</v>
      </c>
      <c r="C116" s="2397">
        <v>0.1</v>
      </c>
      <c r="D116" s="2397">
        <v>0.1</v>
      </c>
      <c r="E116" s="2408"/>
      <c r="F116" s="2408"/>
      <c r="G116" s="2398">
        <v>0.1</v>
      </c>
    </row>
    <row r="117" spans="1:7">
      <c r="A117" s="2407" t="s">
        <v>301</v>
      </c>
      <c r="B117" s="2396" t="s">
        <v>2863</v>
      </c>
      <c r="C117" s="2397">
        <v>9.7000000000000003E-2</v>
      </c>
      <c r="D117" s="2397">
        <v>9.7000000000000003E-2</v>
      </c>
      <c r="E117" s="2408"/>
      <c r="F117" s="2408"/>
      <c r="G117" s="2398">
        <v>9.7000000000000003E-2</v>
      </c>
    </row>
    <row r="118" spans="1:7">
      <c r="A118" s="2407" t="s">
        <v>301</v>
      </c>
      <c r="B118" s="2396" t="s">
        <v>2868</v>
      </c>
      <c r="C118" s="2397">
        <v>0.1</v>
      </c>
      <c r="D118" s="2397">
        <v>0.1</v>
      </c>
      <c r="E118" s="2408"/>
      <c r="F118" s="2408"/>
      <c r="G118" s="2398">
        <v>0.1</v>
      </c>
    </row>
    <row r="119" spans="1:7">
      <c r="A119" s="2407" t="s">
        <v>301</v>
      </c>
      <c r="B119" s="2396" t="s">
        <v>2872</v>
      </c>
      <c r="C119" s="2397">
        <v>5.0999999999999997E-2</v>
      </c>
      <c r="D119" s="2397">
        <v>5.1999999999999998E-2</v>
      </c>
      <c r="E119" s="2408"/>
      <c r="F119" s="2413"/>
      <c r="G119" s="2398">
        <v>0.06</v>
      </c>
    </row>
    <row r="120" spans="1:7">
      <c r="A120" s="2407" t="s">
        <v>301</v>
      </c>
      <c r="B120" s="2396" t="s">
        <v>2876</v>
      </c>
      <c r="C120" s="2408"/>
      <c r="D120" s="2408"/>
      <c r="E120" s="2408"/>
      <c r="F120" s="2397">
        <v>0.1</v>
      </c>
      <c r="G120" s="2414"/>
    </row>
    <row r="121" spans="1:7">
      <c r="A121" s="2407" t="s">
        <v>301</v>
      </c>
      <c r="B121" s="2396" t="s">
        <v>2881</v>
      </c>
      <c r="C121" s="2408"/>
      <c r="D121" s="2408"/>
      <c r="E121" s="2408"/>
      <c r="F121" s="2397">
        <v>0.1</v>
      </c>
      <c r="G121" s="2414"/>
    </row>
    <row r="122" spans="1:7">
      <c r="A122" s="2407" t="s">
        <v>301</v>
      </c>
      <c r="B122" s="2396" t="s">
        <v>2886</v>
      </c>
      <c r="C122" s="2397">
        <v>0.1</v>
      </c>
      <c r="D122" s="2397">
        <v>0.1</v>
      </c>
      <c r="E122" s="2397">
        <v>9.8000000000000004E-2</v>
      </c>
      <c r="F122" s="2397">
        <v>0.1</v>
      </c>
      <c r="G122" s="2398">
        <v>0.1</v>
      </c>
    </row>
    <row r="123" spans="1:7">
      <c r="A123" s="2407" t="s">
        <v>301</v>
      </c>
      <c r="B123" s="2396" t="s">
        <v>2891</v>
      </c>
      <c r="C123" s="2397">
        <v>0.1</v>
      </c>
      <c r="D123" s="2397">
        <v>0.1</v>
      </c>
      <c r="E123" s="2397">
        <v>9.8000000000000004E-2</v>
      </c>
      <c r="F123" s="2397">
        <v>0.1</v>
      </c>
      <c r="G123" s="2398">
        <v>0.1</v>
      </c>
    </row>
    <row r="124" spans="1:7">
      <c r="A124" s="2407" t="s">
        <v>301</v>
      </c>
      <c r="B124" s="2396" t="s">
        <v>2896</v>
      </c>
      <c r="C124" s="2397">
        <v>0.1</v>
      </c>
      <c r="D124" s="2397">
        <v>0.1</v>
      </c>
      <c r="E124" s="2397">
        <v>9.8000000000000004E-2</v>
      </c>
      <c r="F124" s="2413"/>
      <c r="G124" s="2398">
        <v>0.1</v>
      </c>
    </row>
    <row r="125" spans="1:7">
      <c r="A125" s="2407" t="s">
        <v>301</v>
      </c>
      <c r="B125" s="2396" t="s">
        <v>2901</v>
      </c>
      <c r="C125" s="2397">
        <v>9.8000000000000004E-2</v>
      </c>
      <c r="D125" s="2397">
        <v>9.8000000000000004E-2</v>
      </c>
      <c r="E125" s="2397">
        <v>9.6000000000000002E-2</v>
      </c>
      <c r="F125" s="2413"/>
      <c r="G125" s="2398">
        <v>0.1</v>
      </c>
    </row>
    <row r="126" spans="1:7" ht="14.25" thickBot="1">
      <c r="A126" s="2410" t="s">
        <v>301</v>
      </c>
      <c r="B126" s="2400" t="s">
        <v>3067</v>
      </c>
      <c r="C126" s="2401">
        <v>0.1</v>
      </c>
      <c r="D126" s="2401">
        <v>0.1</v>
      </c>
      <c r="E126" s="2401">
        <v>9.8000000000000004E-2</v>
      </c>
      <c r="F126" s="2401">
        <v>0.1</v>
      </c>
      <c r="G126" s="2403">
        <v>0.1</v>
      </c>
    </row>
    <row r="127" spans="1:7">
      <c r="A127" s="2406" t="s">
        <v>27</v>
      </c>
      <c r="B127" s="2392" t="s">
        <v>2744</v>
      </c>
      <c r="C127" s="2393">
        <v>0.121</v>
      </c>
      <c r="D127" s="2393">
        <v>0.121</v>
      </c>
      <c r="E127" s="2393">
        <v>0.107</v>
      </c>
      <c r="F127" s="2393">
        <v>0.13</v>
      </c>
      <c r="G127" s="2394">
        <v>0.122</v>
      </c>
    </row>
    <row r="128" spans="1:7">
      <c r="A128" s="2407" t="s">
        <v>27</v>
      </c>
      <c r="B128" s="2396" t="s">
        <v>130</v>
      </c>
      <c r="C128" s="2397">
        <v>0.11600000000000001</v>
      </c>
      <c r="D128" s="2397">
        <v>0.11700000000000001</v>
      </c>
      <c r="E128" s="2397">
        <v>0.104</v>
      </c>
      <c r="F128" s="2397">
        <v>0.13</v>
      </c>
      <c r="G128" s="2398">
        <v>0.11700000000000001</v>
      </c>
    </row>
    <row r="129" spans="1:7">
      <c r="A129" s="2407" t="s">
        <v>27</v>
      </c>
      <c r="B129" s="2396" t="s">
        <v>139</v>
      </c>
      <c r="C129" s="2397">
        <v>0.107</v>
      </c>
      <c r="D129" s="2397">
        <v>0.108</v>
      </c>
      <c r="E129" s="2397">
        <v>0.1</v>
      </c>
      <c r="F129" s="2397">
        <v>0.13</v>
      </c>
      <c r="G129" s="2398">
        <v>0.11700000000000001</v>
      </c>
    </row>
    <row r="130" spans="1:7">
      <c r="A130" s="2407" t="s">
        <v>27</v>
      </c>
      <c r="B130" s="2396" t="s">
        <v>148</v>
      </c>
      <c r="C130" s="2397">
        <v>0.13</v>
      </c>
      <c r="D130" s="2397">
        <v>0.13</v>
      </c>
      <c r="E130" s="2397">
        <v>0.126</v>
      </c>
      <c r="F130" s="2397">
        <v>0.13</v>
      </c>
      <c r="G130" s="2398">
        <v>0.13</v>
      </c>
    </row>
    <row r="131" spans="1:7">
      <c r="A131" s="2407" t="s">
        <v>27</v>
      </c>
      <c r="B131" s="2396" t="s">
        <v>157</v>
      </c>
      <c r="C131" s="2397">
        <v>0.13</v>
      </c>
      <c r="D131" s="2397">
        <v>0.13</v>
      </c>
      <c r="E131" s="2397">
        <v>0.13</v>
      </c>
      <c r="F131" s="2397">
        <v>0.13</v>
      </c>
      <c r="G131" s="2398">
        <v>0.13</v>
      </c>
    </row>
    <row r="132" spans="1:7">
      <c r="A132" s="2407" t="s">
        <v>27</v>
      </c>
      <c r="B132" s="2396" t="s">
        <v>164</v>
      </c>
      <c r="C132" s="2397">
        <v>0.13</v>
      </c>
      <c r="D132" s="2397">
        <v>0.13</v>
      </c>
      <c r="E132" s="2397">
        <v>0.126</v>
      </c>
      <c r="F132" s="2397">
        <v>0.13</v>
      </c>
      <c r="G132" s="2398">
        <v>0.13</v>
      </c>
    </row>
    <row r="133" spans="1:7">
      <c r="A133" s="2407" t="s">
        <v>27</v>
      </c>
      <c r="B133" s="2396" t="s">
        <v>170</v>
      </c>
      <c r="C133" s="2397">
        <v>0.111</v>
      </c>
      <c r="D133" s="2397">
        <v>0.111</v>
      </c>
      <c r="E133" s="2397">
        <v>0.10199999999999999</v>
      </c>
      <c r="F133" s="2397">
        <v>0.13</v>
      </c>
      <c r="G133" s="2398">
        <v>0.121</v>
      </c>
    </row>
    <row r="134" spans="1:7">
      <c r="A134" s="2407" t="s">
        <v>27</v>
      </c>
      <c r="B134" s="2396" t="s">
        <v>177</v>
      </c>
      <c r="C134" s="2397">
        <v>0.121</v>
      </c>
      <c r="D134" s="2397">
        <v>0.121</v>
      </c>
      <c r="E134" s="2397">
        <v>0.1</v>
      </c>
      <c r="F134" s="2397">
        <v>0.13</v>
      </c>
      <c r="G134" s="2398">
        <v>0.123</v>
      </c>
    </row>
    <row r="135" spans="1:7">
      <c r="A135" s="2407" t="s">
        <v>27</v>
      </c>
      <c r="B135" s="2396" t="s">
        <v>187</v>
      </c>
      <c r="C135" s="2397">
        <v>0.105</v>
      </c>
      <c r="D135" s="2397">
        <v>0.106</v>
      </c>
      <c r="E135" s="2397">
        <v>0.1</v>
      </c>
      <c r="F135" s="2397">
        <v>0.13</v>
      </c>
      <c r="G135" s="2398">
        <v>0.115</v>
      </c>
    </row>
    <row r="136" spans="1:7">
      <c r="A136" s="2407" t="s">
        <v>27</v>
      </c>
      <c r="B136" s="2396" t="s">
        <v>196</v>
      </c>
      <c r="C136" s="2397">
        <v>0.127</v>
      </c>
      <c r="D136" s="2397">
        <v>0.127</v>
      </c>
      <c r="E136" s="2397">
        <v>0.121</v>
      </c>
      <c r="F136" s="2397">
        <v>0.123</v>
      </c>
      <c r="G136" s="2398">
        <v>0.129</v>
      </c>
    </row>
    <row r="137" spans="1:7">
      <c r="A137" s="2407" t="s">
        <v>27</v>
      </c>
      <c r="B137" s="2396" t="s">
        <v>203</v>
      </c>
      <c r="C137" s="2397">
        <v>0.13</v>
      </c>
      <c r="D137" s="2397">
        <v>0.13</v>
      </c>
      <c r="E137" s="2397">
        <v>0.129</v>
      </c>
      <c r="F137" s="2397">
        <v>0.13</v>
      </c>
      <c r="G137" s="2398">
        <v>0.13</v>
      </c>
    </row>
    <row r="138" spans="1:7">
      <c r="A138" s="2407" t="s">
        <v>27</v>
      </c>
      <c r="B138" s="2396" t="s">
        <v>210</v>
      </c>
      <c r="C138" s="2397">
        <v>0.13</v>
      </c>
      <c r="D138" s="2397">
        <v>0.13</v>
      </c>
      <c r="E138" s="2397">
        <v>0.125</v>
      </c>
      <c r="F138" s="2397">
        <v>0.13</v>
      </c>
      <c r="G138" s="2398">
        <v>0.13</v>
      </c>
    </row>
    <row r="139" spans="1:7">
      <c r="A139" s="2407" t="s">
        <v>27</v>
      </c>
      <c r="B139" s="2396" t="s">
        <v>216</v>
      </c>
      <c r="C139" s="2397">
        <v>0.13</v>
      </c>
      <c r="D139" s="2397">
        <v>0.13</v>
      </c>
      <c r="E139" s="2397">
        <v>0.126</v>
      </c>
      <c r="F139" s="2397">
        <v>0.13</v>
      </c>
      <c r="G139" s="2398">
        <v>0.13</v>
      </c>
    </row>
    <row r="140" spans="1:7">
      <c r="A140" s="2407" t="s">
        <v>27</v>
      </c>
      <c r="B140" s="2396" t="s">
        <v>224</v>
      </c>
      <c r="C140" s="2397">
        <v>0.1</v>
      </c>
      <c r="D140" s="2397">
        <v>0.1</v>
      </c>
      <c r="E140" s="2397">
        <v>0.1</v>
      </c>
      <c r="F140" s="2397">
        <v>0.123</v>
      </c>
      <c r="G140" s="2398">
        <v>0.107</v>
      </c>
    </row>
    <row r="141" spans="1:7">
      <c r="A141" s="2407" t="s">
        <v>27</v>
      </c>
      <c r="B141" s="2396" t="s">
        <v>232</v>
      </c>
      <c r="C141" s="2397">
        <v>0.127</v>
      </c>
      <c r="D141" s="2397">
        <v>0.127</v>
      </c>
      <c r="E141" s="2397">
        <v>0.122</v>
      </c>
      <c r="F141" s="2397">
        <v>0.1</v>
      </c>
      <c r="G141" s="2398">
        <v>0.129</v>
      </c>
    </row>
    <row r="142" spans="1:7">
      <c r="A142" s="2407" t="s">
        <v>27</v>
      </c>
      <c r="B142" s="2396" t="s">
        <v>237</v>
      </c>
      <c r="C142" s="2397">
        <v>0.121</v>
      </c>
      <c r="D142" s="2397">
        <v>0.122</v>
      </c>
      <c r="E142" s="2397">
        <v>0.1</v>
      </c>
      <c r="F142" s="2397">
        <v>0.123</v>
      </c>
      <c r="G142" s="2398">
        <v>0.123</v>
      </c>
    </row>
    <row r="143" spans="1:7">
      <c r="A143" s="2407" t="s">
        <v>27</v>
      </c>
      <c r="B143" s="2396" t="s">
        <v>246</v>
      </c>
      <c r="C143" s="2397">
        <v>0.1</v>
      </c>
      <c r="D143" s="2397">
        <v>0.1</v>
      </c>
      <c r="E143" s="2397">
        <v>0.1</v>
      </c>
      <c r="F143" s="2397">
        <v>0.13</v>
      </c>
      <c r="G143" s="2398">
        <v>0.1</v>
      </c>
    </row>
    <row r="144" spans="1:7">
      <c r="A144" s="2407" t="s">
        <v>27</v>
      </c>
      <c r="B144" s="2396" t="s">
        <v>253</v>
      </c>
      <c r="C144" s="2397">
        <v>0.106</v>
      </c>
      <c r="D144" s="2397">
        <v>0.105</v>
      </c>
      <c r="E144" s="2397">
        <v>0.1</v>
      </c>
      <c r="F144" s="2397">
        <v>0.13</v>
      </c>
      <c r="G144" s="2398">
        <v>0.11799999999999999</v>
      </c>
    </row>
    <row r="145" spans="1:7">
      <c r="A145" s="2407" t="s">
        <v>27</v>
      </c>
      <c r="B145" s="2396" t="s">
        <v>261</v>
      </c>
      <c r="C145" s="2397">
        <v>0.123</v>
      </c>
      <c r="D145" s="2397">
        <v>0.123</v>
      </c>
      <c r="E145" s="2397">
        <v>0.11700000000000001</v>
      </c>
      <c r="F145" s="2397">
        <v>0.13</v>
      </c>
      <c r="G145" s="2398">
        <v>0.126</v>
      </c>
    </row>
    <row r="146" spans="1:7">
      <c r="A146" s="2407" t="s">
        <v>27</v>
      </c>
      <c r="B146" s="2396" t="s">
        <v>268</v>
      </c>
      <c r="C146" s="2397">
        <v>0.127</v>
      </c>
      <c r="D146" s="2397">
        <v>0.127</v>
      </c>
      <c r="E146" s="2397">
        <v>0.12</v>
      </c>
      <c r="F146" s="2408"/>
      <c r="G146" s="2398">
        <v>0.129</v>
      </c>
    </row>
    <row r="147" spans="1:7">
      <c r="A147" s="2407" t="s">
        <v>27</v>
      </c>
      <c r="B147" s="2396" t="s">
        <v>272</v>
      </c>
      <c r="C147" s="2397">
        <v>0.13</v>
      </c>
      <c r="D147" s="2397">
        <v>0.13</v>
      </c>
      <c r="E147" s="2397">
        <v>0.126</v>
      </c>
      <c r="F147" s="2408"/>
      <c r="G147" s="2398">
        <v>0.13</v>
      </c>
    </row>
    <row r="148" spans="1:7">
      <c r="A148" s="2407" t="s">
        <v>27</v>
      </c>
      <c r="B148" s="2396" t="s">
        <v>2814</v>
      </c>
      <c r="C148" s="2397">
        <v>0.13</v>
      </c>
      <c r="D148" s="2397">
        <v>0.13</v>
      </c>
      <c r="E148" s="2397">
        <v>0.13</v>
      </c>
      <c r="F148" s="2408"/>
      <c r="G148" s="2398">
        <v>0.13</v>
      </c>
    </row>
    <row r="149" spans="1:7">
      <c r="A149" s="2407" t="s">
        <v>27</v>
      </c>
      <c r="B149" s="2396" t="s">
        <v>2818</v>
      </c>
      <c r="C149" s="2397">
        <v>0.13</v>
      </c>
      <c r="D149" s="2397">
        <v>0.13</v>
      </c>
      <c r="E149" s="2397">
        <v>0.13</v>
      </c>
      <c r="F149" s="2397">
        <v>0.13</v>
      </c>
      <c r="G149" s="2398">
        <v>0.13</v>
      </c>
    </row>
    <row r="150" spans="1:7">
      <c r="A150" s="2407" t="s">
        <v>27</v>
      </c>
      <c r="B150" s="2396" t="s">
        <v>290</v>
      </c>
      <c r="C150" s="2397">
        <v>0.13</v>
      </c>
      <c r="D150" s="2397">
        <v>0.13</v>
      </c>
      <c r="E150" s="2397">
        <v>0.127</v>
      </c>
      <c r="F150" s="2397">
        <v>0.13</v>
      </c>
      <c r="G150" s="2398">
        <v>0.13</v>
      </c>
    </row>
    <row r="151" spans="1:7">
      <c r="A151" s="2407" t="s">
        <v>27</v>
      </c>
      <c r="B151" s="2396" t="s">
        <v>292</v>
      </c>
      <c r="C151" s="2397">
        <v>0.13</v>
      </c>
      <c r="D151" s="2397">
        <v>0.13</v>
      </c>
      <c r="E151" s="2397">
        <v>0.13</v>
      </c>
      <c r="F151" s="2397">
        <v>0.13</v>
      </c>
      <c r="G151" s="2398">
        <v>0.13</v>
      </c>
    </row>
    <row r="152" spans="1:7">
      <c r="A152" s="2407" t="s">
        <v>27</v>
      </c>
      <c r="B152" s="2396" t="s">
        <v>295</v>
      </c>
      <c r="C152" s="2397">
        <v>0.13</v>
      </c>
      <c r="D152" s="2397">
        <v>0.13</v>
      </c>
      <c r="E152" s="2397">
        <v>0.13</v>
      </c>
      <c r="F152" s="2397">
        <v>0.13</v>
      </c>
      <c r="G152" s="2398">
        <v>0.13</v>
      </c>
    </row>
    <row r="153" spans="1:7">
      <c r="A153" s="2407" t="s">
        <v>27</v>
      </c>
      <c r="B153" s="2396" t="s">
        <v>2837</v>
      </c>
      <c r="C153" s="2397">
        <v>0.13</v>
      </c>
      <c r="D153" s="2397">
        <v>0.13</v>
      </c>
      <c r="E153" s="2397">
        <v>0.13</v>
      </c>
      <c r="F153" s="2397">
        <v>0.13</v>
      </c>
      <c r="G153" s="2398">
        <v>0.13</v>
      </c>
    </row>
    <row r="154" spans="1:7">
      <c r="A154" s="2407" t="s">
        <v>27</v>
      </c>
      <c r="B154" s="2396" t="s">
        <v>2844</v>
      </c>
      <c r="C154" s="2397">
        <v>0.121</v>
      </c>
      <c r="D154" s="2397">
        <v>0.121</v>
      </c>
      <c r="E154" s="2397">
        <v>0.105</v>
      </c>
      <c r="F154" s="2397">
        <v>0.121</v>
      </c>
      <c r="G154" s="2398">
        <v>0.123</v>
      </c>
    </row>
    <row r="155" spans="1:7">
      <c r="A155" s="2407" t="s">
        <v>27</v>
      </c>
      <c r="B155" s="2396" t="s">
        <v>2850</v>
      </c>
      <c r="C155" s="2397">
        <v>0.1</v>
      </c>
      <c r="D155" s="2397">
        <v>0.1</v>
      </c>
      <c r="E155" s="2397">
        <v>0.1</v>
      </c>
      <c r="F155" s="2397">
        <v>0.1</v>
      </c>
      <c r="G155" s="2398">
        <v>0.1</v>
      </c>
    </row>
    <row r="156" spans="1:7">
      <c r="A156" s="2407" t="s">
        <v>27</v>
      </c>
      <c r="B156" s="2396" t="s">
        <v>2857</v>
      </c>
      <c r="C156" s="2397">
        <v>0.13</v>
      </c>
      <c r="D156" s="2397">
        <v>0.13</v>
      </c>
      <c r="E156" s="2397">
        <v>0.13</v>
      </c>
      <c r="F156" s="2397">
        <v>0.13</v>
      </c>
      <c r="G156" s="2398">
        <v>0.13</v>
      </c>
    </row>
    <row r="157" spans="1:7">
      <c r="A157" s="2407" t="s">
        <v>27</v>
      </c>
      <c r="B157" s="2396" t="s">
        <v>298</v>
      </c>
      <c r="C157" s="2397">
        <v>0.13</v>
      </c>
      <c r="D157" s="2397">
        <v>0.13</v>
      </c>
      <c r="E157" s="2397">
        <v>0.125</v>
      </c>
      <c r="F157" s="2397">
        <v>0.13</v>
      </c>
      <c r="G157" s="2398">
        <v>0.13</v>
      </c>
    </row>
    <row r="158" spans="1:7">
      <c r="A158" s="2407" t="s">
        <v>27</v>
      </c>
      <c r="B158" s="2396" t="s">
        <v>299</v>
      </c>
      <c r="C158" s="2397">
        <v>0.124</v>
      </c>
      <c r="D158" s="2397">
        <v>0.124</v>
      </c>
      <c r="E158" s="2397">
        <v>0.11700000000000001</v>
      </c>
      <c r="F158" s="2397">
        <v>0.121</v>
      </c>
      <c r="G158" s="2398">
        <v>0.124</v>
      </c>
    </row>
    <row r="159" spans="1:7">
      <c r="A159" s="2407" t="s">
        <v>27</v>
      </c>
      <c r="B159" s="2396" t="s">
        <v>300</v>
      </c>
      <c r="C159" s="2397">
        <v>0.127</v>
      </c>
      <c r="D159" s="2397">
        <v>0.127</v>
      </c>
      <c r="E159" s="2397">
        <v>0.122</v>
      </c>
      <c r="F159" s="2397">
        <v>0.13</v>
      </c>
      <c r="G159" s="2398">
        <v>0.129</v>
      </c>
    </row>
    <row r="160" spans="1:7">
      <c r="A160" s="2407" t="s">
        <v>27</v>
      </c>
      <c r="B160" s="2396" t="s">
        <v>2877</v>
      </c>
      <c r="C160" s="2397">
        <v>0.13</v>
      </c>
      <c r="D160" s="2397">
        <v>0.13</v>
      </c>
      <c r="E160" s="2397">
        <v>0.124</v>
      </c>
      <c r="F160" s="2397">
        <v>0.126</v>
      </c>
      <c r="G160" s="2398">
        <v>0.13</v>
      </c>
    </row>
    <row r="161" spans="1:7">
      <c r="A161" s="2407" t="s">
        <v>27</v>
      </c>
      <c r="B161" s="2396" t="s">
        <v>2882</v>
      </c>
      <c r="C161" s="2397">
        <v>0.13</v>
      </c>
      <c r="D161" s="2397">
        <v>0.13</v>
      </c>
      <c r="E161" s="2397">
        <v>0.124</v>
      </c>
      <c r="F161" s="2397">
        <v>0.127</v>
      </c>
      <c r="G161" s="2398">
        <v>0.13</v>
      </c>
    </row>
    <row r="162" spans="1:7">
      <c r="A162" s="2407" t="s">
        <v>27</v>
      </c>
      <c r="B162" s="2396" t="s">
        <v>2887</v>
      </c>
      <c r="C162" s="2397">
        <v>0.1</v>
      </c>
      <c r="D162" s="2397">
        <v>0.1</v>
      </c>
      <c r="E162" s="2397">
        <v>0.1</v>
      </c>
      <c r="F162" s="2397">
        <v>0.121</v>
      </c>
      <c r="G162" s="2398">
        <v>0.105</v>
      </c>
    </row>
    <row r="163" spans="1:7">
      <c r="A163" s="2407" t="s">
        <v>27</v>
      </c>
      <c r="B163" s="2396" t="s">
        <v>2892</v>
      </c>
      <c r="C163" s="2397">
        <v>0.1</v>
      </c>
      <c r="D163" s="2397">
        <v>0.1</v>
      </c>
      <c r="E163" s="2397">
        <v>0.1</v>
      </c>
      <c r="F163" s="2397">
        <v>0.1</v>
      </c>
      <c r="G163" s="2398">
        <v>0.1</v>
      </c>
    </row>
    <row r="164" spans="1:7">
      <c r="A164" s="2407" t="s">
        <v>27</v>
      </c>
      <c r="B164" s="2396" t="s">
        <v>2897</v>
      </c>
      <c r="C164" s="2413"/>
      <c r="D164" s="2413"/>
      <c r="E164" s="2413"/>
      <c r="F164" s="2397">
        <v>0.1</v>
      </c>
      <c r="G164" s="2409"/>
    </row>
    <row r="165" spans="1:7">
      <c r="A165" s="2407" t="s">
        <v>27</v>
      </c>
      <c r="B165" s="2396" t="s">
        <v>3068</v>
      </c>
      <c r="C165" s="2397">
        <v>0.126</v>
      </c>
      <c r="D165" s="2397">
        <v>0.126</v>
      </c>
      <c r="E165" s="2397">
        <v>0.11899999999999999</v>
      </c>
      <c r="F165" s="2397">
        <v>0.13</v>
      </c>
      <c r="G165" s="2398">
        <v>0.128</v>
      </c>
    </row>
    <row r="166" spans="1:7">
      <c r="A166" s="2407" t="s">
        <v>27</v>
      </c>
      <c r="B166" s="2396" t="s">
        <v>2907</v>
      </c>
      <c r="C166" s="2397">
        <v>0.129</v>
      </c>
      <c r="D166" s="2397">
        <v>0.129</v>
      </c>
      <c r="E166" s="2397">
        <v>0.123</v>
      </c>
      <c r="F166" s="2397">
        <v>0.128</v>
      </c>
      <c r="G166" s="2398">
        <v>0.13</v>
      </c>
    </row>
    <row r="167" spans="1:7">
      <c r="A167" s="2407" t="s">
        <v>27</v>
      </c>
      <c r="B167" s="2396" t="s">
        <v>2911</v>
      </c>
      <c r="C167" s="2397">
        <v>0.125</v>
      </c>
      <c r="D167" s="2397">
        <v>0.125</v>
      </c>
      <c r="E167" s="2397">
        <v>0.11700000000000001</v>
      </c>
      <c r="F167" s="2397">
        <v>0.13</v>
      </c>
      <c r="G167" s="2398">
        <v>0.126</v>
      </c>
    </row>
    <row r="168" spans="1:7">
      <c r="A168" s="2407" t="s">
        <v>27</v>
      </c>
      <c r="B168" s="2396" t="s">
        <v>2916</v>
      </c>
      <c r="C168" s="2397">
        <v>0.128</v>
      </c>
      <c r="D168" s="2397">
        <v>0.128</v>
      </c>
      <c r="E168" s="2397">
        <v>0.123</v>
      </c>
      <c r="F168" s="2408"/>
      <c r="G168" s="2398">
        <v>0.13</v>
      </c>
    </row>
    <row r="169" spans="1:7">
      <c r="A169" s="2407" t="s">
        <v>27</v>
      </c>
      <c r="B169" s="2396" t="s">
        <v>3069</v>
      </c>
      <c r="C169" s="2413"/>
      <c r="D169" s="2413"/>
      <c r="E169" s="2413"/>
      <c r="F169" s="2397">
        <v>0.05</v>
      </c>
      <c r="G169" s="2409"/>
    </row>
    <row r="170" spans="1:7">
      <c r="A170" s="2407" t="s">
        <v>27</v>
      </c>
      <c r="B170" s="2396" t="s">
        <v>3070</v>
      </c>
      <c r="C170" s="2413"/>
      <c r="D170" s="2413"/>
      <c r="E170" s="2413"/>
      <c r="F170" s="2397">
        <v>0.05</v>
      </c>
      <c r="G170" s="2409"/>
    </row>
    <row r="171" spans="1:7">
      <c r="A171" s="2407" t="s">
        <v>27</v>
      </c>
      <c r="B171" s="2396" t="s">
        <v>3071</v>
      </c>
      <c r="C171" s="2413"/>
      <c r="D171" s="2413"/>
      <c r="E171" s="2413"/>
      <c r="F171" s="2397">
        <v>0.05</v>
      </c>
      <c r="G171" s="2414"/>
    </row>
    <row r="172" spans="1:7">
      <c r="A172" s="2407" t="s">
        <v>27</v>
      </c>
      <c r="B172" s="2396" t="s">
        <v>3072</v>
      </c>
      <c r="C172" s="2413"/>
      <c r="D172" s="2413"/>
      <c r="E172" s="2413"/>
      <c r="F172" s="2397">
        <v>0.05</v>
      </c>
      <c r="G172" s="2414"/>
    </row>
    <row r="173" spans="1:7">
      <c r="A173" s="2407" t="s">
        <v>27</v>
      </c>
      <c r="B173" s="2396" t="s">
        <v>3073</v>
      </c>
      <c r="C173" s="2413"/>
      <c r="D173" s="2413"/>
      <c r="E173" s="2413"/>
      <c r="F173" s="2397">
        <v>0.05</v>
      </c>
      <c r="G173" s="2409"/>
    </row>
    <row r="174" spans="1:7">
      <c r="A174" s="2407" t="s">
        <v>27</v>
      </c>
      <c r="B174" s="2396" t="s">
        <v>3074</v>
      </c>
      <c r="C174" s="2413"/>
      <c r="D174" s="2413"/>
      <c r="E174" s="2413"/>
      <c r="F174" s="2397">
        <v>0.05</v>
      </c>
      <c r="G174" s="2409"/>
    </row>
    <row r="175" spans="1:7">
      <c r="A175" s="2407" t="s">
        <v>27</v>
      </c>
      <c r="B175" s="2396" t="s">
        <v>3075</v>
      </c>
      <c r="C175" s="2413"/>
      <c r="D175" s="2413"/>
      <c r="E175" s="2413"/>
      <c r="F175" s="2397">
        <v>0.05</v>
      </c>
      <c r="G175" s="2409"/>
    </row>
    <row r="176" spans="1:7">
      <c r="A176" s="2407" t="s">
        <v>27</v>
      </c>
      <c r="B176" s="2396" t="s">
        <v>3076</v>
      </c>
      <c r="C176" s="2413"/>
      <c r="D176" s="2413"/>
      <c r="E176" s="2413"/>
      <c r="F176" s="2397">
        <v>0.05</v>
      </c>
      <c r="G176" s="2409"/>
    </row>
    <row r="177" spans="1:7">
      <c r="A177" s="2407" t="s">
        <v>27</v>
      </c>
      <c r="B177" s="2396" t="s">
        <v>3077</v>
      </c>
      <c r="C177" s="2408"/>
      <c r="D177" s="2408"/>
      <c r="E177" s="2408"/>
      <c r="F177" s="2397">
        <v>0.05</v>
      </c>
      <c r="G177" s="2414"/>
    </row>
    <row r="178" spans="1:7">
      <c r="A178" s="2407" t="s">
        <v>27</v>
      </c>
      <c r="B178" s="2396" t="s">
        <v>3078</v>
      </c>
      <c r="C178" s="2408"/>
      <c r="D178" s="2408"/>
      <c r="E178" s="2408"/>
      <c r="F178" s="2397">
        <v>0.05</v>
      </c>
      <c r="G178" s="2414"/>
    </row>
    <row r="179" spans="1:7">
      <c r="A179" s="2407" t="s">
        <v>27</v>
      </c>
      <c r="B179" s="2396" t="s">
        <v>3079</v>
      </c>
      <c r="C179" s="2408"/>
      <c r="D179" s="2408"/>
      <c r="E179" s="2408"/>
      <c r="F179" s="2397">
        <v>0.05</v>
      </c>
      <c r="G179" s="2414"/>
    </row>
    <row r="180" spans="1:7">
      <c r="A180" s="2407" t="s">
        <v>27</v>
      </c>
      <c r="B180" s="2396" t="s">
        <v>3080</v>
      </c>
      <c r="C180" s="2408"/>
      <c r="D180" s="2408"/>
      <c r="E180" s="2408"/>
      <c r="F180" s="2397">
        <v>0.05</v>
      </c>
      <c r="G180" s="2414"/>
    </row>
    <row r="181" spans="1:7">
      <c r="A181" s="2407" t="s">
        <v>27</v>
      </c>
      <c r="B181" s="2396" t="s">
        <v>3081</v>
      </c>
      <c r="C181" s="2408"/>
      <c r="D181" s="2408"/>
      <c r="E181" s="2408"/>
      <c r="F181" s="2397">
        <v>0.05</v>
      </c>
      <c r="G181" s="2414"/>
    </row>
    <row r="182" spans="1:7">
      <c r="A182" s="2407" t="s">
        <v>27</v>
      </c>
      <c r="B182" s="2396" t="s">
        <v>3082</v>
      </c>
      <c r="C182" s="2408"/>
      <c r="D182" s="2408"/>
      <c r="E182" s="2408"/>
      <c r="F182" s="2397">
        <v>0.05</v>
      </c>
      <c r="G182" s="2414"/>
    </row>
    <row r="183" spans="1:7">
      <c r="A183" s="2407" t="s">
        <v>27</v>
      </c>
      <c r="B183" s="2396" t="s">
        <v>3083</v>
      </c>
      <c r="C183" s="2408"/>
      <c r="D183" s="2408"/>
      <c r="E183" s="2408"/>
      <c r="F183" s="2397">
        <v>0.05</v>
      </c>
      <c r="G183" s="2414"/>
    </row>
    <row r="184" spans="1:7">
      <c r="A184" s="2407" t="s">
        <v>27</v>
      </c>
      <c r="B184" s="2396" t="s">
        <v>3084</v>
      </c>
      <c r="C184" s="2408"/>
      <c r="D184" s="2408"/>
      <c r="E184" s="2408"/>
      <c r="F184" s="2397">
        <v>0.05</v>
      </c>
      <c r="G184" s="2414"/>
    </row>
    <row r="185" spans="1:7">
      <c r="A185" s="2407" t="s">
        <v>27</v>
      </c>
      <c r="B185" s="2396" t="s">
        <v>3085</v>
      </c>
      <c r="C185" s="2408"/>
      <c r="D185" s="2408"/>
      <c r="E185" s="2408"/>
      <c r="F185" s="2397">
        <v>0.05</v>
      </c>
      <c r="G185" s="2414"/>
    </row>
    <row r="186" spans="1:7">
      <c r="A186" s="2407" t="s">
        <v>27</v>
      </c>
      <c r="B186" s="2396" t="s">
        <v>3086</v>
      </c>
      <c r="C186" s="2408"/>
      <c r="D186" s="2408"/>
      <c r="E186" s="2408"/>
      <c r="F186" s="2397">
        <v>0.05</v>
      </c>
      <c r="G186" s="2414"/>
    </row>
    <row r="187" spans="1:7">
      <c r="A187" s="2407" t="s">
        <v>27</v>
      </c>
      <c r="B187" s="2396" t="s">
        <v>3087</v>
      </c>
      <c r="C187" s="2408"/>
      <c r="D187" s="2408"/>
      <c r="E187" s="2408"/>
      <c r="F187" s="2397">
        <v>0.05</v>
      </c>
      <c r="G187" s="2414"/>
    </row>
    <row r="188" spans="1:7">
      <c r="A188" s="2407" t="s">
        <v>27</v>
      </c>
      <c r="B188" s="2396" t="s">
        <v>3088</v>
      </c>
      <c r="C188" s="2408"/>
      <c r="D188" s="2408"/>
      <c r="E188" s="2408"/>
      <c r="F188" s="2397">
        <v>0.05</v>
      </c>
      <c r="G188" s="2414"/>
    </row>
    <row r="189" spans="1:7" ht="14.25" thickBot="1">
      <c r="A189" s="2410" t="s">
        <v>27</v>
      </c>
      <c r="B189" s="2400" t="s">
        <v>3089</v>
      </c>
      <c r="C189" s="2402"/>
      <c r="D189" s="2402"/>
      <c r="E189" s="2402"/>
      <c r="F189" s="2401">
        <v>0.05</v>
      </c>
      <c r="G189" s="2415"/>
    </row>
    <row r="190" spans="1:7">
      <c r="A190" s="2406" t="s">
        <v>302</v>
      </c>
      <c r="B190" s="2392" t="s">
        <v>2745</v>
      </c>
      <c r="C190" s="2393">
        <v>0.124</v>
      </c>
      <c r="D190" s="2393">
        <v>0.124</v>
      </c>
      <c r="E190" s="2393">
        <v>0.129</v>
      </c>
      <c r="F190" s="2393">
        <v>0.13</v>
      </c>
      <c r="G190" s="2394">
        <v>0.127</v>
      </c>
    </row>
    <row r="191" spans="1:7">
      <c r="A191" s="2407" t="s">
        <v>302</v>
      </c>
      <c r="B191" s="2396" t="s">
        <v>131</v>
      </c>
      <c r="C191" s="2397">
        <v>0.13</v>
      </c>
      <c r="D191" s="2397">
        <v>0.13</v>
      </c>
      <c r="E191" s="2397">
        <v>0.13</v>
      </c>
      <c r="F191" s="2397">
        <v>0.13</v>
      </c>
      <c r="G191" s="2398">
        <v>0.13</v>
      </c>
    </row>
    <row r="192" spans="1:7">
      <c r="A192" s="2407" t="s">
        <v>302</v>
      </c>
      <c r="B192" s="2396" t="s">
        <v>140</v>
      </c>
      <c r="C192" s="2397">
        <v>0.13</v>
      </c>
      <c r="D192" s="2397">
        <v>0.13</v>
      </c>
      <c r="E192" s="2397">
        <v>0.13</v>
      </c>
      <c r="F192" s="2397">
        <v>0.13</v>
      </c>
      <c r="G192" s="2398">
        <v>0.13</v>
      </c>
    </row>
    <row r="193" spans="1:7">
      <c r="A193" s="2407" t="s">
        <v>302</v>
      </c>
      <c r="B193" s="2396" t="s">
        <v>149</v>
      </c>
      <c r="C193" s="2397">
        <v>0.13</v>
      </c>
      <c r="D193" s="2397">
        <v>0.13</v>
      </c>
      <c r="E193" s="2397">
        <v>0.13</v>
      </c>
      <c r="F193" s="2397">
        <v>0.13</v>
      </c>
      <c r="G193" s="2398">
        <v>0.13</v>
      </c>
    </row>
    <row r="194" spans="1:7">
      <c r="A194" s="2407" t="s">
        <v>302</v>
      </c>
      <c r="B194" s="2396" t="s">
        <v>158</v>
      </c>
      <c r="C194" s="2397">
        <v>0.123</v>
      </c>
      <c r="D194" s="2397">
        <v>0.123</v>
      </c>
      <c r="E194" s="2397">
        <v>0.128</v>
      </c>
      <c r="F194" s="2397">
        <v>0.13</v>
      </c>
      <c r="G194" s="2398">
        <v>0.126</v>
      </c>
    </row>
    <row r="195" spans="1:7">
      <c r="A195" s="2407" t="s">
        <v>302</v>
      </c>
      <c r="B195" s="2396" t="s">
        <v>165</v>
      </c>
      <c r="C195" s="2397">
        <v>0.127</v>
      </c>
      <c r="D195" s="2397">
        <v>0.127</v>
      </c>
      <c r="E195" s="2397">
        <v>0.121</v>
      </c>
      <c r="F195" s="2397">
        <v>0.129</v>
      </c>
      <c r="G195" s="2398">
        <v>0.129</v>
      </c>
    </row>
    <row r="196" spans="1:7">
      <c r="A196" s="2407" t="s">
        <v>302</v>
      </c>
      <c r="B196" s="2396" t="s">
        <v>171</v>
      </c>
      <c r="C196" s="2397">
        <v>0.127</v>
      </c>
      <c r="D196" s="2397">
        <v>0.128</v>
      </c>
      <c r="E196" s="2397">
        <v>0.122</v>
      </c>
      <c r="F196" s="2397">
        <v>0.13</v>
      </c>
      <c r="G196" s="2398">
        <v>0.129</v>
      </c>
    </row>
    <row r="197" spans="1:7">
      <c r="A197" s="2407" t="s">
        <v>302</v>
      </c>
      <c r="B197" s="2396" t="s">
        <v>178</v>
      </c>
      <c r="C197" s="2397">
        <v>0.126</v>
      </c>
      <c r="D197" s="2397">
        <v>0.126</v>
      </c>
      <c r="E197" s="2397">
        <v>0.11899999999999999</v>
      </c>
      <c r="F197" s="2397">
        <v>0.13</v>
      </c>
      <c r="G197" s="2398">
        <v>0.128</v>
      </c>
    </row>
    <row r="198" spans="1:7">
      <c r="A198" s="2407" t="s">
        <v>302</v>
      </c>
      <c r="B198" s="2396" t="s">
        <v>188</v>
      </c>
      <c r="C198" s="2397">
        <v>0.13</v>
      </c>
      <c r="D198" s="2397">
        <v>0.13</v>
      </c>
      <c r="E198" s="2397">
        <v>0.126</v>
      </c>
      <c r="F198" s="2413"/>
      <c r="G198" s="2398">
        <v>0.13</v>
      </c>
    </row>
    <row r="199" spans="1:7">
      <c r="A199" s="2407" t="s">
        <v>302</v>
      </c>
      <c r="B199" s="2396" t="s">
        <v>2781</v>
      </c>
      <c r="C199" s="2397">
        <v>0.13</v>
      </c>
      <c r="D199" s="2397">
        <v>0.13</v>
      </c>
      <c r="E199" s="2397">
        <v>0.13</v>
      </c>
      <c r="F199" s="2397">
        <v>0.13</v>
      </c>
      <c r="G199" s="2398">
        <v>0.13</v>
      </c>
    </row>
    <row r="200" spans="1:7">
      <c r="A200" s="2407" t="s">
        <v>302</v>
      </c>
      <c r="B200" s="2396" t="s">
        <v>2784</v>
      </c>
      <c r="C200" s="2413"/>
      <c r="D200" s="2413"/>
      <c r="E200" s="2413"/>
      <c r="F200" s="2397">
        <v>0.13</v>
      </c>
      <c r="G200" s="2409"/>
    </row>
    <row r="201" spans="1:7">
      <c r="A201" s="2407" t="s">
        <v>302</v>
      </c>
      <c r="B201" s="2396" t="s">
        <v>2789</v>
      </c>
      <c r="C201" s="2397">
        <v>0.13</v>
      </c>
      <c r="D201" s="2397">
        <v>0.13</v>
      </c>
      <c r="E201" s="2397">
        <v>0.13</v>
      </c>
      <c r="F201" s="2397">
        <v>0.129</v>
      </c>
      <c r="G201" s="2398">
        <v>0.13</v>
      </c>
    </row>
    <row r="202" spans="1:7">
      <c r="A202" s="2407" t="s">
        <v>302</v>
      </c>
      <c r="B202" s="2396" t="s">
        <v>238</v>
      </c>
      <c r="C202" s="2397">
        <v>0.13</v>
      </c>
      <c r="D202" s="2397">
        <v>0.13</v>
      </c>
      <c r="E202" s="2397">
        <v>0.13</v>
      </c>
      <c r="F202" s="2397">
        <v>0.13</v>
      </c>
      <c r="G202" s="2398">
        <v>0.13</v>
      </c>
    </row>
    <row r="203" spans="1:7">
      <c r="A203" s="2407" t="s">
        <v>302</v>
      </c>
      <c r="B203" s="2396" t="s">
        <v>2792</v>
      </c>
      <c r="C203" s="2397">
        <v>0.129</v>
      </c>
      <c r="D203" s="2397">
        <v>0.129</v>
      </c>
      <c r="E203" s="2397">
        <v>0.13</v>
      </c>
      <c r="F203" s="2397">
        <v>0.13</v>
      </c>
      <c r="G203" s="2398">
        <v>0.13</v>
      </c>
    </row>
    <row r="204" spans="1:7">
      <c r="A204" s="2407" t="s">
        <v>302</v>
      </c>
      <c r="B204" s="2396" t="s">
        <v>2795</v>
      </c>
      <c r="C204" s="2397">
        <v>0.129</v>
      </c>
      <c r="D204" s="2397">
        <v>0.129</v>
      </c>
      <c r="E204" s="2397">
        <v>0.123</v>
      </c>
      <c r="F204" s="2397">
        <v>0.13</v>
      </c>
      <c r="G204" s="2398">
        <v>0.13</v>
      </c>
    </row>
    <row r="205" spans="1:7">
      <c r="A205" s="2407" t="s">
        <v>302</v>
      </c>
      <c r="B205" s="2396" t="s">
        <v>2797</v>
      </c>
      <c r="C205" s="2397">
        <v>0.13</v>
      </c>
      <c r="D205" s="2397">
        <v>0.13</v>
      </c>
      <c r="E205" s="2397">
        <v>0.13</v>
      </c>
      <c r="F205" s="2397">
        <v>0.13</v>
      </c>
      <c r="G205" s="2398">
        <v>0.13</v>
      </c>
    </row>
    <row r="206" spans="1:7">
      <c r="A206" s="2407" t="s">
        <v>302</v>
      </c>
      <c r="B206" s="2396" t="s">
        <v>2800</v>
      </c>
      <c r="C206" s="2397">
        <v>0.13</v>
      </c>
      <c r="D206" s="2397">
        <v>0.13</v>
      </c>
      <c r="E206" s="2397">
        <v>0.13</v>
      </c>
      <c r="F206" s="2397">
        <v>0.128</v>
      </c>
      <c r="G206" s="2398">
        <v>0.13</v>
      </c>
    </row>
    <row r="207" spans="1:7">
      <c r="A207" s="2407" t="s">
        <v>302</v>
      </c>
      <c r="B207" s="2396" t="s">
        <v>2802</v>
      </c>
      <c r="C207" s="2397">
        <v>0.13</v>
      </c>
      <c r="D207" s="2397">
        <v>0.13</v>
      </c>
      <c r="E207" s="2397">
        <v>0.13</v>
      </c>
      <c r="F207" s="2397">
        <v>0.13</v>
      </c>
      <c r="G207" s="2398">
        <v>0.13</v>
      </c>
    </row>
    <row r="208" spans="1:7">
      <c r="A208" s="2407" t="s">
        <v>302</v>
      </c>
      <c r="B208" s="2396" t="s">
        <v>2805</v>
      </c>
      <c r="C208" s="2397">
        <v>0.13</v>
      </c>
      <c r="D208" s="2397">
        <v>0.13</v>
      </c>
      <c r="E208" s="2397">
        <v>0.13</v>
      </c>
      <c r="F208" s="2397">
        <v>0.13</v>
      </c>
      <c r="G208" s="2398">
        <v>0.13</v>
      </c>
    </row>
    <row r="209" spans="1:7">
      <c r="A209" s="2407" t="s">
        <v>302</v>
      </c>
      <c r="B209" s="2396" t="s">
        <v>262</v>
      </c>
      <c r="C209" s="2397">
        <v>0.13</v>
      </c>
      <c r="D209" s="2397">
        <v>0.13</v>
      </c>
      <c r="E209" s="2397">
        <v>0.13</v>
      </c>
      <c r="F209" s="2397">
        <v>0.13</v>
      </c>
      <c r="G209" s="2398">
        <v>0.13</v>
      </c>
    </row>
    <row r="210" spans="1:7">
      <c r="A210" s="2407" t="s">
        <v>302</v>
      </c>
      <c r="B210" s="2396" t="s">
        <v>2812</v>
      </c>
      <c r="C210" s="2397">
        <v>0.121</v>
      </c>
      <c r="D210" s="2397">
        <v>0.121</v>
      </c>
      <c r="E210" s="2397">
        <v>0.125</v>
      </c>
      <c r="F210" s="2397">
        <v>0.13</v>
      </c>
      <c r="G210" s="2398">
        <v>0.123</v>
      </c>
    </row>
    <row r="211" spans="1:7">
      <c r="A211" s="2407" t="s">
        <v>302</v>
      </c>
      <c r="B211" s="2396" t="s">
        <v>2815</v>
      </c>
      <c r="C211" s="2397">
        <v>0.123</v>
      </c>
      <c r="D211" s="2397">
        <v>0.123</v>
      </c>
      <c r="E211" s="2397">
        <v>0.127</v>
      </c>
      <c r="F211" s="2397">
        <v>0.115</v>
      </c>
      <c r="G211" s="2398">
        <v>0.126</v>
      </c>
    </row>
    <row r="212" spans="1:7">
      <c r="A212" s="2407" t="s">
        <v>302</v>
      </c>
      <c r="B212" s="2396" t="s">
        <v>283</v>
      </c>
      <c r="C212" s="2397">
        <v>0.126</v>
      </c>
      <c r="D212" s="2397">
        <v>0.126</v>
      </c>
      <c r="E212" s="2397">
        <v>0.13</v>
      </c>
      <c r="F212" s="2397">
        <v>0.13</v>
      </c>
      <c r="G212" s="2398">
        <v>0.129</v>
      </c>
    </row>
    <row r="213" spans="1:7">
      <c r="A213" s="2407" t="s">
        <v>302</v>
      </c>
      <c r="B213" s="2396" t="s">
        <v>286</v>
      </c>
      <c r="C213" s="2397">
        <v>0.129</v>
      </c>
      <c r="D213" s="2397">
        <v>0.13</v>
      </c>
      <c r="E213" s="2397">
        <v>0.127</v>
      </c>
      <c r="F213" s="2397">
        <v>0.13</v>
      </c>
      <c r="G213" s="2398">
        <v>0.13</v>
      </c>
    </row>
    <row r="214" spans="1:7">
      <c r="A214" s="2407" t="s">
        <v>302</v>
      </c>
      <c r="B214" s="2396" t="s">
        <v>2827</v>
      </c>
      <c r="C214" s="2397">
        <v>0.128</v>
      </c>
      <c r="D214" s="2397">
        <v>0.128</v>
      </c>
      <c r="E214" s="2397">
        <v>0.13</v>
      </c>
      <c r="F214" s="2397">
        <v>0.13</v>
      </c>
      <c r="G214" s="2398">
        <v>0.13</v>
      </c>
    </row>
    <row r="215" spans="1:7">
      <c r="A215" s="2407" t="s">
        <v>302</v>
      </c>
      <c r="B215" s="2396" t="s">
        <v>2831</v>
      </c>
      <c r="C215" s="2397">
        <v>0.13</v>
      </c>
      <c r="D215" s="2397">
        <v>0.13</v>
      </c>
      <c r="E215" s="2397">
        <v>0.13</v>
      </c>
      <c r="F215" s="2397">
        <v>0.129</v>
      </c>
      <c r="G215" s="2398">
        <v>0.13</v>
      </c>
    </row>
    <row r="216" spans="1:7">
      <c r="A216" s="2407" t="s">
        <v>302</v>
      </c>
      <c r="B216" s="2396" t="s">
        <v>2838</v>
      </c>
      <c r="C216" s="2397">
        <v>0.13</v>
      </c>
      <c r="D216" s="2397">
        <v>0.13</v>
      </c>
      <c r="E216" s="2397">
        <v>0.13</v>
      </c>
      <c r="F216" s="2397">
        <v>0.13</v>
      </c>
      <c r="G216" s="2398">
        <v>0.13</v>
      </c>
    </row>
    <row r="217" spans="1:7">
      <c r="A217" s="2407" t="s">
        <v>302</v>
      </c>
      <c r="B217" s="2396" t="s">
        <v>2845</v>
      </c>
      <c r="C217" s="2397">
        <v>0.129</v>
      </c>
      <c r="D217" s="2397">
        <v>0.129</v>
      </c>
      <c r="E217" s="2397">
        <v>0.13</v>
      </c>
      <c r="F217" s="2397">
        <v>0.13</v>
      </c>
      <c r="G217" s="2398">
        <v>0.13</v>
      </c>
    </row>
    <row r="218" spans="1:7">
      <c r="A218" s="2407" t="s">
        <v>302</v>
      </c>
      <c r="B218" s="2396" t="s">
        <v>2851</v>
      </c>
      <c r="C218" s="2408"/>
      <c r="D218" s="2408"/>
      <c r="E218" s="2408"/>
      <c r="F218" s="2397">
        <v>0.05</v>
      </c>
      <c r="G218" s="2414"/>
    </row>
    <row r="219" spans="1:7">
      <c r="A219" s="2407" t="s">
        <v>302</v>
      </c>
      <c r="B219" s="2396" t="s">
        <v>2858</v>
      </c>
      <c r="C219" s="2408"/>
      <c r="D219" s="2408"/>
      <c r="E219" s="2408"/>
      <c r="F219" s="2397">
        <v>0.05</v>
      </c>
      <c r="G219" s="2414"/>
    </row>
    <row r="220" spans="1:7">
      <c r="A220" s="2407" t="s">
        <v>302</v>
      </c>
      <c r="B220" s="2396" t="s">
        <v>2864</v>
      </c>
      <c r="C220" s="2408"/>
      <c r="D220" s="2408"/>
      <c r="E220" s="2408"/>
      <c r="F220" s="2397">
        <v>0.05</v>
      </c>
      <c r="G220" s="2414"/>
    </row>
    <row r="221" spans="1:7">
      <c r="A221" s="2407" t="s">
        <v>302</v>
      </c>
      <c r="B221" s="2396" t="s">
        <v>2869</v>
      </c>
      <c r="C221" s="2408"/>
      <c r="D221" s="2408"/>
      <c r="E221" s="2408"/>
      <c r="F221" s="2397">
        <v>0.05</v>
      </c>
      <c r="G221" s="2414"/>
    </row>
    <row r="222" spans="1:7">
      <c r="A222" s="2407" t="s">
        <v>302</v>
      </c>
      <c r="B222" s="2396" t="s">
        <v>2873</v>
      </c>
      <c r="C222" s="2408"/>
      <c r="D222" s="2408"/>
      <c r="E222" s="2408"/>
      <c r="F222" s="2397">
        <v>0.05</v>
      </c>
      <c r="G222" s="2414"/>
    </row>
    <row r="223" spans="1:7">
      <c r="A223" s="2407" t="s">
        <v>302</v>
      </c>
      <c r="B223" s="2396" t="s">
        <v>2878</v>
      </c>
      <c r="C223" s="2408"/>
      <c r="D223" s="2408"/>
      <c r="E223" s="2408"/>
      <c r="F223" s="2397">
        <v>0.05</v>
      </c>
      <c r="G223" s="2414"/>
    </row>
    <row r="224" spans="1:7">
      <c r="A224" s="2407" t="s">
        <v>302</v>
      </c>
      <c r="B224" s="2396" t="s">
        <v>2883</v>
      </c>
      <c r="C224" s="2408"/>
      <c r="D224" s="2408"/>
      <c r="E224" s="2408"/>
      <c r="F224" s="2397">
        <v>0.05</v>
      </c>
      <c r="G224" s="2414"/>
    </row>
    <row r="225" spans="1:7">
      <c r="A225" s="2407" t="s">
        <v>302</v>
      </c>
      <c r="B225" s="2396" t="s">
        <v>2888</v>
      </c>
      <c r="C225" s="2408"/>
      <c r="D225" s="2408"/>
      <c r="E225" s="2408"/>
      <c r="F225" s="2397">
        <v>0.05</v>
      </c>
      <c r="G225" s="2414"/>
    </row>
    <row r="226" spans="1:7">
      <c r="A226" s="2407" t="s">
        <v>302</v>
      </c>
      <c r="B226" s="2396" t="s">
        <v>3090</v>
      </c>
      <c r="C226" s="2408"/>
      <c r="D226" s="2408"/>
      <c r="E226" s="2408"/>
      <c r="F226" s="2397">
        <v>0.05</v>
      </c>
      <c r="G226" s="2414"/>
    </row>
    <row r="227" spans="1:7">
      <c r="A227" s="2407" t="s">
        <v>302</v>
      </c>
      <c r="B227" s="2396" t="s">
        <v>3091</v>
      </c>
      <c r="C227" s="2408"/>
      <c r="D227" s="2408"/>
      <c r="E227" s="2408"/>
      <c r="F227" s="2397">
        <v>0.05</v>
      </c>
      <c r="G227" s="2414"/>
    </row>
    <row r="228" spans="1:7">
      <c r="A228" s="2407" t="s">
        <v>302</v>
      </c>
      <c r="B228" s="2396" t="s">
        <v>3092</v>
      </c>
      <c r="C228" s="2408"/>
      <c r="D228" s="2408"/>
      <c r="E228" s="2408"/>
      <c r="F228" s="2397">
        <v>0.05</v>
      </c>
      <c r="G228" s="2414"/>
    </row>
    <row r="229" spans="1:7">
      <c r="A229" s="2407" t="s">
        <v>302</v>
      </c>
      <c r="B229" s="2396" t="s">
        <v>3093</v>
      </c>
      <c r="C229" s="2408"/>
      <c r="D229" s="2408"/>
      <c r="E229" s="2408"/>
      <c r="F229" s="2397">
        <v>0.05</v>
      </c>
      <c r="G229" s="2414"/>
    </row>
    <row r="230" spans="1:7">
      <c r="A230" s="2407" t="s">
        <v>302</v>
      </c>
      <c r="B230" s="2396" t="s">
        <v>3094</v>
      </c>
      <c r="C230" s="2408"/>
      <c r="D230" s="2408"/>
      <c r="E230" s="2408"/>
      <c r="F230" s="2397">
        <v>0.05</v>
      </c>
      <c r="G230" s="2414"/>
    </row>
    <row r="231" spans="1:7">
      <c r="A231" s="2407" t="s">
        <v>302</v>
      </c>
      <c r="B231" s="2396" t="s">
        <v>3095</v>
      </c>
      <c r="C231" s="2408"/>
      <c r="D231" s="2408"/>
      <c r="E231" s="2408"/>
      <c r="F231" s="2397">
        <v>0.05</v>
      </c>
      <c r="G231" s="2414"/>
    </row>
    <row r="232" spans="1:7">
      <c r="A232" s="2407" t="s">
        <v>302</v>
      </c>
      <c r="B232" s="2396" t="s">
        <v>3096</v>
      </c>
      <c r="C232" s="2408"/>
      <c r="D232" s="2408"/>
      <c r="E232" s="2408"/>
      <c r="F232" s="2397">
        <v>0.05</v>
      </c>
      <c r="G232" s="2414"/>
    </row>
    <row r="233" spans="1:7" ht="14.25" thickBot="1">
      <c r="A233" s="2410" t="s">
        <v>302</v>
      </c>
      <c r="B233" s="2400" t="s">
        <v>3097</v>
      </c>
      <c r="C233" s="2402"/>
      <c r="D233" s="2402"/>
      <c r="E233" s="2402"/>
      <c r="F233" s="2401">
        <v>0.05</v>
      </c>
      <c r="G233" s="2415"/>
    </row>
    <row r="234" spans="1:7">
      <c r="A234" s="2406" t="s">
        <v>303</v>
      </c>
      <c r="B234" s="2392" t="s">
        <v>2746</v>
      </c>
      <c r="C234" s="2393">
        <v>0.13</v>
      </c>
      <c r="D234" s="2393">
        <v>0.128</v>
      </c>
      <c r="E234" s="2393">
        <v>0.14199999999999999</v>
      </c>
      <c r="F234" s="2393">
        <v>0.14699999999999999</v>
      </c>
      <c r="G234" s="2394">
        <v>0.14000000000000001</v>
      </c>
    </row>
    <row r="235" spans="1:7">
      <c r="A235" s="2407" t="s">
        <v>303</v>
      </c>
      <c r="B235" s="2396" t="s">
        <v>132</v>
      </c>
      <c r="C235" s="2397">
        <v>0.13600000000000001</v>
      </c>
      <c r="D235" s="2397">
        <v>0.13800000000000001</v>
      </c>
      <c r="E235" s="2397">
        <v>0.14499999999999999</v>
      </c>
      <c r="F235" s="2397">
        <v>0.14299999999999999</v>
      </c>
      <c r="G235" s="2398">
        <v>0.14099999999999999</v>
      </c>
    </row>
    <row r="236" spans="1:7">
      <c r="A236" s="2407" t="s">
        <v>303</v>
      </c>
      <c r="B236" s="2396" t="s">
        <v>141</v>
      </c>
      <c r="C236" s="2397">
        <v>0.15</v>
      </c>
      <c r="D236" s="2397">
        <v>0.15</v>
      </c>
      <c r="E236" s="2397">
        <v>0.15</v>
      </c>
      <c r="F236" s="2397">
        <v>0.15</v>
      </c>
      <c r="G236" s="2398">
        <v>0.15</v>
      </c>
    </row>
    <row r="237" spans="1:7">
      <c r="A237" s="2407" t="s">
        <v>303</v>
      </c>
      <c r="B237" s="2396" t="s">
        <v>150</v>
      </c>
      <c r="C237" s="2397">
        <v>0.15</v>
      </c>
      <c r="D237" s="2397">
        <v>0.15</v>
      </c>
      <c r="E237" s="2397">
        <v>0.15</v>
      </c>
      <c r="F237" s="2397">
        <v>0.15</v>
      </c>
      <c r="G237" s="2398">
        <v>0.15</v>
      </c>
    </row>
    <row r="238" spans="1:7">
      <c r="A238" s="2407" t="s">
        <v>303</v>
      </c>
      <c r="B238" s="2396" t="s">
        <v>2766</v>
      </c>
      <c r="C238" s="2397">
        <v>0.14899999999999999</v>
      </c>
      <c r="D238" s="2397">
        <v>0.14899999999999999</v>
      </c>
      <c r="E238" s="2397">
        <v>0.15</v>
      </c>
      <c r="F238" s="2397">
        <v>0.15</v>
      </c>
      <c r="G238" s="2398">
        <v>0.15</v>
      </c>
    </row>
    <row r="239" spans="1:7">
      <c r="A239" s="2407" t="s">
        <v>303</v>
      </c>
      <c r="B239" s="2396" t="s">
        <v>2770</v>
      </c>
      <c r="C239" s="2397">
        <v>0.15</v>
      </c>
      <c r="D239" s="2397">
        <v>0.15</v>
      </c>
      <c r="E239" s="2397">
        <v>0.15</v>
      </c>
      <c r="F239" s="2397">
        <v>0.15</v>
      </c>
      <c r="G239" s="2398">
        <v>0.15</v>
      </c>
    </row>
    <row r="240" spans="1:7">
      <c r="A240" s="2407" t="s">
        <v>303</v>
      </c>
      <c r="B240" s="2396" t="s">
        <v>2775</v>
      </c>
      <c r="C240" s="2397">
        <v>0.15</v>
      </c>
      <c r="D240" s="2397">
        <v>0.15</v>
      </c>
      <c r="E240" s="2397">
        <v>0.15</v>
      </c>
      <c r="F240" s="2397">
        <v>0.15</v>
      </c>
      <c r="G240" s="2398">
        <v>0.15</v>
      </c>
    </row>
    <row r="241" spans="1:7">
      <c r="A241" s="2407" t="s">
        <v>303</v>
      </c>
      <c r="B241" s="2396" t="s">
        <v>2779</v>
      </c>
      <c r="C241" s="2397">
        <v>0.14099999999999999</v>
      </c>
      <c r="D241" s="2397">
        <v>0.14199999999999999</v>
      </c>
      <c r="E241" s="2397">
        <v>0.14899999999999999</v>
      </c>
      <c r="F241" s="2397">
        <v>0.15</v>
      </c>
      <c r="G241" s="2398">
        <v>0.14399999999999999</v>
      </c>
    </row>
    <row r="242" spans="1:7">
      <c r="A242" s="2407" t="s">
        <v>303</v>
      </c>
      <c r="B242" s="2396" t="s">
        <v>179</v>
      </c>
      <c r="C242" s="2397">
        <v>0.14099999999999999</v>
      </c>
      <c r="D242" s="2397">
        <v>0.14199999999999999</v>
      </c>
      <c r="E242" s="2397">
        <v>0.14799999999999999</v>
      </c>
      <c r="F242" s="2397">
        <v>0.127</v>
      </c>
      <c r="G242" s="2398">
        <v>0.14399999999999999</v>
      </c>
    </row>
    <row r="243" spans="1:7">
      <c r="A243" s="2407" t="s">
        <v>303</v>
      </c>
      <c r="B243" s="2396" t="s">
        <v>189</v>
      </c>
      <c r="C243" s="2397">
        <v>0.14699999999999999</v>
      </c>
      <c r="D243" s="2397">
        <v>0.14699999999999999</v>
      </c>
      <c r="E243" s="2397">
        <v>0.15</v>
      </c>
      <c r="F243" s="2397">
        <v>0.15</v>
      </c>
      <c r="G243" s="2398">
        <v>0.14899999999999999</v>
      </c>
    </row>
    <row r="244" spans="1:7">
      <c r="A244" s="2407" t="s">
        <v>303</v>
      </c>
      <c r="B244" s="2396" t="s">
        <v>2785</v>
      </c>
      <c r="C244" s="2397">
        <v>0.15</v>
      </c>
      <c r="D244" s="2397">
        <v>0.15</v>
      </c>
      <c r="E244" s="2397">
        <v>0.15</v>
      </c>
      <c r="F244" s="2397">
        <v>0.15</v>
      </c>
      <c r="G244" s="2398">
        <v>0.15</v>
      </c>
    </row>
    <row r="245" spans="1:7">
      <c r="A245" s="2407" t="s">
        <v>303</v>
      </c>
      <c r="B245" s="2396" t="s">
        <v>204</v>
      </c>
      <c r="C245" s="2397">
        <v>0.14199999999999999</v>
      </c>
      <c r="D245" s="2397">
        <v>0.14199999999999999</v>
      </c>
      <c r="E245" s="2397">
        <v>0.15</v>
      </c>
      <c r="F245" s="2397">
        <v>0.15</v>
      </c>
      <c r="G245" s="2398">
        <v>0.14499999999999999</v>
      </c>
    </row>
    <row r="246" spans="1:7">
      <c r="A246" s="2407" t="s">
        <v>303</v>
      </c>
      <c r="B246" s="2396" t="s">
        <v>211</v>
      </c>
      <c r="C246" s="2397">
        <v>0.14199999999999999</v>
      </c>
      <c r="D246" s="2397">
        <v>0.14299999999999999</v>
      </c>
      <c r="E246" s="2397">
        <v>0.15</v>
      </c>
      <c r="F246" s="2397">
        <v>0.14199999999999999</v>
      </c>
      <c r="G246" s="2398">
        <v>0.14399999999999999</v>
      </c>
    </row>
    <row r="247" spans="1:7">
      <c r="A247" s="2407" t="s">
        <v>303</v>
      </c>
      <c r="B247" s="2396" t="s">
        <v>2793</v>
      </c>
      <c r="C247" s="2397">
        <v>0.14899999999999999</v>
      </c>
      <c r="D247" s="2397">
        <v>0.14899999999999999</v>
      </c>
      <c r="E247" s="2397">
        <v>0.15</v>
      </c>
      <c r="F247" s="2397">
        <v>0.15</v>
      </c>
      <c r="G247" s="2398">
        <v>0.15</v>
      </c>
    </row>
    <row r="248" spans="1:7">
      <c r="A248" s="2407" t="s">
        <v>303</v>
      </c>
      <c r="B248" s="2396" t="s">
        <v>225</v>
      </c>
      <c r="C248" s="2397">
        <v>0.14399999999999999</v>
      </c>
      <c r="D248" s="2397">
        <v>0.14399999999999999</v>
      </c>
      <c r="E248" s="2397">
        <v>0.14899999999999999</v>
      </c>
      <c r="F248" s="2397">
        <v>0.14799999999999999</v>
      </c>
      <c r="G248" s="2398">
        <v>0.14599999999999999</v>
      </c>
    </row>
    <row r="249" spans="1:7">
      <c r="A249" s="2407" t="s">
        <v>303</v>
      </c>
      <c r="B249" s="2396" t="s">
        <v>2798</v>
      </c>
      <c r="C249" s="2397">
        <v>0.14000000000000001</v>
      </c>
      <c r="D249" s="2397">
        <v>0.14000000000000001</v>
      </c>
      <c r="E249" s="2397">
        <v>0.14699999999999999</v>
      </c>
      <c r="F249" s="2397">
        <v>0.14899999999999999</v>
      </c>
      <c r="G249" s="2398">
        <v>0.14199999999999999</v>
      </c>
    </row>
    <row r="250" spans="1:7">
      <c r="A250" s="2407" t="s">
        <v>303</v>
      </c>
      <c r="B250" s="2396" t="s">
        <v>239</v>
      </c>
      <c r="C250" s="2397">
        <v>0.14399999999999999</v>
      </c>
      <c r="D250" s="2397">
        <v>0.14299999999999999</v>
      </c>
      <c r="E250" s="2397">
        <v>0.14899999999999999</v>
      </c>
      <c r="F250" s="2397">
        <v>0.15</v>
      </c>
      <c r="G250" s="2398">
        <v>0.14599999999999999</v>
      </c>
    </row>
    <row r="251" spans="1:7">
      <c r="A251" s="2407" t="s">
        <v>303</v>
      </c>
      <c r="B251" s="2396" t="s">
        <v>247</v>
      </c>
      <c r="C251" s="2413"/>
      <c r="D251" s="2408"/>
      <c r="E251" s="2408"/>
      <c r="F251" s="2397">
        <v>0.1</v>
      </c>
      <c r="G251" s="2414"/>
    </row>
    <row r="252" spans="1:7">
      <c r="A252" s="2407" t="s">
        <v>303</v>
      </c>
      <c r="B252" s="2396" t="s">
        <v>2806</v>
      </c>
      <c r="C252" s="2397">
        <v>0.14399999999999999</v>
      </c>
      <c r="D252" s="2397">
        <v>0.14399999999999999</v>
      </c>
      <c r="E252" s="2397">
        <v>0.15</v>
      </c>
      <c r="F252" s="2397">
        <v>0.14899999999999999</v>
      </c>
      <c r="G252" s="2398">
        <v>0.14599999999999999</v>
      </c>
    </row>
    <row r="253" spans="1:7">
      <c r="A253" s="2407" t="s">
        <v>303</v>
      </c>
      <c r="B253" s="2396" t="s">
        <v>281</v>
      </c>
      <c r="C253" s="2397">
        <v>0.14199999999999999</v>
      </c>
      <c r="D253" s="2397">
        <v>0.14199999999999999</v>
      </c>
      <c r="E253" s="2397">
        <v>0.14599999999999999</v>
      </c>
      <c r="F253" s="2397">
        <v>0.14799999999999999</v>
      </c>
      <c r="G253" s="2398">
        <v>0.14499999999999999</v>
      </c>
    </row>
    <row r="254" spans="1:7">
      <c r="A254" s="2407" t="s">
        <v>303</v>
      </c>
      <c r="B254" s="2396" t="s">
        <v>284</v>
      </c>
      <c r="C254" s="2397">
        <v>0.15</v>
      </c>
      <c r="D254" s="2397">
        <v>0.15</v>
      </c>
      <c r="E254" s="2397">
        <v>0.15</v>
      </c>
      <c r="F254" s="2397">
        <v>0.15</v>
      </c>
      <c r="G254" s="2398">
        <v>0.15</v>
      </c>
    </row>
    <row r="255" spans="1:7">
      <c r="A255" s="2407" t="s">
        <v>303</v>
      </c>
      <c r="B255" s="2396" t="s">
        <v>287</v>
      </c>
      <c r="C255" s="2397">
        <v>0.14299999999999999</v>
      </c>
      <c r="D255" s="2397">
        <v>0.14299999999999999</v>
      </c>
      <c r="E255" s="2397">
        <v>0.15</v>
      </c>
      <c r="F255" s="2397">
        <v>0.15</v>
      </c>
      <c r="G255" s="2398">
        <v>0.14499999999999999</v>
      </c>
    </row>
    <row r="256" spans="1:7">
      <c r="A256" s="2407" t="s">
        <v>303</v>
      </c>
      <c r="B256" s="2396" t="s">
        <v>2819</v>
      </c>
      <c r="C256" s="2397">
        <v>0.15</v>
      </c>
      <c r="D256" s="2397">
        <v>0.15</v>
      </c>
      <c r="E256" s="2397">
        <v>0.15</v>
      </c>
      <c r="F256" s="2397">
        <v>0.14599999999999999</v>
      </c>
      <c r="G256" s="2398">
        <v>0.15</v>
      </c>
    </row>
    <row r="257" spans="1:7">
      <c r="A257" s="2407" t="s">
        <v>303</v>
      </c>
      <c r="B257" s="2396" t="s">
        <v>273</v>
      </c>
      <c r="C257" s="2397">
        <v>0.14199999999999999</v>
      </c>
      <c r="D257" s="2397">
        <v>0.14299999999999999</v>
      </c>
      <c r="E257" s="2397">
        <v>0.14799999999999999</v>
      </c>
      <c r="F257" s="2397">
        <v>0.15</v>
      </c>
      <c r="G257" s="2398">
        <v>0.14499999999999999</v>
      </c>
    </row>
    <row r="258" spans="1:7">
      <c r="A258" s="2407" t="s">
        <v>303</v>
      </c>
      <c r="B258" s="2396" t="s">
        <v>2828</v>
      </c>
      <c r="C258" s="2397">
        <v>0.14299999999999999</v>
      </c>
      <c r="D258" s="2397">
        <v>0.14299999999999999</v>
      </c>
      <c r="E258" s="2397">
        <v>0.15</v>
      </c>
      <c r="F258" s="2397">
        <v>0.14799999999999999</v>
      </c>
      <c r="G258" s="2398">
        <v>0.14599999999999999</v>
      </c>
    </row>
    <row r="259" spans="1:7">
      <c r="A259" s="2407" t="s">
        <v>303</v>
      </c>
      <c r="B259" s="2396" t="s">
        <v>2832</v>
      </c>
      <c r="C259" s="2397">
        <v>0.14399999999999999</v>
      </c>
      <c r="D259" s="2397">
        <v>0.14399999999999999</v>
      </c>
      <c r="E259" s="2397">
        <v>0.14899999999999999</v>
      </c>
      <c r="F259" s="2397">
        <v>0.14699999999999999</v>
      </c>
      <c r="G259" s="2398">
        <v>0.14599999999999999</v>
      </c>
    </row>
    <row r="260" spans="1:7">
      <c r="A260" s="2407" t="s">
        <v>303</v>
      </c>
      <c r="B260" s="2396" t="s">
        <v>2839</v>
      </c>
      <c r="C260" s="2397">
        <v>0.109</v>
      </c>
      <c r="D260" s="2397">
        <v>0.111</v>
      </c>
      <c r="E260" s="2397">
        <v>0.13100000000000001</v>
      </c>
      <c r="F260" s="2397">
        <v>0.126</v>
      </c>
      <c r="G260" s="2398">
        <v>0.11899999999999999</v>
      </c>
    </row>
    <row r="261" spans="1:7">
      <c r="A261" s="2407" t="s">
        <v>303</v>
      </c>
      <c r="B261" s="2396" t="s">
        <v>2846</v>
      </c>
      <c r="C261" s="2397">
        <v>0.1</v>
      </c>
      <c r="D261" s="2397">
        <v>0.1</v>
      </c>
      <c r="E261" s="2397">
        <v>0.11799999999999999</v>
      </c>
      <c r="F261" s="2397">
        <v>0.108</v>
      </c>
      <c r="G261" s="2398">
        <v>0.107</v>
      </c>
    </row>
    <row r="262" spans="1:7">
      <c r="A262" s="2407" t="s">
        <v>303</v>
      </c>
      <c r="B262" s="2396" t="s">
        <v>2852</v>
      </c>
      <c r="C262" s="2397">
        <v>0.1</v>
      </c>
      <c r="D262" s="2397">
        <v>0.1</v>
      </c>
      <c r="E262" s="2397">
        <v>0.1</v>
      </c>
      <c r="F262" s="2397">
        <v>0.14099999999999999</v>
      </c>
      <c r="G262" s="2398">
        <v>0.1</v>
      </c>
    </row>
    <row r="263" spans="1:7">
      <c r="A263" s="2407" t="s">
        <v>303</v>
      </c>
      <c r="B263" s="2396" t="s">
        <v>2859</v>
      </c>
      <c r="C263" s="2397">
        <v>0.14799999999999999</v>
      </c>
      <c r="D263" s="2397">
        <v>0.14799999999999999</v>
      </c>
      <c r="E263" s="2397">
        <v>0.15</v>
      </c>
      <c r="F263" s="2397">
        <v>0.14699999999999999</v>
      </c>
      <c r="G263" s="2398">
        <v>0.15</v>
      </c>
    </row>
    <row r="264" spans="1:7">
      <c r="A264" s="2407" t="s">
        <v>303</v>
      </c>
      <c r="B264" s="2396" t="s">
        <v>297</v>
      </c>
      <c r="C264" s="2397">
        <v>0.14299999999999999</v>
      </c>
      <c r="D264" s="2397">
        <v>0.14299999999999999</v>
      </c>
      <c r="E264" s="2397">
        <v>0.15</v>
      </c>
      <c r="F264" s="2397">
        <v>0.14899999999999999</v>
      </c>
      <c r="G264" s="2398">
        <v>0.14599999999999999</v>
      </c>
    </row>
    <row r="265" spans="1:7">
      <c r="A265" s="2407" t="s">
        <v>303</v>
      </c>
      <c r="B265" s="2396" t="s">
        <v>2870</v>
      </c>
      <c r="C265" s="2408"/>
      <c r="D265" s="2408"/>
      <c r="E265" s="2408"/>
      <c r="F265" s="2397">
        <v>0.05</v>
      </c>
      <c r="G265" s="2414"/>
    </row>
    <row r="266" spans="1:7">
      <c r="A266" s="2407" t="s">
        <v>303</v>
      </c>
      <c r="B266" s="2396" t="s">
        <v>2874</v>
      </c>
      <c r="C266" s="2408"/>
      <c r="D266" s="2408"/>
      <c r="E266" s="2408"/>
      <c r="F266" s="2397">
        <v>0.05</v>
      </c>
      <c r="G266" s="2414"/>
    </row>
    <row r="267" spans="1:7">
      <c r="A267" s="2407" t="s">
        <v>303</v>
      </c>
      <c r="B267" s="2396" t="s">
        <v>2879</v>
      </c>
      <c r="C267" s="2408"/>
      <c r="D267" s="2408"/>
      <c r="E267" s="2408"/>
      <c r="F267" s="2397">
        <v>0.05</v>
      </c>
      <c r="G267" s="2414"/>
    </row>
    <row r="268" spans="1:7">
      <c r="A268" s="2407" t="s">
        <v>303</v>
      </c>
      <c r="B268" s="2396" t="s">
        <v>2884</v>
      </c>
      <c r="C268" s="2408"/>
      <c r="D268" s="2408"/>
      <c r="E268" s="2408"/>
      <c r="F268" s="2397">
        <v>0.05</v>
      </c>
      <c r="G268" s="2414"/>
    </row>
    <row r="269" spans="1:7">
      <c r="A269" s="2407" t="s">
        <v>303</v>
      </c>
      <c r="B269" s="2396" t="s">
        <v>2889</v>
      </c>
      <c r="C269" s="2408"/>
      <c r="D269" s="2408"/>
      <c r="E269" s="2408"/>
      <c r="F269" s="2397">
        <v>0.05</v>
      </c>
      <c r="G269" s="2414"/>
    </row>
    <row r="270" spans="1:7">
      <c r="A270" s="2407" t="s">
        <v>303</v>
      </c>
      <c r="B270" s="2396" t="s">
        <v>2894</v>
      </c>
      <c r="C270" s="2408"/>
      <c r="D270" s="2408"/>
      <c r="E270" s="2408"/>
      <c r="F270" s="2397">
        <v>0.05</v>
      </c>
      <c r="G270" s="2414"/>
    </row>
    <row r="271" spans="1:7">
      <c r="A271" s="2407" t="s">
        <v>303</v>
      </c>
      <c r="B271" s="2396" t="s">
        <v>3098</v>
      </c>
      <c r="C271" s="2408"/>
      <c r="D271" s="2408"/>
      <c r="E271" s="2408"/>
      <c r="F271" s="2397">
        <v>0.05</v>
      </c>
      <c r="G271" s="2414"/>
    </row>
    <row r="272" spans="1:7">
      <c r="A272" s="2407" t="s">
        <v>303</v>
      </c>
      <c r="B272" s="2396" t="s">
        <v>3099</v>
      </c>
      <c r="C272" s="2408"/>
      <c r="D272" s="2408"/>
      <c r="E272" s="2408"/>
      <c r="F272" s="2397">
        <v>0.05</v>
      </c>
      <c r="G272" s="2414"/>
    </row>
    <row r="273" spans="1:7">
      <c r="A273" s="2407" t="s">
        <v>303</v>
      </c>
      <c r="B273" s="2396" t="s">
        <v>3100</v>
      </c>
      <c r="C273" s="2408"/>
      <c r="D273" s="2408"/>
      <c r="E273" s="2408"/>
      <c r="F273" s="2397">
        <v>0.05</v>
      </c>
      <c r="G273" s="2414"/>
    </row>
    <row r="274" spans="1:7">
      <c r="A274" s="2407" t="s">
        <v>303</v>
      </c>
      <c r="B274" s="2396" t="s">
        <v>3101</v>
      </c>
      <c r="C274" s="2408"/>
      <c r="D274" s="2408"/>
      <c r="E274" s="2408"/>
      <c r="F274" s="2397">
        <v>0.05</v>
      </c>
      <c r="G274" s="2414"/>
    </row>
    <row r="275" spans="1:7">
      <c r="A275" s="2407" t="s">
        <v>303</v>
      </c>
      <c r="B275" s="2396" t="s">
        <v>3102</v>
      </c>
      <c r="C275" s="2408"/>
      <c r="D275" s="2408"/>
      <c r="E275" s="2408"/>
      <c r="F275" s="2397">
        <v>0.05</v>
      </c>
      <c r="G275" s="2414"/>
    </row>
    <row r="276" spans="1:7" ht="14.25" thickBot="1">
      <c r="A276" s="2410" t="s">
        <v>303</v>
      </c>
      <c r="B276" s="2400" t="s">
        <v>3103</v>
      </c>
      <c r="C276" s="2402"/>
      <c r="D276" s="2402"/>
      <c r="E276" s="2402"/>
      <c r="F276" s="2401">
        <v>0.05</v>
      </c>
      <c r="G276" s="2415"/>
    </row>
    <row r="277" spans="1:7">
      <c r="A277" s="2406" t="s">
        <v>304</v>
      </c>
      <c r="B277" s="2392" t="s">
        <v>2747</v>
      </c>
      <c r="C277" s="2393">
        <v>0.15</v>
      </c>
      <c r="D277" s="2393">
        <v>0.15</v>
      </c>
      <c r="E277" s="2393">
        <v>0.15</v>
      </c>
      <c r="F277" s="2393">
        <v>0.15</v>
      </c>
      <c r="G277" s="2394">
        <v>0.15</v>
      </c>
    </row>
    <row r="278" spans="1:7">
      <c r="A278" s="2407" t="s">
        <v>304</v>
      </c>
      <c r="B278" s="2396" t="s">
        <v>133</v>
      </c>
      <c r="C278" s="2397">
        <v>0.15</v>
      </c>
      <c r="D278" s="2397">
        <v>0.15</v>
      </c>
      <c r="E278" s="2397">
        <v>0.15</v>
      </c>
      <c r="F278" s="2397">
        <v>0.15</v>
      </c>
      <c r="G278" s="2398">
        <v>0.15</v>
      </c>
    </row>
    <row r="279" spans="1:7">
      <c r="A279" s="2407" t="s">
        <v>304</v>
      </c>
      <c r="B279" s="2396" t="s">
        <v>2759</v>
      </c>
      <c r="C279" s="2397">
        <v>0.15</v>
      </c>
      <c r="D279" s="2397">
        <v>0.15</v>
      </c>
      <c r="E279" s="2397">
        <v>0.15</v>
      </c>
      <c r="F279" s="2397">
        <v>0.15</v>
      </c>
      <c r="G279" s="2398">
        <v>0.15</v>
      </c>
    </row>
    <row r="280" spans="1:7">
      <c r="A280" s="2407" t="s">
        <v>304</v>
      </c>
      <c r="B280" s="2396" t="s">
        <v>2763</v>
      </c>
      <c r="C280" s="2397">
        <v>0.15</v>
      </c>
      <c r="D280" s="2397">
        <v>0.15</v>
      </c>
      <c r="E280" s="2397">
        <v>0.15</v>
      </c>
      <c r="F280" s="2397">
        <v>0.15</v>
      </c>
      <c r="G280" s="2398">
        <v>0.15</v>
      </c>
    </row>
    <row r="281" spans="1:7">
      <c r="A281" s="2407" t="s">
        <v>304</v>
      </c>
      <c r="B281" s="2396" t="s">
        <v>2767</v>
      </c>
      <c r="C281" s="2397">
        <v>0.15</v>
      </c>
      <c r="D281" s="2397">
        <v>0.15</v>
      </c>
      <c r="E281" s="2397">
        <v>0.15</v>
      </c>
      <c r="F281" s="2397">
        <v>0.15</v>
      </c>
      <c r="G281" s="2398">
        <v>0.15</v>
      </c>
    </row>
    <row r="282" spans="1:7">
      <c r="A282" s="2407" t="s">
        <v>304</v>
      </c>
      <c r="B282" s="2396" t="s">
        <v>2771</v>
      </c>
      <c r="C282" s="2397">
        <v>0.15</v>
      </c>
      <c r="D282" s="2397">
        <v>0.15</v>
      </c>
      <c r="E282" s="2397">
        <v>0.15</v>
      </c>
      <c r="F282" s="2397">
        <v>0.14499999999999999</v>
      </c>
      <c r="G282" s="2398">
        <v>0.15</v>
      </c>
    </row>
    <row r="283" spans="1:7">
      <c r="A283" s="2407" t="s">
        <v>304</v>
      </c>
      <c r="B283" s="2396" t="s">
        <v>172</v>
      </c>
      <c r="C283" s="2397">
        <v>0.15</v>
      </c>
      <c r="D283" s="2397">
        <v>0.15</v>
      </c>
      <c r="E283" s="2397">
        <v>0.15</v>
      </c>
      <c r="F283" s="2397">
        <v>0.14199999999999999</v>
      </c>
      <c r="G283" s="2398">
        <v>0.15</v>
      </c>
    </row>
    <row r="284" spans="1:7">
      <c r="A284" s="2407" t="s">
        <v>304</v>
      </c>
      <c r="B284" s="2396" t="s">
        <v>180</v>
      </c>
      <c r="C284" s="2397">
        <v>0.15</v>
      </c>
      <c r="D284" s="2397">
        <v>0.15</v>
      </c>
      <c r="E284" s="2397">
        <v>0.15</v>
      </c>
      <c r="F284" s="2397">
        <v>0.15</v>
      </c>
      <c r="G284" s="2398">
        <v>0.15</v>
      </c>
    </row>
    <row r="285" spans="1:7">
      <c r="A285" s="2407" t="s">
        <v>304</v>
      </c>
      <c r="B285" s="2396" t="s">
        <v>190</v>
      </c>
      <c r="C285" s="2397">
        <v>0.15</v>
      </c>
      <c r="D285" s="2397">
        <v>0.15</v>
      </c>
      <c r="E285" s="2397">
        <v>0.15</v>
      </c>
      <c r="F285" s="2397">
        <v>0.15</v>
      </c>
      <c r="G285" s="2398">
        <v>0.15</v>
      </c>
    </row>
    <row r="286" spans="1:7">
      <c r="A286" s="2407" t="s">
        <v>304</v>
      </c>
      <c r="B286" s="2396" t="s">
        <v>197</v>
      </c>
      <c r="C286" s="2397">
        <v>0.14499999999999999</v>
      </c>
      <c r="D286" s="2397">
        <v>0.14499999999999999</v>
      </c>
      <c r="E286" s="2397">
        <v>0.15</v>
      </c>
      <c r="F286" s="2397">
        <v>0.14099999999999999</v>
      </c>
      <c r="G286" s="2398">
        <v>0.14499999999999999</v>
      </c>
    </row>
    <row r="287" spans="1:7">
      <c r="A287" s="2407" t="s">
        <v>304</v>
      </c>
      <c r="B287" s="2396" t="s">
        <v>2786</v>
      </c>
      <c r="C287" s="2397">
        <v>0.11</v>
      </c>
      <c r="D287" s="2397">
        <v>0.111</v>
      </c>
      <c r="E287" s="2397">
        <v>0.14099999999999999</v>
      </c>
      <c r="F287" s="2397">
        <v>0.11</v>
      </c>
      <c r="G287" s="2398">
        <v>0.12</v>
      </c>
    </row>
    <row r="288" spans="1:7">
      <c r="A288" s="2407" t="s">
        <v>304</v>
      </c>
      <c r="B288" s="2396" t="s">
        <v>217</v>
      </c>
      <c r="C288" s="2397">
        <v>0.14199999999999999</v>
      </c>
      <c r="D288" s="2397">
        <v>0.14299999999999999</v>
      </c>
      <c r="E288" s="2397">
        <v>0.15</v>
      </c>
      <c r="F288" s="2397">
        <v>0.14199999999999999</v>
      </c>
      <c r="G288" s="2398">
        <v>0.14399999999999999</v>
      </c>
    </row>
    <row r="289" spans="1:7">
      <c r="A289" s="2407" t="s">
        <v>304</v>
      </c>
      <c r="B289" s="2396" t="s">
        <v>2791</v>
      </c>
      <c r="C289" s="2397">
        <v>0.14299999999999999</v>
      </c>
      <c r="D289" s="2397">
        <v>0.14299999999999999</v>
      </c>
      <c r="E289" s="2397">
        <v>0.14799999999999999</v>
      </c>
      <c r="F289" s="2397">
        <v>0.14399999999999999</v>
      </c>
      <c r="G289" s="2398">
        <v>0.14399999999999999</v>
      </c>
    </row>
    <row r="290" spans="1:7">
      <c r="A290" s="2407" t="s">
        <v>304</v>
      </c>
      <c r="B290" s="2396" t="s">
        <v>240</v>
      </c>
      <c r="C290" s="2397">
        <v>0.14799999999999999</v>
      </c>
      <c r="D290" s="2397">
        <v>0.14899999999999999</v>
      </c>
      <c r="E290" s="2397">
        <v>0.15</v>
      </c>
      <c r="F290" s="2397">
        <v>0.127</v>
      </c>
      <c r="G290" s="2398">
        <v>0.15</v>
      </c>
    </row>
    <row r="291" spans="1:7">
      <c r="A291" s="2407" t="s">
        <v>304</v>
      </c>
      <c r="B291" s="2396" t="s">
        <v>248</v>
      </c>
      <c r="C291" s="2397">
        <v>0.15</v>
      </c>
      <c r="D291" s="2397">
        <v>0.15</v>
      </c>
      <c r="E291" s="2397">
        <v>0.15</v>
      </c>
      <c r="F291" s="2397">
        <v>0.14899999999999999</v>
      </c>
      <c r="G291" s="2398">
        <v>0.15</v>
      </c>
    </row>
    <row r="292" spans="1:7">
      <c r="A292" s="2407" t="s">
        <v>304</v>
      </c>
      <c r="B292" s="2396" t="s">
        <v>254</v>
      </c>
      <c r="C292" s="2397">
        <v>0.15</v>
      </c>
      <c r="D292" s="2397">
        <v>0.15</v>
      </c>
      <c r="E292" s="2397">
        <v>0.15</v>
      </c>
      <c r="F292" s="2397">
        <v>0.14399999999999999</v>
      </c>
      <c r="G292" s="2398">
        <v>0.15</v>
      </c>
    </row>
    <row r="293" spans="1:7">
      <c r="A293" s="2407" t="s">
        <v>304</v>
      </c>
      <c r="B293" s="2396" t="s">
        <v>2801</v>
      </c>
      <c r="C293" s="2397">
        <v>0.15</v>
      </c>
      <c r="D293" s="2397">
        <v>0.15</v>
      </c>
      <c r="E293" s="2397">
        <v>0.15</v>
      </c>
      <c r="F293" s="2397">
        <v>0.14499999999999999</v>
      </c>
      <c r="G293" s="2398">
        <v>0.15</v>
      </c>
    </row>
    <row r="294" spans="1:7">
      <c r="A294" s="2407" t="s">
        <v>304</v>
      </c>
      <c r="B294" s="2396" t="s">
        <v>2803</v>
      </c>
      <c r="C294" s="2397">
        <v>0.15</v>
      </c>
      <c r="D294" s="2397">
        <v>0.15</v>
      </c>
      <c r="E294" s="2397">
        <v>0.15</v>
      </c>
      <c r="F294" s="2397">
        <v>0.14899999999999999</v>
      </c>
      <c r="G294" s="2398">
        <v>0.15</v>
      </c>
    </row>
    <row r="295" spans="1:7">
      <c r="A295" s="2407" t="s">
        <v>304</v>
      </c>
      <c r="B295" s="2396" t="s">
        <v>288</v>
      </c>
      <c r="C295" s="2397">
        <v>0.15</v>
      </c>
      <c r="D295" s="2397">
        <v>0.15</v>
      </c>
      <c r="E295" s="2397">
        <v>0.15</v>
      </c>
      <c r="F295" s="2397">
        <v>0.14799999999999999</v>
      </c>
      <c r="G295" s="2398">
        <v>0.15</v>
      </c>
    </row>
    <row r="296" spans="1:7">
      <c r="A296" s="2407" t="s">
        <v>304</v>
      </c>
      <c r="B296" s="2396" t="s">
        <v>291</v>
      </c>
      <c r="C296" s="2397">
        <v>0.15</v>
      </c>
      <c r="D296" s="2397">
        <v>0.15</v>
      </c>
      <c r="E296" s="2397">
        <v>0.15</v>
      </c>
      <c r="F296" s="2397">
        <v>0.14399999999999999</v>
      </c>
      <c r="G296" s="2398">
        <v>0.15</v>
      </c>
    </row>
    <row r="297" spans="1:7">
      <c r="A297" s="2407" t="s">
        <v>304</v>
      </c>
      <c r="B297" s="2396" t="s">
        <v>293</v>
      </c>
      <c r="C297" s="2397">
        <v>0.15</v>
      </c>
      <c r="D297" s="2397">
        <v>0.15</v>
      </c>
      <c r="E297" s="2397">
        <v>0.15</v>
      </c>
      <c r="F297" s="2397">
        <v>0.14499999999999999</v>
      </c>
      <c r="G297" s="2398">
        <v>0.15</v>
      </c>
    </row>
    <row r="298" spans="1:7">
      <c r="A298" s="2407" t="s">
        <v>304</v>
      </c>
      <c r="B298" s="2396" t="s">
        <v>296</v>
      </c>
      <c r="C298" s="2397">
        <v>0.15</v>
      </c>
      <c r="D298" s="2397">
        <v>0.15</v>
      </c>
      <c r="E298" s="2397">
        <v>0.15</v>
      </c>
      <c r="F298" s="2397">
        <v>0.15</v>
      </c>
      <c r="G298" s="2398">
        <v>0.15</v>
      </c>
    </row>
    <row r="299" spans="1:7">
      <c r="A299" s="2407" t="s">
        <v>304</v>
      </c>
      <c r="B299" s="2416" t="s">
        <v>2820</v>
      </c>
      <c r="C299" s="2397">
        <v>0.15</v>
      </c>
      <c r="D299" s="2397">
        <v>0.15</v>
      </c>
      <c r="E299" s="2397">
        <v>0.15</v>
      </c>
      <c r="F299" s="2397">
        <v>0.14499999999999999</v>
      </c>
      <c r="G299" s="2398">
        <v>0.15</v>
      </c>
    </row>
    <row r="300" spans="1:7">
      <c r="A300" s="2407" t="s">
        <v>304</v>
      </c>
      <c r="B300" s="2416" t="s">
        <v>269</v>
      </c>
      <c r="C300" s="2397">
        <v>0.15</v>
      </c>
      <c r="D300" s="2397">
        <v>0.15</v>
      </c>
      <c r="E300" s="2397">
        <v>0.15</v>
      </c>
      <c r="F300" s="2397">
        <v>0.14599999999999999</v>
      </c>
      <c r="G300" s="2398">
        <v>0.15</v>
      </c>
    </row>
    <row r="301" spans="1:7">
      <c r="A301" s="2407" t="s">
        <v>304</v>
      </c>
      <c r="B301" s="2416" t="s">
        <v>274</v>
      </c>
      <c r="C301" s="2397">
        <v>0.126</v>
      </c>
      <c r="D301" s="2397">
        <v>0.124</v>
      </c>
      <c r="E301" s="2397">
        <v>0.14099999999999999</v>
      </c>
      <c r="F301" s="2397">
        <v>0.14399999999999999</v>
      </c>
      <c r="G301" s="2398">
        <v>0.13</v>
      </c>
    </row>
    <row r="302" spans="1:7">
      <c r="A302" s="2407" t="s">
        <v>304</v>
      </c>
      <c r="B302" s="2396" t="s">
        <v>2833</v>
      </c>
      <c r="C302" s="2397">
        <v>0.15</v>
      </c>
      <c r="D302" s="2397">
        <v>0.15</v>
      </c>
      <c r="E302" s="2397">
        <v>0.15</v>
      </c>
      <c r="F302" s="2397">
        <v>0.14699999999999999</v>
      </c>
      <c r="G302" s="2398">
        <v>0.15</v>
      </c>
    </row>
    <row r="303" spans="1:7">
      <c r="A303" s="2407" t="s">
        <v>304</v>
      </c>
      <c r="B303" s="2396" t="s">
        <v>2840</v>
      </c>
      <c r="C303" s="2397">
        <v>0.15</v>
      </c>
      <c r="D303" s="2397">
        <v>0.15</v>
      </c>
      <c r="E303" s="2397">
        <v>0.15</v>
      </c>
      <c r="F303" s="2397">
        <v>0.14199999999999999</v>
      </c>
      <c r="G303" s="2398">
        <v>0.15</v>
      </c>
    </row>
    <row r="304" spans="1:7">
      <c r="A304" s="2407" t="s">
        <v>304</v>
      </c>
      <c r="B304" s="2396" t="s">
        <v>2847</v>
      </c>
      <c r="C304" s="2397">
        <v>0.15</v>
      </c>
      <c r="D304" s="2397">
        <v>0.15</v>
      </c>
      <c r="E304" s="2397">
        <v>0.15</v>
      </c>
      <c r="F304" s="2397">
        <v>0.14499999999999999</v>
      </c>
      <c r="G304" s="2398">
        <v>0.15</v>
      </c>
    </row>
    <row r="305" spans="1:7">
      <c r="A305" s="2407" t="s">
        <v>304</v>
      </c>
      <c r="B305" s="2396" t="s">
        <v>2853</v>
      </c>
      <c r="C305" s="2397">
        <v>0.15</v>
      </c>
      <c r="D305" s="2397">
        <v>0.15</v>
      </c>
      <c r="E305" s="2397">
        <v>0.15</v>
      </c>
      <c r="F305" s="2397">
        <v>0.111</v>
      </c>
      <c r="G305" s="2398">
        <v>0.15</v>
      </c>
    </row>
    <row r="306" spans="1:7">
      <c r="A306" s="2407" t="s">
        <v>304</v>
      </c>
      <c r="B306" s="2396" t="s">
        <v>2860</v>
      </c>
      <c r="C306" s="2397">
        <v>0.15</v>
      </c>
      <c r="D306" s="2397">
        <v>0.15</v>
      </c>
      <c r="E306" s="2397">
        <v>0.15</v>
      </c>
      <c r="F306" s="2397">
        <v>0.126</v>
      </c>
      <c r="G306" s="2398">
        <v>0.15</v>
      </c>
    </row>
    <row r="307" spans="1:7">
      <c r="A307" s="2407" t="s">
        <v>304</v>
      </c>
      <c r="B307" s="2396" t="s">
        <v>2865</v>
      </c>
      <c r="C307" s="2397">
        <v>0.15</v>
      </c>
      <c r="D307" s="2397">
        <v>0.15</v>
      </c>
      <c r="E307" s="2397">
        <v>0.15</v>
      </c>
      <c r="F307" s="2397">
        <v>0.12</v>
      </c>
      <c r="G307" s="2398">
        <v>0.15</v>
      </c>
    </row>
    <row r="308" spans="1:7">
      <c r="A308" s="2407" t="s">
        <v>304</v>
      </c>
      <c r="B308" s="2396" t="s">
        <v>2871</v>
      </c>
      <c r="C308" s="2397">
        <v>0.15</v>
      </c>
      <c r="D308" s="2397">
        <v>0.15</v>
      </c>
      <c r="E308" s="2397">
        <v>0.15</v>
      </c>
      <c r="F308" s="2397">
        <v>0.13</v>
      </c>
      <c r="G308" s="2398">
        <v>0.15</v>
      </c>
    </row>
    <row r="309" spans="1:7">
      <c r="A309" s="2407" t="s">
        <v>304</v>
      </c>
      <c r="B309" s="2396" t="s">
        <v>2875</v>
      </c>
      <c r="C309" s="2397">
        <v>0.15</v>
      </c>
      <c r="D309" s="2397">
        <v>0.15</v>
      </c>
      <c r="E309" s="2397">
        <v>0.15</v>
      </c>
      <c r="F309" s="2397">
        <v>0.14099999999999999</v>
      </c>
      <c r="G309" s="2398">
        <v>0.15</v>
      </c>
    </row>
    <row r="310" spans="1:7">
      <c r="A310" s="2407" t="s">
        <v>304</v>
      </c>
      <c r="B310" s="2396" t="s">
        <v>2880</v>
      </c>
      <c r="C310" s="2397">
        <v>0.15</v>
      </c>
      <c r="D310" s="2397">
        <v>0.15</v>
      </c>
      <c r="E310" s="2397">
        <v>0.15</v>
      </c>
      <c r="F310" s="2397">
        <v>0.15</v>
      </c>
      <c r="G310" s="2398">
        <v>0.15</v>
      </c>
    </row>
    <row r="311" spans="1:7">
      <c r="A311" s="2407" t="s">
        <v>304</v>
      </c>
      <c r="B311" s="2396" t="s">
        <v>2885</v>
      </c>
      <c r="C311" s="2397">
        <v>0.13200000000000001</v>
      </c>
      <c r="D311" s="2397">
        <v>0.13300000000000001</v>
      </c>
      <c r="E311" s="2397">
        <v>0.14499999999999999</v>
      </c>
      <c r="F311" s="2397">
        <v>0.14199999999999999</v>
      </c>
      <c r="G311" s="2398">
        <v>0.14000000000000001</v>
      </c>
    </row>
    <row r="312" spans="1:7">
      <c r="A312" s="2407" t="s">
        <v>304</v>
      </c>
      <c r="B312" s="2396" t="s">
        <v>2890</v>
      </c>
      <c r="C312" s="2397">
        <v>0.13800000000000001</v>
      </c>
      <c r="D312" s="2397">
        <v>0.14000000000000001</v>
      </c>
      <c r="E312" s="2397">
        <v>0.14599999999999999</v>
      </c>
      <c r="F312" s="2397">
        <v>0.14899999999999999</v>
      </c>
      <c r="G312" s="2398">
        <v>0.14199999999999999</v>
      </c>
    </row>
    <row r="313" spans="1:7">
      <c r="A313" s="2407" t="s">
        <v>304</v>
      </c>
      <c r="B313" s="2396" t="s">
        <v>2895</v>
      </c>
      <c r="C313" s="2397">
        <v>0.125</v>
      </c>
      <c r="D313" s="2397">
        <v>0.127</v>
      </c>
      <c r="E313" s="2397">
        <v>0.14399999999999999</v>
      </c>
      <c r="F313" s="2397">
        <v>0.115</v>
      </c>
      <c r="G313" s="2398">
        <v>0.13600000000000001</v>
      </c>
    </row>
    <row r="314" spans="1:7">
      <c r="A314" s="2407" t="s">
        <v>304</v>
      </c>
      <c r="B314" s="2396" t="s">
        <v>3104</v>
      </c>
      <c r="C314" s="2413"/>
      <c r="D314" s="2413"/>
      <c r="E314" s="2413"/>
      <c r="F314" s="2397">
        <v>0.05</v>
      </c>
      <c r="G314" s="2414"/>
    </row>
    <row r="315" spans="1:7">
      <c r="A315" s="2407" t="s">
        <v>304</v>
      </c>
      <c r="B315" s="2396" t="s">
        <v>3105</v>
      </c>
      <c r="C315" s="2413"/>
      <c r="D315" s="2413"/>
      <c r="E315" s="2413"/>
      <c r="F315" s="2397">
        <v>0.05</v>
      </c>
      <c r="G315" s="2414"/>
    </row>
    <row r="316" spans="1:7">
      <c r="A316" s="2407" t="s">
        <v>304</v>
      </c>
      <c r="B316" s="2396" t="s">
        <v>3106</v>
      </c>
      <c r="C316" s="2408"/>
      <c r="D316" s="2408"/>
      <c r="E316" s="2408"/>
      <c r="F316" s="2397">
        <v>0.05</v>
      </c>
      <c r="G316" s="2414"/>
    </row>
    <row r="317" spans="1:7">
      <c r="A317" s="2407" t="s">
        <v>304</v>
      </c>
      <c r="B317" s="2396" t="s">
        <v>3107</v>
      </c>
      <c r="C317" s="2408"/>
      <c r="D317" s="2408"/>
      <c r="E317" s="2408"/>
      <c r="F317" s="2397">
        <v>0.05</v>
      </c>
      <c r="G317" s="2414"/>
    </row>
    <row r="318" spans="1:7">
      <c r="A318" s="2407" t="s">
        <v>304</v>
      </c>
      <c r="B318" s="2396" t="s">
        <v>3108</v>
      </c>
      <c r="C318" s="2408"/>
      <c r="D318" s="2408"/>
      <c r="E318" s="2408"/>
      <c r="F318" s="2397">
        <v>0.05</v>
      </c>
      <c r="G318" s="2414"/>
    </row>
    <row r="319" spans="1:7">
      <c r="A319" s="2407" t="s">
        <v>304</v>
      </c>
      <c r="B319" s="2396" t="s">
        <v>3109</v>
      </c>
      <c r="C319" s="2408"/>
      <c r="D319" s="2408"/>
      <c r="E319" s="2408"/>
      <c r="F319" s="2397">
        <v>0.05</v>
      </c>
      <c r="G319" s="2414"/>
    </row>
    <row r="320" spans="1:7">
      <c r="A320" s="2407" t="s">
        <v>304</v>
      </c>
      <c r="B320" s="2396" t="s">
        <v>3110</v>
      </c>
      <c r="C320" s="2408"/>
      <c r="D320" s="2408"/>
      <c r="E320" s="2408"/>
      <c r="F320" s="2397">
        <v>0.05</v>
      </c>
      <c r="G320" s="2414"/>
    </row>
    <row r="321" spans="1:7">
      <c r="A321" s="2407" t="s">
        <v>304</v>
      </c>
      <c r="B321" s="2396" t="s">
        <v>3111</v>
      </c>
      <c r="C321" s="2408"/>
      <c r="D321" s="2408"/>
      <c r="E321" s="2408"/>
      <c r="F321" s="2397">
        <v>0.05</v>
      </c>
      <c r="G321" s="2414"/>
    </row>
    <row r="322" spans="1:7">
      <c r="A322" s="2407" t="s">
        <v>304</v>
      </c>
      <c r="B322" s="2396" t="s">
        <v>3112</v>
      </c>
      <c r="C322" s="2408"/>
      <c r="D322" s="2408"/>
      <c r="E322" s="2408"/>
      <c r="F322" s="2397">
        <v>0.05</v>
      </c>
      <c r="G322" s="2414"/>
    </row>
    <row r="323" spans="1:7">
      <c r="A323" s="2407" t="s">
        <v>304</v>
      </c>
      <c r="B323" s="2396" t="s">
        <v>3113</v>
      </c>
      <c r="C323" s="2408"/>
      <c r="D323" s="2408"/>
      <c r="E323" s="2408"/>
      <c r="F323" s="2397">
        <v>0.05</v>
      </c>
      <c r="G323" s="2414"/>
    </row>
    <row r="324" spans="1:7">
      <c r="A324" s="2407" t="s">
        <v>304</v>
      </c>
      <c r="B324" s="2396" t="s">
        <v>3114</v>
      </c>
      <c r="C324" s="2408"/>
      <c r="D324" s="2408"/>
      <c r="E324" s="2408"/>
      <c r="F324" s="2397">
        <v>0.05</v>
      </c>
      <c r="G324" s="2414"/>
    </row>
    <row r="325" spans="1:7">
      <c r="A325" s="2407" t="s">
        <v>304</v>
      </c>
      <c r="B325" s="2396" t="s">
        <v>3115</v>
      </c>
      <c r="C325" s="2408"/>
      <c r="D325" s="2408"/>
      <c r="E325" s="2408"/>
      <c r="F325" s="2397">
        <v>0.05</v>
      </c>
      <c r="G325" s="2414"/>
    </row>
    <row r="326" spans="1:7" ht="14.25" thickBot="1">
      <c r="A326" s="2410" t="s">
        <v>304</v>
      </c>
      <c r="B326" s="2400" t="s">
        <v>3116</v>
      </c>
      <c r="C326" s="2402"/>
      <c r="D326" s="2402"/>
      <c r="E326" s="2402"/>
      <c r="F326" s="2401">
        <v>0.05</v>
      </c>
      <c r="G326" s="2415"/>
    </row>
    <row r="327" spans="1:7">
      <c r="A327" s="2406" t="s">
        <v>305</v>
      </c>
      <c r="B327" s="2392" t="s">
        <v>2748</v>
      </c>
      <c r="C327" s="2393">
        <v>0.15</v>
      </c>
      <c r="D327" s="2393">
        <v>0.15</v>
      </c>
      <c r="E327" s="2393">
        <v>0.15</v>
      </c>
      <c r="F327" s="2393">
        <v>0.15</v>
      </c>
      <c r="G327" s="2394">
        <v>0.15</v>
      </c>
    </row>
    <row r="328" spans="1:7">
      <c r="A328" s="2407" t="s">
        <v>305</v>
      </c>
      <c r="B328" s="2396" t="s">
        <v>134</v>
      </c>
      <c r="C328" s="2397">
        <v>0.15</v>
      </c>
      <c r="D328" s="2397">
        <v>0.15</v>
      </c>
      <c r="E328" s="2397">
        <v>0.15</v>
      </c>
      <c r="F328" s="2397">
        <v>0.126</v>
      </c>
      <c r="G328" s="2398">
        <v>0.15</v>
      </c>
    </row>
    <row r="329" spans="1:7">
      <c r="A329" s="2407" t="s">
        <v>305</v>
      </c>
      <c r="B329" s="2396" t="s">
        <v>2760</v>
      </c>
      <c r="C329" s="2397">
        <v>0.15</v>
      </c>
      <c r="D329" s="2397">
        <v>0.15</v>
      </c>
      <c r="E329" s="2397">
        <v>0.15</v>
      </c>
      <c r="F329" s="2397">
        <v>0.15</v>
      </c>
      <c r="G329" s="2398">
        <v>0.15</v>
      </c>
    </row>
    <row r="330" spans="1:7">
      <c r="A330" s="2407" t="s">
        <v>305</v>
      </c>
      <c r="B330" s="2396" t="s">
        <v>2764</v>
      </c>
      <c r="C330" s="2397">
        <v>0.15</v>
      </c>
      <c r="D330" s="2397">
        <v>0.15</v>
      </c>
      <c r="E330" s="2397">
        <v>0.15</v>
      </c>
      <c r="F330" s="2397">
        <v>0.15</v>
      </c>
      <c r="G330" s="2398">
        <v>0.15</v>
      </c>
    </row>
    <row r="331" spans="1:7">
      <c r="A331" s="2407" t="s">
        <v>305</v>
      </c>
      <c r="B331" s="2396" t="s">
        <v>159</v>
      </c>
      <c r="C331" s="2397">
        <v>0.15</v>
      </c>
      <c r="D331" s="2397">
        <v>0.15</v>
      </c>
      <c r="E331" s="2397">
        <v>0.15</v>
      </c>
      <c r="F331" s="2397">
        <v>0.15</v>
      </c>
      <c r="G331" s="2398">
        <v>0.15</v>
      </c>
    </row>
    <row r="332" spans="1:7">
      <c r="A332" s="2407" t="s">
        <v>305</v>
      </c>
      <c r="B332" s="2396" t="s">
        <v>2772</v>
      </c>
      <c r="C332" s="2397">
        <v>0.15</v>
      </c>
      <c r="D332" s="2397">
        <v>0.15</v>
      </c>
      <c r="E332" s="2397">
        <v>0.15</v>
      </c>
      <c r="F332" s="2397">
        <v>0.15</v>
      </c>
      <c r="G332" s="2398">
        <v>0.15</v>
      </c>
    </row>
    <row r="333" spans="1:7">
      <c r="A333" s="2407" t="s">
        <v>305</v>
      </c>
      <c r="B333" s="2396" t="s">
        <v>2776</v>
      </c>
      <c r="C333" s="2397">
        <v>0.14899999999999999</v>
      </c>
      <c r="D333" s="2397">
        <v>0.14899999999999999</v>
      </c>
      <c r="E333" s="2397">
        <v>0.15</v>
      </c>
      <c r="F333" s="2397">
        <v>0.11600000000000001</v>
      </c>
      <c r="G333" s="2398">
        <v>0.15</v>
      </c>
    </row>
    <row r="334" spans="1:7">
      <c r="A334" s="2407" t="s">
        <v>305</v>
      </c>
      <c r="B334" s="2396" t="s">
        <v>181</v>
      </c>
      <c r="C334" s="2397">
        <v>0.15</v>
      </c>
      <c r="D334" s="2397">
        <v>0.15</v>
      </c>
      <c r="E334" s="2397">
        <v>0.15</v>
      </c>
      <c r="F334" s="2397">
        <v>0.13</v>
      </c>
      <c r="G334" s="2398">
        <v>0.15</v>
      </c>
    </row>
    <row r="335" spans="1:7">
      <c r="A335" s="2407" t="s">
        <v>305</v>
      </c>
      <c r="B335" s="2396" t="s">
        <v>191</v>
      </c>
      <c r="C335" s="2397">
        <v>0.15</v>
      </c>
      <c r="D335" s="2397">
        <v>0.15</v>
      </c>
      <c r="E335" s="2397">
        <v>0.15</v>
      </c>
      <c r="F335" s="2397">
        <v>0.14399999999999999</v>
      </c>
      <c r="G335" s="2398">
        <v>0.15</v>
      </c>
    </row>
    <row r="336" spans="1:7">
      <c r="A336" s="2407" t="s">
        <v>305</v>
      </c>
      <c r="B336" s="2396" t="s">
        <v>2782</v>
      </c>
      <c r="C336" s="2397">
        <v>0.15</v>
      </c>
      <c r="D336" s="2397">
        <v>0.15</v>
      </c>
      <c r="E336" s="2397">
        <v>0.15</v>
      </c>
      <c r="F336" s="2397">
        <v>0.14199999999999999</v>
      </c>
      <c r="G336" s="2398">
        <v>0.15</v>
      </c>
    </row>
    <row r="337" spans="1:7">
      <c r="A337" s="2407" t="s">
        <v>305</v>
      </c>
      <c r="B337" s="2396" t="s">
        <v>2787</v>
      </c>
      <c r="C337" s="2397">
        <v>0.15</v>
      </c>
      <c r="D337" s="2397">
        <v>0.15</v>
      </c>
      <c r="E337" s="2397">
        <v>0.15</v>
      </c>
      <c r="F337" s="2397">
        <v>0.14499999999999999</v>
      </c>
      <c r="G337" s="2398">
        <v>0.15</v>
      </c>
    </row>
    <row r="338" spans="1:7">
      <c r="A338" s="2407" t="s">
        <v>305</v>
      </c>
      <c r="B338" s="2396" t="s">
        <v>218</v>
      </c>
      <c r="C338" s="2397">
        <v>0.15</v>
      </c>
      <c r="D338" s="2397">
        <v>0.15</v>
      </c>
      <c r="E338" s="2397">
        <v>0.15</v>
      </c>
      <c r="F338" s="2397">
        <v>0.15</v>
      </c>
      <c r="G338" s="2398">
        <v>0.15</v>
      </c>
    </row>
    <row r="339" spans="1:7">
      <c r="A339" s="2407" t="s">
        <v>305</v>
      </c>
      <c r="B339" s="2396" t="s">
        <v>226</v>
      </c>
      <c r="C339" s="2397">
        <v>0.15</v>
      </c>
      <c r="D339" s="2397">
        <v>0.15</v>
      </c>
      <c r="E339" s="2397">
        <v>0.15</v>
      </c>
      <c r="F339" s="2397">
        <v>0.14699999999999999</v>
      </c>
      <c r="G339" s="2398">
        <v>0.15</v>
      </c>
    </row>
    <row r="340" spans="1:7">
      <c r="A340" s="2407" t="s">
        <v>305</v>
      </c>
      <c r="B340" s="2396" t="s">
        <v>2794</v>
      </c>
      <c r="C340" s="2397">
        <v>0.14599999999999999</v>
      </c>
      <c r="D340" s="2397">
        <v>0.14599999999999999</v>
      </c>
      <c r="E340" s="2397">
        <v>0.15</v>
      </c>
      <c r="F340" s="2397">
        <v>0.14099999999999999</v>
      </c>
      <c r="G340" s="2398">
        <v>0.14699999999999999</v>
      </c>
    </row>
    <row r="341" spans="1:7">
      <c r="A341" s="2407" t="s">
        <v>305</v>
      </c>
      <c r="B341" s="2396" t="s">
        <v>205</v>
      </c>
      <c r="C341" s="2397">
        <v>0.126</v>
      </c>
      <c r="D341" s="2397">
        <v>0.124</v>
      </c>
      <c r="E341" s="2397">
        <v>0.14099999999999999</v>
      </c>
      <c r="F341" s="2397">
        <v>0.14399999999999999</v>
      </c>
      <c r="G341" s="2398">
        <v>0.13</v>
      </c>
    </row>
    <row r="342" spans="1:7">
      <c r="A342" s="2407" t="s">
        <v>305</v>
      </c>
      <c r="B342" s="2396" t="s">
        <v>2799</v>
      </c>
      <c r="C342" s="2397">
        <v>0.15</v>
      </c>
      <c r="D342" s="2397">
        <v>0.15</v>
      </c>
      <c r="E342" s="2397">
        <v>0.15</v>
      </c>
      <c r="F342" s="2397">
        <v>0.14399999999999999</v>
      </c>
      <c r="G342" s="2398">
        <v>0.15</v>
      </c>
    </row>
    <row r="343" spans="1:7">
      <c r="A343" s="2407" t="s">
        <v>305</v>
      </c>
      <c r="B343" s="2396" t="s">
        <v>255</v>
      </c>
      <c r="C343" s="2397">
        <v>0.15</v>
      </c>
      <c r="D343" s="2397">
        <v>0.15</v>
      </c>
      <c r="E343" s="2397">
        <v>0.15</v>
      </c>
      <c r="F343" s="2397">
        <v>0.128</v>
      </c>
      <c r="G343" s="2398">
        <v>0.15</v>
      </c>
    </row>
    <row r="344" spans="1:7">
      <c r="A344" s="2407" t="s">
        <v>305</v>
      </c>
      <c r="B344" s="2396" t="s">
        <v>263</v>
      </c>
      <c r="C344" s="2397">
        <v>0.15</v>
      </c>
      <c r="D344" s="2397">
        <v>0.15</v>
      </c>
      <c r="E344" s="2397">
        <v>0.15</v>
      </c>
      <c r="F344" s="2397">
        <v>0.14799999999999999</v>
      </c>
      <c r="G344" s="2398">
        <v>0.15</v>
      </c>
    </row>
    <row r="345" spans="1:7">
      <c r="A345" s="2407" t="s">
        <v>305</v>
      </c>
      <c r="B345" s="2396" t="s">
        <v>2807</v>
      </c>
      <c r="C345" s="2397">
        <v>0.15</v>
      </c>
      <c r="D345" s="2397">
        <v>0.15</v>
      </c>
      <c r="E345" s="2397">
        <v>0.15</v>
      </c>
      <c r="F345" s="2397">
        <v>0.13800000000000001</v>
      </c>
      <c r="G345" s="2398">
        <v>0.15</v>
      </c>
    </row>
    <row r="346" spans="1:7">
      <c r="A346" s="2407" t="s">
        <v>305</v>
      </c>
      <c r="B346" s="2396" t="s">
        <v>2809</v>
      </c>
      <c r="C346" s="2397">
        <v>0.15</v>
      </c>
      <c r="D346" s="2397">
        <v>0.15</v>
      </c>
      <c r="E346" s="2397">
        <v>0.15</v>
      </c>
      <c r="F346" s="2397">
        <v>0.14399999999999999</v>
      </c>
      <c r="G346" s="2398">
        <v>0.15</v>
      </c>
    </row>
    <row r="347" spans="1:7">
      <c r="A347" s="2407" t="s">
        <v>305</v>
      </c>
      <c r="B347" s="2396" t="s">
        <v>241</v>
      </c>
      <c r="C347" s="2397">
        <v>0.15</v>
      </c>
      <c r="D347" s="2397">
        <v>0.15</v>
      </c>
      <c r="E347" s="2397">
        <v>0.15</v>
      </c>
      <c r="F347" s="2397">
        <v>0.14599999999999999</v>
      </c>
      <c r="G347" s="2398">
        <v>0.15</v>
      </c>
    </row>
    <row r="348" spans="1:7">
      <c r="A348" s="2407" t="s">
        <v>305</v>
      </c>
      <c r="B348" s="2396" t="s">
        <v>2816</v>
      </c>
      <c r="C348" s="2397">
        <v>0.15</v>
      </c>
      <c r="D348" s="2397">
        <v>0.15</v>
      </c>
      <c r="E348" s="2397">
        <v>0.15</v>
      </c>
      <c r="F348" s="2397">
        <v>0.14399999999999999</v>
      </c>
      <c r="G348" s="2398">
        <v>0.15</v>
      </c>
    </row>
    <row r="349" spans="1:7">
      <c r="A349" s="2407" t="s">
        <v>305</v>
      </c>
      <c r="B349" s="2396" t="s">
        <v>2821</v>
      </c>
      <c r="C349" s="2397">
        <v>0.15</v>
      </c>
      <c r="D349" s="2397">
        <v>0.15</v>
      </c>
      <c r="E349" s="2397">
        <v>0.15</v>
      </c>
      <c r="F349" s="2397">
        <v>0.15</v>
      </c>
      <c r="G349" s="2398">
        <v>0.15</v>
      </c>
    </row>
    <row r="350" spans="1:7">
      <c r="A350" s="2407" t="s">
        <v>305</v>
      </c>
      <c r="B350" s="2396" t="s">
        <v>2824</v>
      </c>
      <c r="C350" s="2397">
        <v>0.15</v>
      </c>
      <c r="D350" s="2397">
        <v>0.15</v>
      </c>
      <c r="E350" s="2397">
        <v>0.15</v>
      </c>
      <c r="F350" s="2397">
        <v>0.14699999999999999</v>
      </c>
      <c r="G350" s="2398">
        <v>0.15</v>
      </c>
    </row>
    <row r="351" spans="1:7">
      <c r="A351" s="2407" t="s">
        <v>305</v>
      </c>
      <c r="B351" s="2396" t="s">
        <v>2829</v>
      </c>
      <c r="C351" s="2397">
        <v>0.15</v>
      </c>
      <c r="D351" s="2397">
        <v>0.15</v>
      </c>
      <c r="E351" s="2397">
        <v>0.15</v>
      </c>
      <c r="F351" s="2397">
        <v>0.13</v>
      </c>
      <c r="G351" s="2398">
        <v>0.15</v>
      </c>
    </row>
    <row r="352" spans="1:7">
      <c r="A352" s="2407" t="s">
        <v>305</v>
      </c>
      <c r="B352" s="2396" t="s">
        <v>2834</v>
      </c>
      <c r="C352" s="2397">
        <v>0.15</v>
      </c>
      <c r="D352" s="2397">
        <v>0.15</v>
      </c>
      <c r="E352" s="2397">
        <v>0.15</v>
      </c>
      <c r="F352" s="2397">
        <v>0.14599999999999999</v>
      </c>
      <c r="G352" s="2398">
        <v>0.15</v>
      </c>
    </row>
    <row r="353" spans="1:7">
      <c r="A353" s="2407" t="s">
        <v>305</v>
      </c>
      <c r="B353" s="2396" t="s">
        <v>2841</v>
      </c>
      <c r="C353" s="2397">
        <v>0.15</v>
      </c>
      <c r="D353" s="2397">
        <v>0.15</v>
      </c>
      <c r="E353" s="2397">
        <v>0.15</v>
      </c>
      <c r="F353" s="2397">
        <v>0.14499999999999999</v>
      </c>
      <c r="G353" s="2398">
        <v>0.15</v>
      </c>
    </row>
    <row r="354" spans="1:7">
      <c r="A354" s="2407" t="s">
        <v>305</v>
      </c>
      <c r="B354" s="2396" t="s">
        <v>278</v>
      </c>
      <c r="C354" s="2397">
        <v>0.15</v>
      </c>
      <c r="D354" s="2397">
        <v>0.15</v>
      </c>
      <c r="E354" s="2397">
        <v>0.15</v>
      </c>
      <c r="F354" s="2397">
        <v>0.14099999999999999</v>
      </c>
      <c r="G354" s="2398">
        <v>0.15</v>
      </c>
    </row>
    <row r="355" spans="1:7">
      <c r="A355" s="2407" t="s">
        <v>305</v>
      </c>
      <c r="B355" s="2396" t="s">
        <v>2854</v>
      </c>
      <c r="C355" s="2397">
        <v>0.15</v>
      </c>
      <c r="D355" s="2397">
        <v>0.15</v>
      </c>
      <c r="E355" s="2397">
        <v>0.15</v>
      </c>
      <c r="F355" s="2397">
        <v>0.15</v>
      </c>
      <c r="G355" s="2398">
        <v>0.15</v>
      </c>
    </row>
    <row r="356" spans="1:7">
      <c r="A356" s="2407" t="s">
        <v>305</v>
      </c>
      <c r="B356" s="2396" t="s">
        <v>2861</v>
      </c>
      <c r="C356" s="2397">
        <v>0.15</v>
      </c>
      <c r="D356" s="2397">
        <v>0.15</v>
      </c>
      <c r="E356" s="2397">
        <v>0.15</v>
      </c>
      <c r="F356" s="2397">
        <v>0.15</v>
      </c>
      <c r="G356" s="2398">
        <v>0.15</v>
      </c>
    </row>
    <row r="357" spans="1:7" ht="14.25" thickBot="1">
      <c r="A357" s="2410" t="s">
        <v>305</v>
      </c>
      <c r="B357" s="2400" t="s">
        <v>2866</v>
      </c>
      <c r="C357" s="2401">
        <v>0.126</v>
      </c>
      <c r="D357" s="2401">
        <v>0.127</v>
      </c>
      <c r="E357" s="2401">
        <v>0.14299999999999999</v>
      </c>
      <c r="F357" s="2401">
        <v>0.125</v>
      </c>
      <c r="G357" s="2403">
        <v>0.129</v>
      </c>
    </row>
    <row r="358" spans="1:7">
      <c r="A358" s="2406" t="s">
        <v>2735</v>
      </c>
      <c r="B358" s="2392" t="s">
        <v>2749</v>
      </c>
      <c r="C358" s="2393">
        <v>0.15</v>
      </c>
      <c r="D358" s="2393">
        <v>0.15</v>
      </c>
      <c r="E358" s="2393">
        <v>0.15</v>
      </c>
      <c r="F358" s="2393">
        <v>0.15</v>
      </c>
      <c r="G358" s="2394">
        <v>0.15</v>
      </c>
    </row>
    <row r="359" spans="1:7">
      <c r="A359" s="2407" t="s">
        <v>2735</v>
      </c>
      <c r="B359" s="2396" t="s">
        <v>2755</v>
      </c>
      <c r="C359" s="2397">
        <v>0.1</v>
      </c>
      <c r="D359" s="2397">
        <v>0.1</v>
      </c>
      <c r="E359" s="2397">
        <v>0.1</v>
      </c>
      <c r="F359" s="2397">
        <v>0.1</v>
      </c>
      <c r="G359" s="2398">
        <v>0.1</v>
      </c>
    </row>
    <row r="360" spans="1:7">
      <c r="A360" s="2407" t="s">
        <v>2735</v>
      </c>
      <c r="B360" s="2396" t="s">
        <v>2761</v>
      </c>
      <c r="C360" s="2397">
        <v>0.15</v>
      </c>
      <c r="D360" s="2397">
        <v>0.15</v>
      </c>
      <c r="E360" s="2397">
        <v>0.15</v>
      </c>
      <c r="F360" s="2397">
        <v>0.14899999999999999</v>
      </c>
      <c r="G360" s="2398">
        <v>0.15</v>
      </c>
    </row>
    <row r="361" spans="1:7">
      <c r="A361" s="2407" t="s">
        <v>2735</v>
      </c>
      <c r="B361" s="2396" t="s">
        <v>151</v>
      </c>
      <c r="C361" s="2397">
        <v>0.15</v>
      </c>
      <c r="D361" s="2397">
        <v>0.15</v>
      </c>
      <c r="E361" s="2397">
        <v>0.15</v>
      </c>
      <c r="F361" s="2397">
        <v>0.115</v>
      </c>
      <c r="G361" s="2398">
        <v>0.15</v>
      </c>
    </row>
    <row r="362" spans="1:7">
      <c r="A362" s="2407" t="s">
        <v>2735</v>
      </c>
      <c r="B362" s="2396" t="s">
        <v>2768</v>
      </c>
      <c r="C362" s="2397">
        <v>0.15</v>
      </c>
      <c r="D362" s="2397">
        <v>0.15</v>
      </c>
      <c r="E362" s="2397">
        <v>0.15</v>
      </c>
      <c r="F362" s="2397">
        <v>0.106</v>
      </c>
      <c r="G362" s="2398">
        <v>0.15</v>
      </c>
    </row>
    <row r="363" spans="1:7">
      <c r="A363" s="2407" t="s">
        <v>2735</v>
      </c>
      <c r="B363" s="2396" t="s">
        <v>2773</v>
      </c>
      <c r="C363" s="2397">
        <v>0.15</v>
      </c>
      <c r="D363" s="2397">
        <v>0.15</v>
      </c>
      <c r="E363" s="2397">
        <v>0.15</v>
      </c>
      <c r="F363" s="2397">
        <v>0.14699999999999999</v>
      </c>
      <c r="G363" s="2398">
        <v>0.15</v>
      </c>
    </row>
    <row r="364" spans="1:7">
      <c r="A364" s="2407" t="s">
        <v>2735</v>
      </c>
      <c r="B364" s="2396" t="s">
        <v>2777</v>
      </c>
      <c r="C364" s="2397">
        <v>0.15</v>
      </c>
      <c r="D364" s="2397">
        <v>0.15</v>
      </c>
      <c r="E364" s="2397">
        <v>0.15</v>
      </c>
      <c r="F364" s="2397">
        <v>0.14799999999999999</v>
      </c>
      <c r="G364" s="2398">
        <v>0.15</v>
      </c>
    </row>
    <row r="365" spans="1:7">
      <c r="A365" s="2407" t="s">
        <v>2735</v>
      </c>
      <c r="B365" s="2396" t="s">
        <v>198</v>
      </c>
      <c r="C365" s="2397">
        <v>0.15</v>
      </c>
      <c r="D365" s="2397">
        <v>0.15</v>
      </c>
      <c r="E365" s="2397">
        <v>0.15</v>
      </c>
      <c r="F365" s="2397">
        <v>0.15</v>
      </c>
      <c r="G365" s="2398">
        <v>0.15</v>
      </c>
    </row>
    <row r="366" spans="1:7">
      <c r="A366" s="2407" t="s">
        <v>2735</v>
      </c>
      <c r="B366" s="2396" t="s">
        <v>2780</v>
      </c>
      <c r="C366" s="2397">
        <v>0.15</v>
      </c>
      <c r="D366" s="2397">
        <v>0.15</v>
      </c>
      <c r="E366" s="2397">
        <v>0.15</v>
      </c>
      <c r="F366" s="2397">
        <v>0.15</v>
      </c>
      <c r="G366" s="2398">
        <v>0.15</v>
      </c>
    </row>
    <row r="367" spans="1:7">
      <c r="A367" s="2407" t="s">
        <v>2735</v>
      </c>
      <c r="B367" s="2396" t="s">
        <v>2783</v>
      </c>
      <c r="C367" s="2397">
        <v>0.15</v>
      </c>
      <c r="D367" s="2397">
        <v>0.15</v>
      </c>
      <c r="E367" s="2397">
        <v>0.15</v>
      </c>
      <c r="F367" s="2397">
        <v>0.14699999999999999</v>
      </c>
      <c r="G367" s="2398">
        <v>0.15</v>
      </c>
    </row>
    <row r="368" spans="1:7">
      <c r="A368" s="2407" t="s">
        <v>2735</v>
      </c>
      <c r="B368" s="2396" t="s">
        <v>2788</v>
      </c>
      <c r="C368" s="2397">
        <v>0.15</v>
      </c>
      <c r="D368" s="2397">
        <v>0.15</v>
      </c>
      <c r="E368" s="2397">
        <v>0.15</v>
      </c>
      <c r="F368" s="2397">
        <v>0.13600000000000001</v>
      </c>
      <c r="G368" s="2398">
        <v>0.15</v>
      </c>
    </row>
    <row r="369" spans="1:7">
      <c r="A369" s="2407" t="s">
        <v>2735</v>
      </c>
      <c r="B369" s="2396" t="s">
        <v>212</v>
      </c>
      <c r="C369" s="2397">
        <v>0.15</v>
      </c>
      <c r="D369" s="2397">
        <v>0.15</v>
      </c>
      <c r="E369" s="2397">
        <v>0.15</v>
      </c>
      <c r="F369" s="2397">
        <v>0.14399999999999999</v>
      </c>
      <c r="G369" s="2398">
        <v>0.15</v>
      </c>
    </row>
    <row r="370" spans="1:7">
      <c r="A370" s="2407" t="s">
        <v>2735</v>
      </c>
      <c r="B370" s="2396" t="s">
        <v>219</v>
      </c>
      <c r="C370" s="2397">
        <v>0.15</v>
      </c>
      <c r="D370" s="2397">
        <v>0.15</v>
      </c>
      <c r="E370" s="2397">
        <v>0.15</v>
      </c>
      <c r="F370" s="2397">
        <v>0.14599999999999999</v>
      </c>
      <c r="G370" s="2398">
        <v>0.15</v>
      </c>
    </row>
    <row r="371" spans="1:7">
      <c r="A371" s="2407" t="s">
        <v>2735</v>
      </c>
      <c r="B371" s="2396" t="s">
        <v>227</v>
      </c>
      <c r="C371" s="2397">
        <v>0.15</v>
      </c>
      <c r="D371" s="2397">
        <v>0.15</v>
      </c>
      <c r="E371" s="2397">
        <v>0.15</v>
      </c>
      <c r="F371" s="2397">
        <v>0.12</v>
      </c>
      <c r="G371" s="2398">
        <v>0.15</v>
      </c>
    </row>
    <row r="372" spans="1:7">
      <c r="A372" s="2407" t="s">
        <v>2735</v>
      </c>
      <c r="B372" s="2396" t="s">
        <v>2796</v>
      </c>
      <c r="C372" s="2397">
        <v>0.15</v>
      </c>
      <c r="D372" s="2397">
        <v>0.15</v>
      </c>
      <c r="E372" s="2397">
        <v>0.15</v>
      </c>
      <c r="F372" s="2397">
        <v>0.14299999999999999</v>
      </c>
      <c r="G372" s="2398">
        <v>0.15</v>
      </c>
    </row>
    <row r="373" spans="1:7">
      <c r="A373" s="2407" t="s">
        <v>2735</v>
      </c>
      <c r="B373" s="2396" t="s">
        <v>256</v>
      </c>
      <c r="C373" s="2397">
        <v>0.15</v>
      </c>
      <c r="D373" s="2397">
        <v>0.15</v>
      </c>
      <c r="E373" s="2397">
        <v>0.15</v>
      </c>
      <c r="F373" s="2397">
        <v>0.14599999999999999</v>
      </c>
      <c r="G373" s="2398">
        <v>0.15</v>
      </c>
    </row>
    <row r="374" spans="1:7">
      <c r="A374" s="2407" t="s">
        <v>2735</v>
      </c>
      <c r="B374" s="2396" t="s">
        <v>264</v>
      </c>
      <c r="C374" s="2397">
        <v>0.15</v>
      </c>
      <c r="D374" s="2397">
        <v>0.15</v>
      </c>
      <c r="E374" s="2397">
        <v>0.15</v>
      </c>
      <c r="F374" s="2397">
        <v>0.14399999999999999</v>
      </c>
      <c r="G374" s="2398">
        <v>0.15</v>
      </c>
    </row>
    <row r="375" spans="1:7">
      <c r="A375" s="2407" t="s">
        <v>2735</v>
      </c>
      <c r="B375" s="2396" t="s">
        <v>2804</v>
      </c>
      <c r="C375" s="2397">
        <v>0.15</v>
      </c>
      <c r="D375" s="2397">
        <v>0.15</v>
      </c>
      <c r="E375" s="2397">
        <v>0.15</v>
      </c>
      <c r="F375" s="2397">
        <v>0.13</v>
      </c>
      <c r="G375" s="2398">
        <v>0.15</v>
      </c>
    </row>
    <row r="376" spans="1:7">
      <c r="A376" s="2407" t="s">
        <v>2735</v>
      </c>
      <c r="B376" s="2396" t="s">
        <v>275</v>
      </c>
      <c r="C376" s="2397">
        <v>0.15</v>
      </c>
      <c r="D376" s="2397">
        <v>0.15</v>
      </c>
      <c r="E376" s="2397">
        <v>0.15</v>
      </c>
      <c r="F376" s="2397">
        <v>0.14199999999999999</v>
      </c>
      <c r="G376" s="2398">
        <v>0.15</v>
      </c>
    </row>
    <row r="377" spans="1:7" ht="14.25" thickBot="1">
      <c r="A377" s="2410" t="s">
        <v>2735</v>
      </c>
      <c r="B377" s="2400" t="s">
        <v>2810</v>
      </c>
      <c r="C377" s="2401">
        <v>0.15</v>
      </c>
      <c r="D377" s="2401">
        <v>0.15</v>
      </c>
      <c r="E377" s="2401">
        <v>0.15</v>
      </c>
      <c r="F377" s="2401">
        <v>0.14000000000000001</v>
      </c>
      <c r="G377" s="2403">
        <v>0.15</v>
      </c>
    </row>
    <row r="378" spans="1:7">
      <c r="A378" s="2406" t="s">
        <v>2736</v>
      </c>
      <c r="B378" s="2392" t="s">
        <v>2750</v>
      </c>
      <c r="C378" s="2393">
        <v>0.15</v>
      </c>
      <c r="D378" s="2393">
        <v>0.15</v>
      </c>
      <c r="E378" s="2393">
        <v>0.15</v>
      </c>
      <c r="F378" s="2393">
        <v>0.107</v>
      </c>
      <c r="G378" s="2394">
        <v>0.15</v>
      </c>
    </row>
    <row r="379" spans="1:7">
      <c r="A379" s="2407" t="s">
        <v>2736</v>
      </c>
      <c r="B379" s="2396" t="s">
        <v>2756</v>
      </c>
      <c r="C379" s="2397">
        <v>0.15</v>
      </c>
      <c r="D379" s="2397">
        <v>0.15</v>
      </c>
      <c r="E379" s="2397">
        <v>0.15</v>
      </c>
      <c r="F379" s="2397">
        <v>0.115</v>
      </c>
      <c r="G379" s="2398">
        <v>0.14899999999999999</v>
      </c>
    </row>
    <row r="380" spans="1:7">
      <c r="A380" s="2407" t="s">
        <v>2736</v>
      </c>
      <c r="B380" s="2396" t="s">
        <v>2762</v>
      </c>
      <c r="C380" s="2397">
        <v>0.15</v>
      </c>
      <c r="D380" s="2397">
        <v>0.15</v>
      </c>
      <c r="E380" s="2397">
        <v>0.15</v>
      </c>
      <c r="F380" s="2397">
        <v>0.1</v>
      </c>
      <c r="G380" s="2398">
        <v>0.14799999999999999</v>
      </c>
    </row>
    <row r="381" spans="1:7">
      <c r="A381" s="2407" t="s">
        <v>2736</v>
      </c>
      <c r="B381" s="2396" t="s">
        <v>2765</v>
      </c>
      <c r="C381" s="2397">
        <v>0.15</v>
      </c>
      <c r="D381" s="2397">
        <v>0.15</v>
      </c>
      <c r="E381" s="2397">
        <v>0.15</v>
      </c>
      <c r="F381" s="2397">
        <v>0.126</v>
      </c>
      <c r="G381" s="2398">
        <v>0.15</v>
      </c>
    </row>
    <row r="382" spans="1:7">
      <c r="A382" s="2407" t="s">
        <v>2736</v>
      </c>
      <c r="B382" s="2396" t="s">
        <v>2769</v>
      </c>
      <c r="C382" s="2397">
        <v>0.15</v>
      </c>
      <c r="D382" s="2397">
        <v>0.15</v>
      </c>
      <c r="E382" s="2397">
        <v>0.15</v>
      </c>
      <c r="F382" s="2397">
        <v>0.15</v>
      </c>
      <c r="G382" s="2398">
        <v>0.15</v>
      </c>
    </row>
    <row r="383" spans="1:7">
      <c r="A383" s="2407" t="s">
        <v>2736</v>
      </c>
      <c r="B383" s="2396" t="s">
        <v>2774</v>
      </c>
      <c r="C383" s="2397">
        <v>0.15</v>
      </c>
      <c r="D383" s="2397">
        <v>0.15</v>
      </c>
      <c r="E383" s="2397">
        <v>0.15</v>
      </c>
      <c r="F383" s="2397">
        <v>0.14699999999999999</v>
      </c>
      <c r="G383" s="2398">
        <v>0.15</v>
      </c>
    </row>
    <row r="384" spans="1:7" ht="14.25" thickBot="1">
      <c r="A384" s="2417" t="s">
        <v>2736</v>
      </c>
      <c r="B384" s="2418" t="s">
        <v>2778</v>
      </c>
      <c r="C384" s="2419">
        <v>0.15</v>
      </c>
      <c r="D384" s="2419">
        <v>0.15</v>
      </c>
      <c r="E384" s="2419">
        <v>0.15</v>
      </c>
      <c r="F384" s="2419">
        <v>0.15</v>
      </c>
      <c r="G384" s="2420">
        <v>0.15</v>
      </c>
    </row>
  </sheetData>
  <sheetProtection password="CEE9" sheet="1" objects="1" scenarios="1"/>
  <mergeCells count="1">
    <mergeCell ref="A1:B1"/>
  </mergeCells>
  <phoneticPr fontId="9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62"/>
  </cols>
  <sheetData>
    <row r="1" spans="1:6" ht="14.25">
      <c r="A1" s="4757" t="s">
        <v>3117</v>
      </c>
      <c r="B1" s="4757"/>
      <c r="C1" s="4757"/>
      <c r="D1" s="4757"/>
      <c r="E1" s="4757"/>
      <c r="F1" s="4758"/>
    </row>
    <row r="2" spans="1:6" ht="14.25">
      <c r="A2" s="2421" t="s">
        <v>3118</v>
      </c>
    </row>
    <row r="3" spans="1:6" ht="14.25">
      <c r="A3" s="2421" t="s">
        <v>3119</v>
      </c>
      <c r="F3" s="2422" t="s">
        <v>3120</v>
      </c>
    </row>
    <row r="4" spans="1:6">
      <c r="A4" s="2423" t="s">
        <v>659</v>
      </c>
      <c r="B4" s="2423" t="s">
        <v>660</v>
      </c>
      <c r="C4" s="2423" t="s">
        <v>19</v>
      </c>
      <c r="D4" s="2423" t="s">
        <v>661</v>
      </c>
      <c r="E4" s="2423" t="s">
        <v>3</v>
      </c>
      <c r="F4" s="2423" t="s">
        <v>3121</v>
      </c>
    </row>
    <row r="5" spans="1:6">
      <c r="A5" s="2424" t="s">
        <v>662</v>
      </c>
      <c r="B5" s="2423"/>
      <c r="C5" s="2423"/>
      <c r="D5" s="2423"/>
      <c r="E5" s="2423"/>
      <c r="F5" s="2425"/>
    </row>
    <row r="6" spans="1:6">
      <c r="A6" s="2424" t="s">
        <v>142</v>
      </c>
      <c r="B6" s="2426">
        <v>35380</v>
      </c>
      <c r="C6" s="2426">
        <v>35180</v>
      </c>
      <c r="D6" s="2426">
        <v>35030</v>
      </c>
      <c r="E6" s="2426">
        <v>13780</v>
      </c>
      <c r="F6" s="2426">
        <v>25980</v>
      </c>
    </row>
    <row r="7" spans="1:6">
      <c r="A7" s="2424" t="s">
        <v>182</v>
      </c>
      <c r="B7" s="2426">
        <v>29960</v>
      </c>
      <c r="C7" s="2426">
        <v>29800</v>
      </c>
      <c r="D7" s="2426">
        <v>29690</v>
      </c>
      <c r="E7" s="2426">
        <v>10100</v>
      </c>
      <c r="F7" s="2426">
        <v>21690</v>
      </c>
    </row>
    <row r="8" spans="1:6">
      <c r="A8" s="2424" t="s">
        <v>294</v>
      </c>
      <c r="B8" s="2426">
        <v>24480</v>
      </c>
      <c r="C8" s="2426">
        <v>24380</v>
      </c>
      <c r="D8" s="2426">
        <v>25590</v>
      </c>
      <c r="E8" s="2426">
        <v>7010</v>
      </c>
      <c r="F8" s="2426">
        <v>17060</v>
      </c>
    </row>
    <row r="9" spans="1:6">
      <c r="A9" s="2424" t="s">
        <v>108</v>
      </c>
      <c r="B9" s="2426">
        <v>19370</v>
      </c>
      <c r="C9" s="2426">
        <v>19290</v>
      </c>
      <c r="D9" s="2426">
        <v>21280</v>
      </c>
      <c r="E9" s="2426">
        <v>4910</v>
      </c>
      <c r="F9" s="2426">
        <v>13090</v>
      </c>
    </row>
    <row r="10" spans="1:6">
      <c r="A10" s="2424" t="s">
        <v>301</v>
      </c>
      <c r="B10" s="2426">
        <v>15050</v>
      </c>
      <c r="C10" s="2426">
        <v>14980</v>
      </c>
      <c r="D10" s="2426">
        <v>17300</v>
      </c>
      <c r="E10" s="2426">
        <v>3450</v>
      </c>
      <c r="F10" s="2426">
        <v>9900</v>
      </c>
    </row>
    <row r="11" spans="1:6">
      <c r="A11" s="2424" t="s">
        <v>27</v>
      </c>
      <c r="B11" s="2426">
        <v>11550</v>
      </c>
      <c r="C11" s="2426">
        <v>11490</v>
      </c>
      <c r="D11" s="2426">
        <v>13850</v>
      </c>
      <c r="E11" s="2426">
        <v>2400</v>
      </c>
      <c r="F11" s="2426">
        <v>7390</v>
      </c>
    </row>
    <row r="12" spans="1:6">
      <c r="A12" s="2424" t="s">
        <v>302</v>
      </c>
      <c r="B12" s="2426">
        <v>8630</v>
      </c>
      <c r="C12" s="2426">
        <v>8580</v>
      </c>
      <c r="D12" s="2426">
        <v>10740</v>
      </c>
      <c r="E12" s="2426">
        <v>1720</v>
      </c>
      <c r="F12" s="2426">
        <v>5420</v>
      </c>
    </row>
    <row r="13" spans="1:6">
      <c r="A13" s="2424" t="s">
        <v>303</v>
      </c>
      <c r="B13" s="2426">
        <v>6620</v>
      </c>
      <c r="C13" s="2426">
        <v>6580</v>
      </c>
      <c r="D13" s="2426">
        <v>7830</v>
      </c>
      <c r="E13" s="2426">
        <v>1260</v>
      </c>
      <c r="F13" s="2426">
        <v>4040</v>
      </c>
    </row>
    <row r="14" spans="1:6">
      <c r="A14" s="2424" t="s">
        <v>304</v>
      </c>
      <c r="B14" s="2426">
        <v>4900</v>
      </c>
      <c r="C14" s="2426">
        <v>4860</v>
      </c>
      <c r="D14" s="2426">
        <v>5540</v>
      </c>
      <c r="E14" s="2426">
        <v>950</v>
      </c>
      <c r="F14" s="2426">
        <v>2930</v>
      </c>
    </row>
    <row r="15" spans="1:6">
      <c r="A15" s="2424" t="s">
        <v>305</v>
      </c>
      <c r="B15" s="2426">
        <v>3380</v>
      </c>
      <c r="C15" s="2426">
        <v>3340</v>
      </c>
      <c r="D15" s="2426">
        <v>3630</v>
      </c>
      <c r="E15" s="2426">
        <v>730</v>
      </c>
      <c r="F15" s="2426">
        <v>1990</v>
      </c>
    </row>
    <row r="16" spans="1:6">
      <c r="A16" s="2424" t="s">
        <v>363</v>
      </c>
      <c r="B16" s="2426">
        <v>2230</v>
      </c>
      <c r="C16" s="2426">
        <v>2200</v>
      </c>
      <c r="D16" s="2426">
        <v>2180</v>
      </c>
      <c r="E16" s="2426">
        <v>570</v>
      </c>
      <c r="F16" s="2426">
        <v>1330</v>
      </c>
    </row>
    <row r="17" spans="1:6">
      <c r="A17" s="2424" t="s">
        <v>364</v>
      </c>
      <c r="B17" s="2426">
        <v>1390</v>
      </c>
      <c r="C17" s="2426">
        <v>1360</v>
      </c>
      <c r="D17" s="2426">
        <v>1340</v>
      </c>
      <c r="E17" s="2426">
        <v>450</v>
      </c>
      <c r="F17" s="242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I8" sqref="H7:I8"/>
    </sheetView>
  </sheetViews>
  <sheetFormatPr defaultRowHeight="13.5"/>
  <cols>
    <col min="1" max="1" width="13.875" customWidth="1"/>
    <col min="11" max="17" width="0" hidden="1" customWidth="1"/>
    <col min="25" max="30" width="0" hidden="1" customWidth="1"/>
  </cols>
  <sheetData>
    <row r="1" spans="1:44">
      <c r="A1" s="2360">
        <f>基准地价修正!G23</f>
        <v>46049</v>
      </c>
      <c r="B1" s="2352" t="s">
        <v>3260</v>
      </c>
      <c r="C1" s="2353"/>
      <c r="D1" s="2353"/>
      <c r="E1" s="2353"/>
      <c r="F1" s="2353"/>
      <c r="G1" s="2353"/>
      <c r="H1" s="2353"/>
      <c r="I1" s="2353"/>
      <c r="J1" s="2327"/>
      <c r="K1" s="2353" t="s">
        <v>448</v>
      </c>
      <c r="L1" s="2353"/>
      <c r="M1" s="2353"/>
      <c r="N1" s="2353"/>
      <c r="O1" s="2353"/>
      <c r="P1" s="2353"/>
      <c r="Q1" s="2327"/>
      <c r="R1" s="4759" t="s">
        <v>450</v>
      </c>
      <c r="S1" s="4760"/>
      <c r="T1" s="4760"/>
      <c r="U1" s="4760"/>
      <c r="V1" s="4760"/>
      <c r="W1" s="4760"/>
      <c r="X1" s="2327"/>
      <c r="Y1" s="4759" t="s">
        <v>451</v>
      </c>
      <c r="Z1" s="4760"/>
      <c r="AA1" s="4760"/>
      <c r="AB1" s="4760"/>
      <c r="AC1" s="4760"/>
      <c r="AD1" s="4760"/>
    </row>
    <row r="2" spans="1:44" s="1625" customFormat="1" ht="14.25" thickBot="1">
      <c r="B2" s="2313"/>
      <c r="C2" s="2314"/>
      <c r="D2" s="1626" t="s">
        <v>2695</v>
      </c>
      <c r="E2" s="1627" t="s">
        <v>2696</v>
      </c>
      <c r="F2" s="1627" t="s">
        <v>2697</v>
      </c>
      <c r="G2" s="1627" t="s">
        <v>2698</v>
      </c>
      <c r="H2" s="1627" t="s">
        <v>2699</v>
      </c>
      <c r="I2" s="1627" t="s">
        <v>2516</v>
      </c>
      <c r="J2" s="2315"/>
      <c r="K2" s="1626" t="s">
        <v>2695</v>
      </c>
      <c r="L2" s="1627" t="s">
        <v>2696</v>
      </c>
      <c r="M2" s="1627" t="s">
        <v>2697</v>
      </c>
      <c r="N2" s="1627" t="s">
        <v>2698</v>
      </c>
      <c r="O2" s="1627" t="s">
        <v>2700</v>
      </c>
      <c r="P2" s="1627" t="s">
        <v>2516</v>
      </c>
      <c r="Q2" s="2315"/>
      <c r="R2" s="1626" t="s">
        <v>2695</v>
      </c>
      <c r="S2" s="1627" t="s">
        <v>2696</v>
      </c>
      <c r="T2" s="1627" t="s">
        <v>2697</v>
      </c>
      <c r="U2" s="1627" t="s">
        <v>2701</v>
      </c>
      <c r="V2" s="1627" t="s">
        <v>2702</v>
      </c>
      <c r="W2" s="1627" t="s">
        <v>2516</v>
      </c>
      <c r="X2" s="2315"/>
      <c r="Y2" s="1626" t="s">
        <v>2695</v>
      </c>
      <c r="Z2" s="1627" t="s">
        <v>2696</v>
      </c>
      <c r="AA2" s="1627" t="s">
        <v>2697</v>
      </c>
      <c r="AB2" s="1627" t="s">
        <v>2703</v>
      </c>
      <c r="AC2" s="1627" t="s">
        <v>2702</v>
      </c>
      <c r="AD2" s="1627" t="s">
        <v>2516</v>
      </c>
      <c r="AF2" t="s">
        <v>3267</v>
      </c>
      <c r="AG2" t="s">
        <v>660</v>
      </c>
      <c r="AH2" t="s">
        <v>19</v>
      </c>
      <c r="AI2" t="s">
        <v>3268</v>
      </c>
      <c r="AJ2" t="s">
        <v>3</v>
      </c>
      <c r="AK2" t="s">
        <v>3269</v>
      </c>
      <c r="AM2" t="s">
        <v>3267</v>
      </c>
      <c r="AN2" t="s">
        <v>660</v>
      </c>
      <c r="AO2" t="s">
        <v>19</v>
      </c>
      <c r="AP2" t="s">
        <v>3268</v>
      </c>
      <c r="AQ2" t="s">
        <v>3</v>
      </c>
      <c r="AR2" t="s">
        <v>3269</v>
      </c>
    </row>
    <row r="3" spans="1:44" s="2318" customFormat="1" ht="12.75">
      <c r="A3" s="2316" t="s">
        <v>2704</v>
      </c>
      <c r="B3" s="2317"/>
      <c r="D3" s="3042">
        <f>ROUND(AVERAGEIF(D4:D28,"&lt;&gt;0"),2)</f>
        <v>0.28000000000000003</v>
      </c>
      <c r="E3" s="3042">
        <f t="shared" ref="E3:H3" si="0">ROUND(AVERAGEIF(E4:E28,"&lt;&gt;0"),2)</f>
        <v>0.09</v>
      </c>
      <c r="F3" s="3042">
        <f t="shared" si="0"/>
        <v>-0.17</v>
      </c>
      <c r="G3" s="3042">
        <f t="shared" si="0"/>
        <v>0.38</v>
      </c>
      <c r="H3" s="3042">
        <f t="shared" si="0"/>
        <v>0.47</v>
      </c>
      <c r="I3" s="3042">
        <f>F3</f>
        <v>-0.17</v>
      </c>
      <c r="J3" s="2319"/>
      <c r="K3" s="2320">
        <f>ROUND(AVERAGEIF(K4:K28,"&lt;&gt;0"),4)</f>
        <v>2.8E-3</v>
      </c>
      <c r="L3" s="2321">
        <f t="shared" ref="L3:O3" si="1">ROUND(AVERAGEIF(L4:L28,"&lt;&gt;0"),4)</f>
        <v>8.9999999999999998E-4</v>
      </c>
      <c r="M3" s="2321">
        <f t="shared" si="1"/>
        <v>-1.6999999999999999E-3</v>
      </c>
      <c r="N3" s="2321">
        <f t="shared" si="1"/>
        <v>3.8E-3</v>
      </c>
      <c r="O3" s="2321">
        <f t="shared" si="1"/>
        <v>4.7000000000000002E-3</v>
      </c>
      <c r="P3" s="2321">
        <f>M3</f>
        <v>-1.6999999999999999E-3</v>
      </c>
      <c r="Q3" s="2319"/>
      <c r="R3" s="3052">
        <f>ROUND(SUMPRODUCT(PRODUCT(1+K4:K28)),4)</f>
        <v>1.0567</v>
      </c>
      <c r="S3" s="3053">
        <f t="shared" ref="S3:V3" si="2">ROUND(SUMPRODUCT(PRODUCT(1+L4:L28)),4)</f>
        <v>1.0176000000000001</v>
      </c>
      <c r="T3" s="3053">
        <f t="shared" si="2"/>
        <v>0.96589999999999998</v>
      </c>
      <c r="U3" s="3053">
        <f t="shared" si="2"/>
        <v>1.0777000000000001</v>
      </c>
      <c r="V3" s="3053">
        <f t="shared" si="2"/>
        <v>1.0933999999999999</v>
      </c>
      <c r="W3" s="3052">
        <f>T3</f>
        <v>0.96589999999999998</v>
      </c>
      <c r="X3" s="2319"/>
      <c r="Y3" s="2323">
        <f>ROUND(AVERAGEIF(Y15:Y28,"&lt;&gt;0"),4)</f>
        <v>8.3999999999999995E-3</v>
      </c>
      <c r="Z3" s="2324">
        <f t="shared" ref="Z3:AC3" si="3">ROUND(AVERAGEIF(Z15:Z28,"&lt;&gt;0"),4)</f>
        <v>3.5000000000000001E-3</v>
      </c>
      <c r="AA3" s="2325">
        <f t="shared" si="3"/>
        <v>8.0000000000000004E-4</v>
      </c>
      <c r="AB3" s="2323">
        <f t="shared" si="3"/>
        <v>9.1000000000000004E-3</v>
      </c>
      <c r="AC3" s="2326">
        <f t="shared" si="3"/>
        <v>6.1000000000000004E-3</v>
      </c>
      <c r="AD3" s="2323">
        <f>AA3</f>
        <v>8.0000000000000004E-4</v>
      </c>
    </row>
    <row r="4" spans="1:44" s="1624" customFormat="1" ht="12.75">
      <c r="B4" s="1638"/>
      <c r="J4" s="2327"/>
      <c r="K4" s="2328"/>
      <c r="L4" s="2329"/>
      <c r="M4" s="2329"/>
      <c r="N4" s="2329"/>
      <c r="O4" s="2329"/>
      <c r="P4" s="2329"/>
      <c r="Q4" s="2327"/>
      <c r="R4" s="1640"/>
      <c r="S4" s="2330"/>
      <c r="T4" s="2331"/>
      <c r="U4" s="1640"/>
      <c r="V4" s="2332"/>
      <c r="W4" s="1640"/>
      <c r="X4" s="2327"/>
      <c r="Y4" s="1641"/>
      <c r="Z4" s="2333"/>
      <c r="AA4" s="2334"/>
      <c r="AB4" s="1641"/>
      <c r="AC4" s="2335"/>
      <c r="AD4" s="1641"/>
    </row>
    <row r="5" spans="1:44" s="1653" customFormat="1">
      <c r="A5" s="1649" t="s">
        <v>3643</v>
      </c>
      <c r="B5" s="3036">
        <v>2026</v>
      </c>
      <c r="C5" s="3037">
        <v>4</v>
      </c>
      <c r="D5" s="3043">
        <v>0</v>
      </c>
      <c r="E5" s="3043">
        <v>0</v>
      </c>
      <c r="F5" s="3043">
        <v>0</v>
      </c>
      <c r="G5" s="3043">
        <v>0</v>
      </c>
      <c r="H5" s="3043">
        <v>0</v>
      </c>
      <c r="I5" s="3044">
        <f t="shared" ref="I5" si="4">F5</f>
        <v>0</v>
      </c>
      <c r="J5" s="2338"/>
      <c r="K5" s="1651">
        <f t="shared" ref="K5" si="5">D5/100</f>
        <v>0</v>
      </c>
      <c r="L5" s="1641">
        <f t="shared" ref="L5" si="6">E5/100</f>
        <v>0</v>
      </c>
      <c r="M5" s="1641">
        <f t="shared" ref="M5" si="7">F5/100</f>
        <v>0</v>
      </c>
      <c r="N5" s="1641">
        <f t="shared" ref="N5" si="8">G5/100</f>
        <v>0</v>
      </c>
      <c r="O5" s="1641">
        <f t="shared" ref="O5" si="9">H5/100</f>
        <v>0</v>
      </c>
      <c r="P5" s="1641">
        <f t="shared" ref="P5:P15" si="10">M5</f>
        <v>0</v>
      </c>
      <c r="Q5" s="2338"/>
      <c r="R5" s="3054">
        <f>ROUND(IF(项目基本情况!$B$8="出让",SUMPRODUCT(PRODUCT(1+K5:$K$28)),SUMPRODUCT(PRODUCT(1+K5:$K$27))),4)</f>
        <v>1.0465</v>
      </c>
      <c r="S5" s="3054">
        <f>ROUND(IF(项目基本情况!$B$8="出让",SUMPRODUCT(PRODUCT(1+L5:$L$28)),SUMPRODUCT(PRODUCT(1+L5:$L$27))),4)</f>
        <v>1.016</v>
      </c>
      <c r="T5" s="3054">
        <f>ROUND(IF(项目基本情况!$B$8="出让",SUMPRODUCT(PRODUCT(1+M5:$M$28)),SUMPRODUCT(PRODUCT(1+M5:$M$27))),4)</f>
        <v>0.96830000000000005</v>
      </c>
      <c r="U5" s="3054">
        <f>ROUND(IF(项目基本情况!$B$8="出让",SUMPRODUCT(PRODUCT(1+N5:$N$28)),SUMPRODUCT(PRODUCT(1+N5:$N$27))),4)</f>
        <v>1.0659000000000001</v>
      </c>
      <c r="V5" s="3054">
        <f>ROUND(IF(项目基本情况!$B$8="出让",SUMPRODUCT(PRODUCT(1+O5:$O$28)),SUMPRODUCT(PRODUCT(1+O5:$O$27))),4)</f>
        <v>1.0894999999999999</v>
      </c>
      <c r="W5" s="3054">
        <f t="shared" ref="W5:W15" si="11">T5</f>
        <v>0.96830000000000005</v>
      </c>
      <c r="X5" s="2338"/>
      <c r="Y5" s="1641">
        <f>IF(D5=0,0,ROUND(AVERAGE(D5:D22)/100,4))</f>
        <v>0</v>
      </c>
      <c r="Z5" s="1641">
        <f t="shared" ref="Z5" si="12">IF(E5=0,0,ROUND(AVERAGE(E5:E22)/100,4))</f>
        <v>0</v>
      </c>
      <c r="AA5" s="1641">
        <f t="shared" ref="AA5" si="13">IF(F5=0,0,ROUND(AVERAGE(F5:F22)/100,4))</f>
        <v>0</v>
      </c>
      <c r="AB5" s="1641">
        <f t="shared" ref="AB5" si="14">IF(G5=0,0,ROUND(AVERAGE(G5:G22)/100,4))</f>
        <v>0</v>
      </c>
      <c r="AC5" s="1641">
        <f t="shared" ref="AC5" si="15">IF(H5=0,0,ROUND(AVERAGE(H5:H22)/100,4))</f>
        <v>0</v>
      </c>
      <c r="AD5" s="1641">
        <f t="shared" ref="AD5" si="16">AA5</f>
        <v>0</v>
      </c>
      <c r="AF5" s="3057">
        <f t="shared" ref="AF5:AF6" si="17">$AF$28*R5</f>
        <v>104.65</v>
      </c>
      <c r="AG5" s="3057">
        <f t="shared" ref="AG5:AG6" si="18">$AF$28*S5</f>
        <v>101.6</v>
      </c>
      <c r="AH5" s="3057">
        <f t="shared" ref="AH5:AH6" si="19">$AF$28*T5</f>
        <v>96.83</v>
      </c>
      <c r="AI5" s="3057">
        <f t="shared" ref="AI5:AI6" si="20">$AF$28*U5</f>
        <v>106.59</v>
      </c>
      <c r="AJ5" s="3057">
        <f t="shared" ref="AJ5:AJ6" si="21">$AF$28*V5</f>
        <v>108.94999999999999</v>
      </c>
      <c r="AK5" s="3057">
        <f t="shared" ref="AK5:AK6" si="22">$AF$28*W5</f>
        <v>96.83</v>
      </c>
      <c r="AM5" s="3060">
        <v>100</v>
      </c>
      <c r="AN5" s="3060">
        <v>100</v>
      </c>
      <c r="AO5" s="3060">
        <v>100</v>
      </c>
      <c r="AP5" s="3060">
        <v>100</v>
      </c>
      <c r="AQ5" s="3060">
        <v>100</v>
      </c>
      <c r="AR5" s="3060">
        <v>100</v>
      </c>
    </row>
    <row r="6" spans="1:44" s="1653" customFormat="1" ht="12.75">
      <c r="A6" s="1649" t="s">
        <v>3642</v>
      </c>
      <c r="B6" s="3036">
        <v>2026</v>
      </c>
      <c r="C6" s="3037">
        <v>3</v>
      </c>
      <c r="D6" s="3043">
        <v>0</v>
      </c>
      <c r="E6" s="3043">
        <v>0</v>
      </c>
      <c r="F6" s="3043">
        <v>0</v>
      </c>
      <c r="G6" s="3043">
        <v>0</v>
      </c>
      <c r="H6" s="3043">
        <v>0</v>
      </c>
      <c r="I6" s="3044">
        <f t="shared" ref="I6:I9" si="23">F6</f>
        <v>0</v>
      </c>
      <c r="J6" s="2338"/>
      <c r="K6" s="1651"/>
      <c r="L6" s="1641"/>
      <c r="M6" s="1641"/>
      <c r="N6" s="1641"/>
      <c r="O6" s="1641"/>
      <c r="P6" s="1641"/>
      <c r="Q6" s="2338"/>
      <c r="R6" s="3054">
        <f>ROUND(IF(项目基本情况!$B$8="出让",SUMPRODUCT(PRODUCT(1+K6:$K$28)),SUMPRODUCT(PRODUCT(1+K6:$K$27))),4)</f>
        <v>1.0465</v>
      </c>
      <c r="S6" s="3054">
        <f>ROUND(IF(项目基本情况!$B$8="出让",SUMPRODUCT(PRODUCT(1+L6:$L$28)),SUMPRODUCT(PRODUCT(1+L6:$L$27))),4)</f>
        <v>1.016</v>
      </c>
      <c r="T6" s="3054">
        <f>ROUND(IF(项目基本情况!$B$8="出让",SUMPRODUCT(PRODUCT(1+M6:$M$28)),SUMPRODUCT(PRODUCT(1+M6:$M$27))),4)</f>
        <v>0.96830000000000005</v>
      </c>
      <c r="U6" s="3054">
        <f>ROUND(IF(项目基本情况!$B$8="出让",SUMPRODUCT(PRODUCT(1+N6:$N$28)),SUMPRODUCT(PRODUCT(1+N6:$N$27))),4)</f>
        <v>1.0659000000000001</v>
      </c>
      <c r="V6" s="3054">
        <f>ROUND(IF(项目基本情况!$B$8="出让",SUMPRODUCT(PRODUCT(1+O6:$O$28)),SUMPRODUCT(PRODUCT(1+O6:$O$27))),4)</f>
        <v>1.0894999999999999</v>
      </c>
      <c r="W6" s="3054">
        <f t="shared" si="11"/>
        <v>0.96830000000000005</v>
      </c>
      <c r="X6" s="2338"/>
      <c r="Y6" s="1641"/>
      <c r="Z6" s="1641"/>
      <c r="AA6" s="1641"/>
      <c r="AB6" s="1641"/>
      <c r="AC6" s="1641"/>
      <c r="AD6" s="1641"/>
      <c r="AF6" s="3057">
        <f t="shared" si="17"/>
        <v>104.65</v>
      </c>
      <c r="AG6" s="3057">
        <f t="shared" si="18"/>
        <v>101.6</v>
      </c>
      <c r="AH6" s="3057">
        <f t="shared" si="19"/>
        <v>96.83</v>
      </c>
      <c r="AI6" s="3057">
        <f t="shared" si="20"/>
        <v>106.59</v>
      </c>
      <c r="AJ6" s="3057">
        <f t="shared" si="21"/>
        <v>108.94999999999999</v>
      </c>
      <c r="AK6" s="3057">
        <f t="shared" si="22"/>
        <v>96.83</v>
      </c>
      <c r="AM6" s="3057">
        <f t="shared" ref="AM6" si="24">AM5/(1+D5/100)</f>
        <v>100</v>
      </c>
      <c r="AN6" s="3057">
        <f t="shared" ref="AN6" si="25">AN5/(1+E5/100)</f>
        <v>100</v>
      </c>
      <c r="AO6" s="3057">
        <f t="shared" ref="AO6" si="26">AO5/(1+F5/100)</f>
        <v>100</v>
      </c>
      <c r="AP6" s="3057">
        <f t="shared" ref="AP6" si="27">AP5/(1+G5/100)</f>
        <v>100</v>
      </c>
      <c r="AQ6" s="3057">
        <f t="shared" ref="AQ6" si="28">AQ5/(1+H5/100)</f>
        <v>100</v>
      </c>
      <c r="AR6" s="3057">
        <f t="shared" ref="AR6" si="29">AR5/(1+I5/100)</f>
        <v>100</v>
      </c>
    </row>
    <row r="7" spans="1:44" s="1653" customFormat="1" ht="12.75">
      <c r="A7" s="1649" t="s">
        <v>3641</v>
      </c>
      <c r="B7" s="3036">
        <v>2026</v>
      </c>
      <c r="C7" s="3037">
        <v>2</v>
      </c>
      <c r="D7" s="3043">
        <v>0</v>
      </c>
      <c r="E7" s="3043">
        <v>0</v>
      </c>
      <c r="F7" s="3043">
        <v>0</v>
      </c>
      <c r="G7" s="3043">
        <v>0</v>
      </c>
      <c r="H7" s="3043">
        <v>0</v>
      </c>
      <c r="I7" s="3044">
        <f t="shared" si="23"/>
        <v>0</v>
      </c>
      <c r="J7" s="2338"/>
      <c r="K7" s="1651">
        <f t="shared" ref="K7:K9" si="30">D7/100</f>
        <v>0</v>
      </c>
      <c r="L7" s="1641">
        <f t="shared" ref="L7:L9" si="31">E7/100</f>
        <v>0</v>
      </c>
      <c r="M7" s="1641">
        <f t="shared" ref="M7:M9" si="32">F7/100</f>
        <v>0</v>
      </c>
      <c r="N7" s="1641">
        <f t="shared" ref="N7:N9" si="33">G7/100</f>
        <v>0</v>
      </c>
      <c r="O7" s="1641">
        <f t="shared" ref="O7:O9" si="34">H7/100</f>
        <v>0</v>
      </c>
      <c r="P7" s="1641">
        <f t="shared" ref="P7:P9" si="35">M7</f>
        <v>0</v>
      </c>
      <c r="Q7" s="2338"/>
      <c r="R7" s="3054">
        <f>ROUND(IF(项目基本情况!$B$8="出让",SUMPRODUCT(PRODUCT(1+K7:$K$28)),SUMPRODUCT(PRODUCT(1+K7:$K$27))),4)</f>
        <v>1.0465</v>
      </c>
      <c r="S7" s="3054">
        <f>ROUND(IF(项目基本情况!$B$8="出让",SUMPRODUCT(PRODUCT(1+L7:$L$28)),SUMPRODUCT(PRODUCT(1+L7:$L$27))),4)</f>
        <v>1.016</v>
      </c>
      <c r="T7" s="3054">
        <f>ROUND(IF(项目基本情况!$B$8="出让",SUMPRODUCT(PRODUCT(1+M7:$M$28)),SUMPRODUCT(PRODUCT(1+M7:$M$27))),4)</f>
        <v>0.96830000000000005</v>
      </c>
      <c r="U7" s="3054">
        <f>ROUND(IF(项目基本情况!$B$8="出让",SUMPRODUCT(PRODUCT(1+N7:$N$28)),SUMPRODUCT(PRODUCT(1+N7:$N$27))),4)</f>
        <v>1.0659000000000001</v>
      </c>
      <c r="V7" s="3054">
        <f>ROUND(IF(项目基本情况!$B$8="出让",SUMPRODUCT(PRODUCT(1+O7:$O$28)),SUMPRODUCT(PRODUCT(1+O7:$O$27))),4)</f>
        <v>1.0894999999999999</v>
      </c>
      <c r="W7" s="3054">
        <f t="shared" ref="W7:W9" si="36">T7</f>
        <v>0.96830000000000005</v>
      </c>
      <c r="X7" s="2338"/>
      <c r="Y7" s="1641">
        <f t="shared" ref="Y7:Y9" si="37">IF(D7=0,0,ROUND(AVERAGE(D7:D20)/100,4))</f>
        <v>0</v>
      </c>
      <c r="Z7" s="1641">
        <f t="shared" ref="Z7:Z9" si="38">IF(E7=0,0,ROUND(AVERAGE(E7:E20)/100,4))</f>
        <v>0</v>
      </c>
      <c r="AA7" s="1641">
        <f t="shared" ref="AA7:AA9" si="39">IF(F7=0,0,ROUND(AVERAGE(F7:F20)/100,4))</f>
        <v>0</v>
      </c>
      <c r="AB7" s="1641">
        <f t="shared" ref="AB7:AB9" si="40">IF(G7=0,0,ROUND(AVERAGE(G7:G20)/100,4))</f>
        <v>0</v>
      </c>
      <c r="AC7" s="1641">
        <f t="shared" ref="AC7:AC9" si="41">IF(H7=0,0,ROUND(AVERAGE(H7:H20)/100,4))</f>
        <v>0</v>
      </c>
      <c r="AD7" s="1641">
        <f t="shared" ref="AD7:AD9" si="42">AA7</f>
        <v>0</v>
      </c>
      <c r="AF7" s="3057">
        <f t="shared" ref="AF7:AF9" si="43">$AF$28*R7</f>
        <v>104.65</v>
      </c>
      <c r="AG7" s="3057">
        <f t="shared" ref="AG7:AG9" si="44">$AF$28*S7</f>
        <v>101.6</v>
      </c>
      <c r="AH7" s="3057">
        <f t="shared" ref="AH7:AH9" si="45">$AF$28*T7</f>
        <v>96.83</v>
      </c>
      <c r="AI7" s="3057">
        <f t="shared" ref="AI7:AI9" si="46">$AF$28*U7</f>
        <v>106.59</v>
      </c>
      <c r="AJ7" s="3057">
        <f t="shared" ref="AJ7:AJ9" si="47">$AF$28*V7</f>
        <v>108.94999999999999</v>
      </c>
      <c r="AK7" s="3057">
        <f t="shared" ref="AK7:AK9" si="48">$AF$28*W7</f>
        <v>96.83</v>
      </c>
      <c r="AM7" s="3057">
        <f t="shared" ref="AM7:AM9" si="49">AM6/(1+D6/100)</f>
        <v>100</v>
      </c>
      <c r="AN7" s="3057">
        <f t="shared" ref="AN7:AN9" si="50">AN6/(1+E6/100)</f>
        <v>100</v>
      </c>
      <c r="AO7" s="3057">
        <f t="shared" ref="AO7:AO9" si="51">AO6/(1+F6/100)</f>
        <v>100</v>
      </c>
      <c r="AP7" s="3057">
        <f t="shared" ref="AP7:AP9" si="52">AP6/(1+G6/100)</f>
        <v>100</v>
      </c>
      <c r="AQ7" s="3057">
        <f t="shared" ref="AQ7:AQ9" si="53">AQ6/(1+H6/100)</f>
        <v>100</v>
      </c>
      <c r="AR7" s="3057">
        <f t="shared" ref="AR7:AR9" si="54">AR6/(1+I6/100)</f>
        <v>100</v>
      </c>
    </row>
    <row r="8" spans="1:44" s="2344" customFormat="1" ht="12.75">
      <c r="A8" s="2339" t="s">
        <v>3644</v>
      </c>
      <c r="B8" s="3038">
        <v>2026</v>
      </c>
      <c r="C8" s="3039">
        <v>1</v>
      </c>
      <c r="D8" s="3045">
        <v>0</v>
      </c>
      <c r="E8" s="3045">
        <v>0</v>
      </c>
      <c r="F8" s="3045">
        <v>0</v>
      </c>
      <c r="G8" s="3045">
        <v>0</v>
      </c>
      <c r="H8" s="3046">
        <v>0</v>
      </c>
      <c r="I8" s="3047">
        <f t="shared" si="23"/>
        <v>0</v>
      </c>
      <c r="J8" s="2341"/>
      <c r="K8" s="2342">
        <f t="shared" si="30"/>
        <v>0</v>
      </c>
      <c r="L8" s="2343">
        <f t="shared" si="31"/>
        <v>0</v>
      </c>
      <c r="M8" s="2343">
        <f t="shared" si="32"/>
        <v>0</v>
      </c>
      <c r="N8" s="2343">
        <f t="shared" si="33"/>
        <v>0</v>
      </c>
      <c r="O8" s="2343">
        <f t="shared" si="34"/>
        <v>0</v>
      </c>
      <c r="P8" s="2343">
        <f t="shared" si="35"/>
        <v>0</v>
      </c>
      <c r="Q8" s="2341"/>
      <c r="R8" s="3055">
        <f>ROUND(IF(项目基本情况!$B$8="出让",SUMPRODUCT(PRODUCT(1+K8:$K$28)),SUMPRODUCT(PRODUCT(1+K8:$K$27))),4)</f>
        <v>1.0465</v>
      </c>
      <c r="S8" s="3055">
        <f>ROUND(IF(项目基本情况!$B$8="出让",SUMPRODUCT(PRODUCT(1+L8:$L$28)),SUMPRODUCT(PRODUCT(1+L8:$L$27))),4)</f>
        <v>1.016</v>
      </c>
      <c r="T8" s="3055">
        <f>ROUND(IF(项目基本情况!$B$8="出让",SUMPRODUCT(PRODUCT(1+M8:$M$28)),SUMPRODUCT(PRODUCT(1+M8:$M$27))),4)</f>
        <v>0.96830000000000005</v>
      </c>
      <c r="U8" s="3055">
        <f>ROUND(IF(项目基本情况!$B$8="出让",SUMPRODUCT(PRODUCT(1+N8:$N$28)),SUMPRODUCT(PRODUCT(1+N8:$N$27))),4)</f>
        <v>1.0659000000000001</v>
      </c>
      <c r="V8" s="3055">
        <f>ROUND(IF(项目基本情况!$B$8="出让",SUMPRODUCT(PRODUCT(1+O8:$O$28)),SUMPRODUCT(PRODUCT(1+O8:$O$27))),4)</f>
        <v>1.0894999999999999</v>
      </c>
      <c r="W8" s="3055">
        <f t="shared" si="36"/>
        <v>0.96830000000000005</v>
      </c>
      <c r="X8" s="2341"/>
      <c r="Y8" s="2343">
        <f t="shared" si="37"/>
        <v>0</v>
      </c>
      <c r="Z8" s="2343">
        <f t="shared" si="38"/>
        <v>0</v>
      </c>
      <c r="AA8" s="2343">
        <f t="shared" si="39"/>
        <v>0</v>
      </c>
      <c r="AB8" s="2343">
        <f t="shared" si="40"/>
        <v>0</v>
      </c>
      <c r="AC8" s="2343">
        <f t="shared" si="41"/>
        <v>0</v>
      </c>
      <c r="AD8" s="2343">
        <f t="shared" si="42"/>
        <v>0</v>
      </c>
      <c r="AF8" s="3058">
        <f t="shared" si="43"/>
        <v>104.65</v>
      </c>
      <c r="AG8" s="3058">
        <f t="shared" si="44"/>
        <v>101.6</v>
      </c>
      <c r="AH8" s="3058">
        <f t="shared" si="45"/>
        <v>96.83</v>
      </c>
      <c r="AI8" s="3058">
        <f t="shared" si="46"/>
        <v>106.59</v>
      </c>
      <c r="AJ8" s="3058">
        <f t="shared" si="47"/>
        <v>108.94999999999999</v>
      </c>
      <c r="AK8" s="3058">
        <f t="shared" si="48"/>
        <v>96.83</v>
      </c>
      <c r="AM8" s="3058">
        <f t="shared" si="49"/>
        <v>100</v>
      </c>
      <c r="AN8" s="3058">
        <f t="shared" si="50"/>
        <v>100</v>
      </c>
      <c r="AO8" s="3058">
        <f t="shared" si="51"/>
        <v>100</v>
      </c>
      <c r="AP8" s="3058">
        <f t="shared" si="52"/>
        <v>100</v>
      </c>
      <c r="AQ8" s="3058">
        <f t="shared" si="53"/>
        <v>100</v>
      </c>
      <c r="AR8" s="3058">
        <f t="shared" si="54"/>
        <v>100</v>
      </c>
    </row>
    <row r="9" spans="1:44" s="1653" customFormat="1" ht="12.75">
      <c r="A9" s="1649" t="s">
        <v>3640</v>
      </c>
      <c r="B9" s="3036">
        <v>2025</v>
      </c>
      <c r="C9" s="3037">
        <v>4</v>
      </c>
      <c r="D9" s="3043">
        <v>-0.61</v>
      </c>
      <c r="E9" s="3043">
        <v>-0.9</v>
      </c>
      <c r="F9" s="3043">
        <v>-0.47</v>
      </c>
      <c r="G9" s="3043">
        <v>0.11</v>
      </c>
      <c r="H9" s="3043">
        <v>0</v>
      </c>
      <c r="I9" s="3044">
        <f t="shared" si="23"/>
        <v>-0.47</v>
      </c>
      <c r="J9" s="2338"/>
      <c r="K9" s="1651">
        <f t="shared" si="30"/>
        <v>-6.0999999999999995E-3</v>
      </c>
      <c r="L9" s="1641">
        <f t="shared" si="31"/>
        <v>-9.0000000000000011E-3</v>
      </c>
      <c r="M9" s="1641">
        <f t="shared" si="32"/>
        <v>-4.6999999999999993E-3</v>
      </c>
      <c r="N9" s="1641">
        <f t="shared" si="33"/>
        <v>1.1000000000000001E-3</v>
      </c>
      <c r="O9" s="1641">
        <f t="shared" si="34"/>
        <v>0</v>
      </c>
      <c r="P9" s="1641">
        <f t="shared" si="35"/>
        <v>-4.6999999999999993E-3</v>
      </c>
      <c r="Q9" s="2338"/>
      <c r="R9" s="3054">
        <f>ROUND(IF(项目基本情况!$B$8="出让",SUMPRODUCT(PRODUCT(1+K9:$K$28)),SUMPRODUCT(PRODUCT(1+K9:$K$27))),4)</f>
        <v>1.0465</v>
      </c>
      <c r="S9" s="3054">
        <f>ROUND(IF(项目基本情况!$B$8="出让",SUMPRODUCT(PRODUCT(1+L9:$L$28)),SUMPRODUCT(PRODUCT(1+L9:$L$27))),4)</f>
        <v>1.016</v>
      </c>
      <c r="T9" s="3054">
        <f>ROUND(IF(项目基本情况!$B$8="出让",SUMPRODUCT(PRODUCT(1+M9:$M$28)),SUMPRODUCT(PRODUCT(1+M9:$M$27))),4)</f>
        <v>0.96830000000000005</v>
      </c>
      <c r="U9" s="3054">
        <f>ROUND(IF(项目基本情况!$B$8="出让",SUMPRODUCT(PRODUCT(1+N9:$N$28)),SUMPRODUCT(PRODUCT(1+N9:$N$27))),4)</f>
        <v>1.0659000000000001</v>
      </c>
      <c r="V9" s="3054">
        <f>ROUND(IF(项目基本情况!$B$8="出让",SUMPRODUCT(PRODUCT(1+O9:$O$28)),SUMPRODUCT(PRODUCT(1+O9:$O$27))),4)</f>
        <v>1.0894999999999999</v>
      </c>
      <c r="W9" s="3054">
        <f t="shared" si="36"/>
        <v>0.96830000000000005</v>
      </c>
      <c r="X9" s="2338"/>
      <c r="Y9" s="1641">
        <f t="shared" si="37"/>
        <v>2.9999999999999997E-4</v>
      </c>
      <c r="Z9" s="1641">
        <f t="shared" si="38"/>
        <v>-2.9999999999999997E-4</v>
      </c>
      <c r="AA9" s="1641">
        <f t="shared" si="39"/>
        <v>-3.0999999999999999E-3</v>
      </c>
      <c r="AB9" s="1641">
        <f t="shared" si="40"/>
        <v>1.2999999999999999E-3</v>
      </c>
      <c r="AC9" s="1641">
        <f t="shared" si="41"/>
        <v>0</v>
      </c>
      <c r="AD9" s="1641">
        <f t="shared" si="42"/>
        <v>-3.0999999999999999E-3</v>
      </c>
      <c r="AF9" s="3057">
        <f t="shared" si="43"/>
        <v>104.65</v>
      </c>
      <c r="AG9" s="3057">
        <f t="shared" si="44"/>
        <v>101.6</v>
      </c>
      <c r="AH9" s="3057">
        <f t="shared" si="45"/>
        <v>96.83</v>
      </c>
      <c r="AI9" s="3057">
        <f t="shared" si="46"/>
        <v>106.59</v>
      </c>
      <c r="AJ9" s="3057">
        <f t="shared" si="47"/>
        <v>108.94999999999999</v>
      </c>
      <c r="AK9" s="3057">
        <f t="shared" si="48"/>
        <v>96.83</v>
      </c>
      <c r="AM9" s="3057">
        <f t="shared" si="49"/>
        <v>100</v>
      </c>
      <c r="AN9" s="3057">
        <f t="shared" si="50"/>
        <v>100</v>
      </c>
      <c r="AO9" s="3057">
        <f t="shared" si="51"/>
        <v>100</v>
      </c>
      <c r="AP9" s="3057">
        <f t="shared" si="52"/>
        <v>100</v>
      </c>
      <c r="AQ9" s="3057">
        <f t="shared" si="53"/>
        <v>100</v>
      </c>
      <c r="AR9" s="3057">
        <f t="shared" si="54"/>
        <v>100</v>
      </c>
    </row>
    <row r="10" spans="1:44" s="1653" customFormat="1" ht="12.75">
      <c r="A10" s="1649" t="s">
        <v>3645</v>
      </c>
      <c r="B10" s="3036">
        <v>2025</v>
      </c>
      <c r="C10" s="3037">
        <v>3</v>
      </c>
      <c r="D10" s="3043">
        <v>-0.45</v>
      </c>
      <c r="E10" s="3043">
        <v>-0.22</v>
      </c>
      <c r="F10" s="3043">
        <v>-0.82</v>
      </c>
      <c r="G10" s="3043">
        <v>-0.39</v>
      </c>
      <c r="H10" s="3043">
        <v>0.04</v>
      </c>
      <c r="I10" s="3044">
        <f t="shared" ref="I10" si="55">F10</f>
        <v>-0.82</v>
      </c>
      <c r="J10" s="2338"/>
      <c r="K10" s="1651">
        <f t="shared" ref="K10" si="56">D10/100</f>
        <v>-4.5000000000000005E-3</v>
      </c>
      <c r="L10" s="1641">
        <f t="shared" ref="L10" si="57">E10/100</f>
        <v>-2.2000000000000001E-3</v>
      </c>
      <c r="M10" s="1641">
        <f t="shared" ref="M10" si="58">F10/100</f>
        <v>-8.199999999999999E-3</v>
      </c>
      <c r="N10" s="1641">
        <f t="shared" ref="N10" si="59">G10/100</f>
        <v>-3.9000000000000003E-3</v>
      </c>
      <c r="O10" s="1641">
        <f t="shared" ref="O10" si="60">H10/100</f>
        <v>4.0000000000000002E-4</v>
      </c>
      <c r="P10" s="1641">
        <f t="shared" si="10"/>
        <v>-8.199999999999999E-3</v>
      </c>
      <c r="Q10" s="2338"/>
      <c r="R10" s="3054">
        <f>ROUND(IF(项目基本情况!$B$8="出让",SUMPRODUCT(PRODUCT(1+K10:$K$28)),SUMPRODUCT(PRODUCT(1+K10:$K$27))),4)</f>
        <v>1.0529999999999999</v>
      </c>
      <c r="S10" s="3054">
        <f>ROUND(IF(项目基本情况!$B$8="出让",SUMPRODUCT(PRODUCT(1+L10:$L$28)),SUMPRODUCT(PRODUCT(1+L10:$L$27))),4)</f>
        <v>1.0251999999999999</v>
      </c>
      <c r="T10" s="3054">
        <f>ROUND(IF(项目基本情况!$B$8="出让",SUMPRODUCT(PRODUCT(1+M10:$M$28)),SUMPRODUCT(PRODUCT(1+M10:$M$27))),4)</f>
        <v>0.97289999999999999</v>
      </c>
      <c r="U10" s="3054">
        <f>ROUND(IF(项目基本情况!$B$8="出让",SUMPRODUCT(PRODUCT(1+N10:$N$28)),SUMPRODUCT(PRODUCT(1+N10:$N$27))),4)</f>
        <v>1.0647</v>
      </c>
      <c r="V10" s="3054">
        <f>ROUND(IF(项目基本情况!$B$8="出让",SUMPRODUCT(PRODUCT(1+O10:$O$28)),SUMPRODUCT(PRODUCT(1+O10:$O$27))),4)</f>
        <v>1.0894999999999999</v>
      </c>
      <c r="W10" s="3054">
        <f t="shared" si="11"/>
        <v>0.97289999999999999</v>
      </c>
      <c r="X10" s="2338"/>
      <c r="Y10" s="1641">
        <f t="shared" ref="Y10:Y15" si="61">IF(D10=0,0,ROUND(AVERAGE(D10:D23)/100,4))</f>
        <v>1.4E-3</v>
      </c>
      <c r="Z10" s="1641">
        <f t="shared" ref="Z10" si="62">IF(E10=0,0,ROUND(AVERAGE(E10:E23)/100,4))</f>
        <v>5.0000000000000001E-4</v>
      </c>
      <c r="AA10" s="1641">
        <f t="shared" ref="AA10" si="63">IF(F10=0,0,ROUND(AVERAGE(F10:F23)/100,4))</f>
        <v>-2.7000000000000001E-3</v>
      </c>
      <c r="AB10" s="1641">
        <f t="shared" ref="AB10" si="64">IF(G10=0,0,ROUND(AVERAGE(G10:G23)/100,4))</f>
        <v>2E-3</v>
      </c>
      <c r="AC10" s="1641">
        <f t="shared" ref="AC10" si="65">IF(H10=0,0,ROUND(AVERAGE(H10:H23)/100,4))</f>
        <v>4.1999999999999997E-3</v>
      </c>
      <c r="AD10" s="1641">
        <f t="shared" ref="AD10" si="66">AA10</f>
        <v>-2.7000000000000001E-3</v>
      </c>
      <c r="AF10" s="3057">
        <f t="shared" ref="AF10:AF27" si="67">$AF$28*R10</f>
        <v>105.3</v>
      </c>
      <c r="AG10" s="3057">
        <f t="shared" ref="AG10:AG27" si="68">$AF$28*S10</f>
        <v>102.51999999999998</v>
      </c>
      <c r="AH10" s="3057">
        <f t="shared" ref="AH10:AH27" si="69">$AF$28*T10</f>
        <v>97.289999999999992</v>
      </c>
      <c r="AI10" s="3057">
        <f t="shared" ref="AI10:AI27" si="70">$AF$28*U10</f>
        <v>106.47</v>
      </c>
      <c r="AJ10" s="3057">
        <f t="shared" ref="AJ10:AJ27" si="71">$AF$28*V10</f>
        <v>108.94999999999999</v>
      </c>
      <c r="AK10" s="3057">
        <f t="shared" ref="AK10:AK27" si="72">$AF$28*W10</f>
        <v>97.289999999999992</v>
      </c>
      <c r="AM10" s="3057">
        <f>AM5/(1+D5/100)</f>
        <v>100</v>
      </c>
      <c r="AN10" s="3057">
        <f t="shared" ref="AN10:AR10" si="73">AN5/(1+E5/100)</f>
        <v>100</v>
      </c>
      <c r="AO10" s="3057">
        <f t="shared" si="73"/>
        <v>100</v>
      </c>
      <c r="AP10" s="3057">
        <f t="shared" si="73"/>
        <v>100</v>
      </c>
      <c r="AQ10" s="3057">
        <f t="shared" si="73"/>
        <v>100</v>
      </c>
      <c r="AR10" s="3057">
        <f t="shared" si="73"/>
        <v>100</v>
      </c>
    </row>
    <row r="11" spans="1:44" s="1653" customFormat="1" ht="12.75">
      <c r="A11" s="1649" t="s">
        <v>3281</v>
      </c>
      <c r="B11" s="3036">
        <v>2025</v>
      </c>
      <c r="C11" s="3037">
        <v>2</v>
      </c>
      <c r="D11" s="3043">
        <v>0.05</v>
      </c>
      <c r="E11" s="3043">
        <v>-0.62</v>
      </c>
      <c r="F11" s="3043">
        <v>-1.05</v>
      </c>
      <c r="G11" s="3043">
        <v>0.09</v>
      </c>
      <c r="H11" s="3043">
        <v>0.17</v>
      </c>
      <c r="I11" s="3044">
        <f t="shared" ref="I11" si="74">F11</f>
        <v>-1.05</v>
      </c>
      <c r="J11" s="2338"/>
      <c r="K11" s="1651">
        <f t="shared" ref="K11" si="75">D11/100</f>
        <v>5.0000000000000001E-4</v>
      </c>
      <c r="L11" s="1641">
        <f t="shared" ref="L11" si="76">E11/100</f>
        <v>-6.1999999999999998E-3</v>
      </c>
      <c r="M11" s="1641">
        <f t="shared" ref="M11" si="77">F11/100</f>
        <v>-1.0500000000000001E-2</v>
      </c>
      <c r="N11" s="1641">
        <f t="shared" ref="N11" si="78">G11/100</f>
        <v>8.9999999999999998E-4</v>
      </c>
      <c r="O11" s="1641">
        <f t="shared" ref="O11" si="79">H11/100</f>
        <v>1.7000000000000001E-3</v>
      </c>
      <c r="P11" s="1641">
        <f t="shared" si="10"/>
        <v>-1.0500000000000001E-2</v>
      </c>
      <c r="Q11" s="2338"/>
      <c r="R11" s="3054">
        <f>ROUND(IF(项目基本情况!$B$8="出让",SUMPRODUCT(PRODUCT(1+K11:$K$28)),SUMPRODUCT(PRODUCT(1+K11:$K$27))),4)</f>
        <v>1.0577000000000001</v>
      </c>
      <c r="S11" s="3054">
        <f>ROUND(IF(项目基本情况!$B$8="出让",SUMPRODUCT(PRODUCT(1+L11:$L$28)),SUMPRODUCT(PRODUCT(1+L11:$L$27))),4)</f>
        <v>1.0275000000000001</v>
      </c>
      <c r="T11" s="3054">
        <f>ROUND(IF(项目基本情况!$B$8="出让",SUMPRODUCT(PRODUCT(1+M11:$M$28)),SUMPRODUCT(PRODUCT(1+M11:$M$27))),4)</f>
        <v>0.98089999999999999</v>
      </c>
      <c r="U11" s="3054">
        <f>ROUND(IF(项目基本情况!$B$8="出让",SUMPRODUCT(PRODUCT(1+N11:$N$28)),SUMPRODUCT(PRODUCT(1+N11:$N$27))),4)</f>
        <v>1.0689</v>
      </c>
      <c r="V11" s="3054">
        <f>ROUND(IF(项目基本情况!$B$8="出让",SUMPRODUCT(PRODUCT(1+O11:$O$28)),SUMPRODUCT(PRODUCT(1+O11:$O$27))),4)</f>
        <v>1.0891</v>
      </c>
      <c r="W11" s="3054">
        <f t="shared" si="11"/>
        <v>0.98089999999999999</v>
      </c>
      <c r="X11" s="2338"/>
      <c r="Y11" s="1641">
        <f t="shared" si="61"/>
        <v>2.3E-3</v>
      </c>
      <c r="Z11" s="1641">
        <f t="shared" ref="Z11" si="80">IF(E11=0,0,ROUND(AVERAGE(E11:E24)/100,4))</f>
        <v>1E-3</v>
      </c>
      <c r="AA11" s="1641">
        <f t="shared" ref="AA11" si="81">IF(F11=0,0,ROUND(AVERAGE(F11:F24)/100,4))</f>
        <v>-1.9E-3</v>
      </c>
      <c r="AB11" s="1641">
        <f t="shared" ref="AB11" si="82">IF(G11=0,0,ROUND(AVERAGE(G11:G24)/100,4))</f>
        <v>2.8999999999999998E-3</v>
      </c>
      <c r="AC11" s="1641">
        <f t="shared" ref="AC11" si="83">IF(H11=0,0,ROUND(AVERAGE(H11:H24)/100,4))</f>
        <v>4.7000000000000002E-3</v>
      </c>
      <c r="AD11" s="1641">
        <f t="shared" ref="AD11" si="84">AA11</f>
        <v>-1.9E-3</v>
      </c>
      <c r="AF11" s="3057">
        <f t="shared" si="67"/>
        <v>105.77000000000001</v>
      </c>
      <c r="AG11" s="3057">
        <f t="shared" si="68"/>
        <v>102.75000000000001</v>
      </c>
      <c r="AH11" s="3057">
        <f t="shared" si="69"/>
        <v>98.09</v>
      </c>
      <c r="AI11" s="3057">
        <f t="shared" si="70"/>
        <v>106.89</v>
      </c>
      <c r="AJ11" s="3057">
        <f t="shared" si="71"/>
        <v>108.91</v>
      </c>
      <c r="AK11" s="3057">
        <f t="shared" si="72"/>
        <v>98.09</v>
      </c>
      <c r="AM11" s="3057">
        <f t="shared" ref="AM11:AM28" si="85">AM10/(1+D10/100)</f>
        <v>100.45203415369161</v>
      </c>
      <c r="AN11" s="3057">
        <f t="shared" ref="AN11:AN28" si="86">AN10/(1+E10/100)</f>
        <v>100.22048506714772</v>
      </c>
      <c r="AO11" s="3057">
        <f t="shared" ref="AO11:AO28" si="87">AO10/(1+F10/100)</f>
        <v>100.8267795926598</v>
      </c>
      <c r="AP11" s="3057">
        <f t="shared" ref="AP11:AP28" si="88">AP10/(1+G10/100)</f>
        <v>100.39152695512499</v>
      </c>
      <c r="AQ11" s="3057">
        <f t="shared" ref="AQ11:AQ28" si="89">AQ10/(1+H10/100)</f>
        <v>99.960015993602568</v>
      </c>
      <c r="AR11" s="3057">
        <f t="shared" ref="AR11:AR28" si="90">AR10/(1+I10/100)</f>
        <v>100.8267795926598</v>
      </c>
    </row>
    <row r="12" spans="1:44" s="1653" customFormat="1" ht="12.75">
      <c r="A12" s="1649" t="s">
        <v>3272</v>
      </c>
      <c r="B12" s="3036">
        <v>2025</v>
      </c>
      <c r="C12" s="3037">
        <v>1</v>
      </c>
      <c r="D12" s="3043">
        <v>0.56999999999999995</v>
      </c>
      <c r="E12" s="3043">
        <v>-0.56999999999999995</v>
      </c>
      <c r="F12" s="3043">
        <v>-0.9</v>
      </c>
      <c r="G12" s="3043">
        <v>1.1200000000000001</v>
      </c>
      <c r="H12" s="3043">
        <v>0.42</v>
      </c>
      <c r="I12" s="3044">
        <f t="shared" ref="I12" si="91">F12</f>
        <v>-0.9</v>
      </c>
      <c r="J12" s="2338"/>
      <c r="K12" s="1651">
        <f t="shared" ref="K12" si="92">D12/100</f>
        <v>5.6999999999999993E-3</v>
      </c>
      <c r="L12" s="1641">
        <f t="shared" ref="L12" si="93">E12/100</f>
        <v>-5.6999999999999993E-3</v>
      </c>
      <c r="M12" s="1641">
        <f t="shared" ref="M12" si="94">F12/100</f>
        <v>-9.0000000000000011E-3</v>
      </c>
      <c r="N12" s="1641">
        <f t="shared" ref="N12" si="95">G12/100</f>
        <v>1.1200000000000002E-2</v>
      </c>
      <c r="O12" s="1641">
        <f t="shared" ref="O12" si="96">H12/100</f>
        <v>4.1999999999999997E-3</v>
      </c>
      <c r="P12" s="1641">
        <f t="shared" si="10"/>
        <v>-9.0000000000000011E-3</v>
      </c>
      <c r="Q12" s="2338"/>
      <c r="R12" s="3054">
        <f>ROUND(IF(项目基本情况!$B$8="出让",SUMPRODUCT(PRODUCT(1+K12:$K$28)),SUMPRODUCT(PRODUCT(1+K12:$K$27))),4)</f>
        <v>1.0571999999999999</v>
      </c>
      <c r="S12" s="3054">
        <f>ROUND(IF(项目基本情况!$B$8="出让",SUMPRODUCT(PRODUCT(1+L12:$L$28)),SUMPRODUCT(PRODUCT(1+L12:$L$27))),4)</f>
        <v>1.0339</v>
      </c>
      <c r="T12" s="3054">
        <f>ROUND(IF(项目基本情况!$B$8="出让",SUMPRODUCT(PRODUCT(1+M12:$M$28)),SUMPRODUCT(PRODUCT(1+M12:$M$27))),4)</f>
        <v>0.99129999999999996</v>
      </c>
      <c r="U12" s="3054">
        <f>ROUND(IF(项目基本情况!$B$8="出让",SUMPRODUCT(PRODUCT(1+N12:$N$28)),SUMPRODUCT(PRODUCT(1+N12:$N$27))),4)</f>
        <v>1.0679000000000001</v>
      </c>
      <c r="V12" s="3054">
        <f>ROUND(IF(项目基本情况!$B$8="出让",SUMPRODUCT(PRODUCT(1+O12:$O$28)),SUMPRODUCT(PRODUCT(1+O12:$O$27))),4)</f>
        <v>1.0871999999999999</v>
      </c>
      <c r="W12" s="3054">
        <f t="shared" si="11"/>
        <v>0.99129999999999996</v>
      </c>
      <c r="X12" s="2338"/>
      <c r="Y12" s="1641">
        <f t="shared" si="61"/>
        <v>3.0000000000000001E-3</v>
      </c>
      <c r="Z12" s="1641">
        <f t="shared" ref="Z12" si="97">IF(E12=0,0,ROUND(AVERAGE(E12:E25)/100,4))</f>
        <v>1.6000000000000001E-3</v>
      </c>
      <c r="AA12" s="1641">
        <f t="shared" ref="AA12" si="98">IF(F12=0,0,ROUND(AVERAGE(F12:F25)/100,4))</f>
        <v>-1.1000000000000001E-3</v>
      </c>
      <c r="AB12" s="1641">
        <f t="shared" ref="AB12" si="99">IF(G12=0,0,ROUND(AVERAGE(G12:G25)/100,4))</f>
        <v>3.7000000000000002E-3</v>
      </c>
      <c r="AC12" s="1641">
        <f t="shared" ref="AC12" si="100">IF(H12=0,0,ROUND(AVERAGE(H12:H25)/100,4))</f>
        <v>4.8999999999999998E-3</v>
      </c>
      <c r="AD12" s="1641">
        <f t="shared" ref="AD12" si="101">AA12</f>
        <v>-1.1000000000000001E-3</v>
      </c>
      <c r="AF12" s="3057">
        <f t="shared" si="67"/>
        <v>105.72</v>
      </c>
      <c r="AG12" s="3057">
        <f t="shared" si="68"/>
        <v>103.39</v>
      </c>
      <c r="AH12" s="3057">
        <f t="shared" si="69"/>
        <v>99.13</v>
      </c>
      <c r="AI12" s="3057">
        <f t="shared" si="70"/>
        <v>106.79</v>
      </c>
      <c r="AJ12" s="3057">
        <f t="shared" si="71"/>
        <v>108.72</v>
      </c>
      <c r="AK12" s="3057">
        <f t="shared" si="72"/>
        <v>99.13</v>
      </c>
      <c r="AM12" s="3057">
        <f t="shared" si="85"/>
        <v>100.40183323707308</v>
      </c>
      <c r="AN12" s="3057">
        <f t="shared" si="86"/>
        <v>100.84572858437082</v>
      </c>
      <c r="AO12" s="3057">
        <f t="shared" si="87"/>
        <v>101.89669488899423</v>
      </c>
      <c r="AP12" s="3057">
        <f t="shared" si="88"/>
        <v>100.3012558248826</v>
      </c>
      <c r="AQ12" s="3057">
        <f t="shared" si="89"/>
        <v>99.790372360589558</v>
      </c>
      <c r="AR12" s="3057">
        <f t="shared" si="90"/>
        <v>101.89669488899423</v>
      </c>
    </row>
    <row r="13" spans="1:44" s="1653" customFormat="1" ht="12.75">
      <c r="A13" s="1649" t="s">
        <v>3271</v>
      </c>
      <c r="B13" s="3036">
        <v>2024</v>
      </c>
      <c r="C13" s="3037">
        <v>4</v>
      </c>
      <c r="D13" s="3043">
        <v>-1.02</v>
      </c>
      <c r="E13" s="3043">
        <v>-0.48</v>
      </c>
      <c r="F13" s="3043">
        <v>-0.75</v>
      </c>
      <c r="G13" s="3043">
        <v>-1.05</v>
      </c>
      <c r="H13" s="3043">
        <v>0.08</v>
      </c>
      <c r="I13" s="3044">
        <f t="shared" ref="I13" si="102">F13</f>
        <v>-0.75</v>
      </c>
      <c r="J13" s="2338"/>
      <c r="K13" s="1651">
        <f t="shared" ref="K13" si="103">D13/100</f>
        <v>-1.0200000000000001E-2</v>
      </c>
      <c r="L13" s="1641">
        <f t="shared" ref="L13" si="104">E13/100</f>
        <v>-4.7999999999999996E-3</v>
      </c>
      <c r="M13" s="1641">
        <f t="shared" ref="M13" si="105">F13/100</f>
        <v>-7.4999999999999997E-3</v>
      </c>
      <c r="N13" s="1641">
        <f t="shared" ref="N13" si="106">G13/100</f>
        <v>-1.0500000000000001E-2</v>
      </c>
      <c r="O13" s="1641">
        <f t="shared" ref="O13" si="107">H13/100</f>
        <v>8.0000000000000004E-4</v>
      </c>
      <c r="P13" s="1641">
        <f t="shared" si="10"/>
        <v>-7.4999999999999997E-3</v>
      </c>
      <c r="Q13" s="2338"/>
      <c r="R13" s="3054">
        <f>ROUND(IF(项目基本情况!$B$8="出让",SUMPRODUCT(PRODUCT(1+K13:$K$28)),SUMPRODUCT(PRODUCT(1+K13:$K$27))),4)</f>
        <v>1.0511999999999999</v>
      </c>
      <c r="S13" s="3054">
        <f>ROUND(IF(项目基本情况!$B$8="出让",SUMPRODUCT(PRODUCT(1+L13:$L$28)),SUMPRODUCT(PRODUCT(1+L13:$L$27))),4)</f>
        <v>1.0398000000000001</v>
      </c>
      <c r="T13" s="3054">
        <f>ROUND(IF(项目基本情况!$B$8="出让",SUMPRODUCT(PRODUCT(1+M13:$M$28)),SUMPRODUCT(PRODUCT(1+M13:$M$27))),4)</f>
        <v>1.0003</v>
      </c>
      <c r="U13" s="3054">
        <f>ROUND(IF(项目基本情况!$B$8="出让",SUMPRODUCT(PRODUCT(1+N13:$N$28)),SUMPRODUCT(PRODUCT(1+N13:$N$27))),4)</f>
        <v>1.0561</v>
      </c>
      <c r="V13" s="3054">
        <f>ROUND(IF(项目基本情况!$B$8="出让",SUMPRODUCT(PRODUCT(1+O13:$O$28)),SUMPRODUCT(PRODUCT(1+O13:$O$27))),4)</f>
        <v>1.0827</v>
      </c>
      <c r="W13" s="3054">
        <f t="shared" si="11"/>
        <v>1.0003</v>
      </c>
      <c r="X13" s="2338"/>
      <c r="Y13" s="1641">
        <f t="shared" si="61"/>
        <v>2.8999999999999998E-3</v>
      </c>
      <c r="Z13" s="1641">
        <f t="shared" ref="Z13" si="108">IF(E13=0,0,ROUND(AVERAGE(E13:E26)/100,4))</f>
        <v>2.3E-3</v>
      </c>
      <c r="AA13" s="1641">
        <f t="shared" ref="AA13" si="109">IF(F13=0,0,ROUND(AVERAGE(F13:F26)/100,4))</f>
        <v>-2.9999999999999997E-4</v>
      </c>
      <c r="AB13" s="1641">
        <f t="shared" ref="AB13" si="110">IF(G13=0,0,ROUND(AVERAGE(G13:G26)/100,4))</f>
        <v>3.3E-3</v>
      </c>
      <c r="AC13" s="1641">
        <f t="shared" ref="AC13" si="111">IF(H13=0,0,ROUND(AVERAGE(H13:H26)/100,4))</f>
        <v>5.0000000000000001E-3</v>
      </c>
      <c r="AD13" s="1641">
        <f t="shared" ref="AD13" si="112">AA13</f>
        <v>-2.9999999999999997E-4</v>
      </c>
      <c r="AF13" s="3057">
        <f t="shared" si="67"/>
        <v>105.11999999999999</v>
      </c>
      <c r="AG13" s="3057">
        <f t="shared" si="68"/>
        <v>103.98</v>
      </c>
      <c r="AH13" s="3057">
        <f t="shared" si="69"/>
        <v>100.03</v>
      </c>
      <c r="AI13" s="3057">
        <f t="shared" si="70"/>
        <v>105.61</v>
      </c>
      <c r="AJ13" s="3057">
        <f t="shared" si="71"/>
        <v>108.27</v>
      </c>
      <c r="AK13" s="3057">
        <f t="shared" si="72"/>
        <v>100.03</v>
      </c>
      <c r="AM13" s="3057">
        <f t="shared" si="85"/>
        <v>99.832786354850427</v>
      </c>
      <c r="AN13" s="3057">
        <f t="shared" si="86"/>
        <v>101.42384449800947</v>
      </c>
      <c r="AO13" s="3057">
        <f t="shared" si="87"/>
        <v>102.82209373258752</v>
      </c>
      <c r="AP13" s="3057">
        <f t="shared" si="88"/>
        <v>99.190324193910797</v>
      </c>
      <c r="AQ13" s="3057">
        <f t="shared" si="89"/>
        <v>99.373005736496282</v>
      </c>
      <c r="AR13" s="3057">
        <f t="shared" si="90"/>
        <v>102.82209373258752</v>
      </c>
    </row>
    <row r="14" spans="1:44" s="1653" customFormat="1" ht="12.75">
      <c r="A14" s="1649" t="s">
        <v>3264</v>
      </c>
      <c r="B14" s="3036">
        <v>2024</v>
      </c>
      <c r="C14" s="3037">
        <v>3</v>
      </c>
      <c r="D14" s="3043">
        <v>-1.19</v>
      </c>
      <c r="E14" s="3043">
        <v>-0.47</v>
      </c>
      <c r="F14" s="3043">
        <v>-0.28999999999999998</v>
      </c>
      <c r="G14" s="3043">
        <v>-0.74</v>
      </c>
      <c r="H14" s="3043">
        <v>-0.21</v>
      </c>
      <c r="I14" s="3044">
        <f t="shared" ref="I14" si="113">F14</f>
        <v>-0.28999999999999998</v>
      </c>
      <c r="J14" s="2338"/>
      <c r="K14" s="1651">
        <f t="shared" ref="K14" si="114">D14/100</f>
        <v>-1.1899999999999999E-2</v>
      </c>
      <c r="L14" s="1641">
        <f t="shared" ref="L14" si="115">E14/100</f>
        <v>-4.6999999999999993E-3</v>
      </c>
      <c r="M14" s="1641">
        <f t="shared" ref="M14" si="116">F14/100</f>
        <v>-2.8999999999999998E-3</v>
      </c>
      <c r="N14" s="1641">
        <f t="shared" ref="N14" si="117">G14/100</f>
        <v>-7.4000000000000003E-3</v>
      </c>
      <c r="O14" s="1641">
        <f t="shared" ref="O14" si="118">H14/100</f>
        <v>-2.0999999999999999E-3</v>
      </c>
      <c r="P14" s="1641">
        <f t="shared" si="10"/>
        <v>-2.8999999999999998E-3</v>
      </c>
      <c r="Q14" s="2338"/>
      <c r="R14" s="3054">
        <f>ROUND(IF(项目基本情况!$B$8="出让",SUMPRODUCT(PRODUCT(1+K14:$K$28)),SUMPRODUCT(PRODUCT(1+K14:$K$27))),4)</f>
        <v>1.0620000000000001</v>
      </c>
      <c r="S14" s="3054">
        <f>ROUND(IF(项目基本情况!$B$8="出让",SUMPRODUCT(PRODUCT(1+L14:$L$28)),SUMPRODUCT(PRODUCT(1+L14:$L$27))),4)</f>
        <v>1.0448</v>
      </c>
      <c r="T14" s="3054">
        <f>ROUND(IF(项目基本情况!$B$8="出让",SUMPRODUCT(PRODUCT(1+M14:$M$28)),SUMPRODUCT(PRODUCT(1+M14:$M$27))),4)</f>
        <v>1.0079</v>
      </c>
      <c r="U14" s="3054">
        <f>ROUND(IF(项目基本情况!$B$8="出让",SUMPRODUCT(PRODUCT(1+N14:$N$28)),SUMPRODUCT(PRODUCT(1+N14:$N$27))),4)</f>
        <v>1.0672999999999999</v>
      </c>
      <c r="V14" s="3054">
        <f>ROUND(IF(项目基本情况!$B$8="出让",SUMPRODUCT(PRODUCT(1+O14:$O$28)),SUMPRODUCT(PRODUCT(1+O14:$O$27))),4)</f>
        <v>1.0818000000000001</v>
      </c>
      <c r="W14" s="3054">
        <f t="shared" si="11"/>
        <v>1.0079</v>
      </c>
      <c r="X14" s="2338"/>
      <c r="Y14" s="1641">
        <f t="shared" si="61"/>
        <v>4.3E-3</v>
      </c>
      <c r="Z14" s="1641">
        <f t="shared" ref="Z14" si="119">IF(E14=0,0,ROUND(AVERAGE(E14:E27)/100,4))</f>
        <v>3.0999999999999999E-3</v>
      </c>
      <c r="AA14" s="1641">
        <f t="shared" ref="AA14" si="120">IF(F14=0,0,ROUND(AVERAGE(F14:F27)/100,4))</f>
        <v>5.9999999999999995E-4</v>
      </c>
      <c r="AB14" s="1641">
        <f t="shared" ref="AB14" si="121">IF(G14=0,0,ROUND(AVERAGE(G14:G27)/100,4))</f>
        <v>4.7000000000000002E-3</v>
      </c>
      <c r="AC14" s="1641">
        <f t="shared" ref="AC14" si="122">IF(H14=0,0,ROUND(AVERAGE(H14:H27)/100,4))</f>
        <v>5.5999999999999999E-3</v>
      </c>
      <c r="AD14" s="1641">
        <f t="shared" ref="AD14" si="123">AA14</f>
        <v>5.9999999999999995E-4</v>
      </c>
      <c r="AF14" s="3057">
        <f t="shared" si="67"/>
        <v>106.2</v>
      </c>
      <c r="AG14" s="3057">
        <f t="shared" si="68"/>
        <v>104.47999999999999</v>
      </c>
      <c r="AH14" s="3057">
        <f t="shared" si="69"/>
        <v>100.79</v>
      </c>
      <c r="AI14" s="3057">
        <f t="shared" si="70"/>
        <v>106.72999999999999</v>
      </c>
      <c r="AJ14" s="3057">
        <f t="shared" si="71"/>
        <v>108.18</v>
      </c>
      <c r="AK14" s="3057">
        <f t="shared" si="72"/>
        <v>100.79</v>
      </c>
      <c r="AM14" s="3057">
        <f t="shared" si="85"/>
        <v>100.86157441387192</v>
      </c>
      <c r="AN14" s="3057">
        <f t="shared" si="86"/>
        <v>101.91302702774264</v>
      </c>
      <c r="AO14" s="3057">
        <f t="shared" si="87"/>
        <v>103.59908688421916</v>
      </c>
      <c r="AP14" s="3057">
        <f t="shared" si="88"/>
        <v>100.24287437484668</v>
      </c>
      <c r="AQ14" s="3057">
        <f t="shared" si="89"/>
        <v>99.293570879792455</v>
      </c>
      <c r="AR14" s="3057">
        <f t="shared" si="90"/>
        <v>103.59908688421916</v>
      </c>
    </row>
    <row r="15" spans="1:44" s="1653" customFormat="1" ht="12.75">
      <c r="A15" s="2336" t="s">
        <v>3258</v>
      </c>
      <c r="B15" s="3036">
        <v>2024</v>
      </c>
      <c r="C15" s="3037">
        <v>2</v>
      </c>
      <c r="D15" s="3043">
        <v>-0.59</v>
      </c>
      <c r="E15" s="3043">
        <v>-0.21</v>
      </c>
      <c r="F15" s="3043">
        <v>-1.38</v>
      </c>
      <c r="G15" s="3043">
        <v>-1.24</v>
      </c>
      <c r="H15" s="3048">
        <v>0.34</v>
      </c>
      <c r="I15" s="3044">
        <f t="shared" ref="I15:I28" si="124">F15</f>
        <v>-1.38</v>
      </c>
      <c r="J15" s="2338"/>
      <c r="K15" s="1651">
        <f t="shared" ref="K15:O28" si="125">D15/100</f>
        <v>-5.8999999999999999E-3</v>
      </c>
      <c r="L15" s="1641">
        <f t="shared" si="125"/>
        <v>-2.0999999999999999E-3</v>
      </c>
      <c r="M15" s="1641">
        <f t="shared" si="125"/>
        <v>-1.38E-2</v>
      </c>
      <c r="N15" s="1641">
        <f t="shared" si="125"/>
        <v>-1.24E-2</v>
      </c>
      <c r="O15" s="1641">
        <f t="shared" si="125"/>
        <v>3.4000000000000002E-3</v>
      </c>
      <c r="P15" s="1641">
        <f t="shared" si="10"/>
        <v>-1.38E-2</v>
      </c>
      <c r="Q15" s="2338"/>
      <c r="R15" s="3054">
        <f>ROUND(IF(项目基本情况!$B$8="出让",SUMPRODUCT(PRODUCT(1+K15:$K$28)),SUMPRODUCT(PRODUCT(1+K15:$K$27))),4)</f>
        <v>1.0748</v>
      </c>
      <c r="S15" s="3054">
        <f>ROUND(IF(项目基本情况!$B$8="出让",SUMPRODUCT(PRODUCT(1+L15:$L$28)),SUMPRODUCT(PRODUCT(1+L15:$L$27))),4)</f>
        <v>1.0498000000000001</v>
      </c>
      <c r="T15" s="3054">
        <f>ROUND(IF(项目基本情况!$B$8="出让",SUMPRODUCT(PRODUCT(1+M15:$M$28)),SUMPRODUCT(PRODUCT(1+M15:$M$27))),4)</f>
        <v>1.0107999999999999</v>
      </c>
      <c r="U15" s="3054">
        <f>ROUND(IF(项目基本情况!$B$8="出让",SUMPRODUCT(PRODUCT(1+N15:$N$28)),SUMPRODUCT(PRODUCT(1+N15:$N$27))),4)</f>
        <v>1.0752999999999999</v>
      </c>
      <c r="V15" s="3054">
        <f>ROUND(IF(项目基本情况!$B$8="出让",SUMPRODUCT(PRODUCT(1+O15:$O$28)),SUMPRODUCT(PRODUCT(1+O15:$O$27))),4)</f>
        <v>1.0841000000000001</v>
      </c>
      <c r="W15" s="3054">
        <f t="shared" si="11"/>
        <v>1.0107999999999999</v>
      </c>
      <c r="X15" s="2338"/>
      <c r="Y15" s="1641">
        <f t="shared" si="61"/>
        <v>5.8999999999999999E-3</v>
      </c>
      <c r="Z15" s="1641">
        <f t="shared" ref="Z15:AC15" si="126">IF(E15=0,0,ROUND(AVERAGE(E15:E28)/100,4))</f>
        <v>3.5999999999999999E-3</v>
      </c>
      <c r="AA15" s="1641">
        <f t="shared" si="126"/>
        <v>5.9999999999999995E-4</v>
      </c>
      <c r="AB15" s="1641">
        <f t="shared" si="126"/>
        <v>6.0000000000000001E-3</v>
      </c>
      <c r="AC15" s="1641">
        <f t="shared" si="126"/>
        <v>6.0000000000000001E-3</v>
      </c>
      <c r="AD15" s="1641">
        <f t="shared" ref="AD15:AD27" si="127">AA15</f>
        <v>5.9999999999999995E-4</v>
      </c>
      <c r="AF15" s="3057">
        <f t="shared" si="67"/>
        <v>107.48</v>
      </c>
      <c r="AG15" s="3057">
        <f t="shared" si="68"/>
        <v>104.98</v>
      </c>
      <c r="AH15" s="3057">
        <f t="shared" si="69"/>
        <v>101.08</v>
      </c>
      <c r="AI15" s="3057">
        <f t="shared" si="70"/>
        <v>107.52999999999999</v>
      </c>
      <c r="AJ15" s="3057">
        <f t="shared" si="71"/>
        <v>108.41000000000001</v>
      </c>
      <c r="AK15" s="3057">
        <f t="shared" si="72"/>
        <v>101.08</v>
      </c>
      <c r="AM15" s="3057">
        <f t="shared" si="85"/>
        <v>102.07628217171533</v>
      </c>
      <c r="AN15" s="3057">
        <f t="shared" si="86"/>
        <v>102.39428014442143</v>
      </c>
      <c r="AO15" s="3057">
        <f t="shared" si="87"/>
        <v>103.90039803853091</v>
      </c>
      <c r="AP15" s="3057">
        <f t="shared" si="88"/>
        <v>100.99020186867487</v>
      </c>
      <c r="AQ15" s="3057">
        <f t="shared" si="89"/>
        <v>99.502526184780493</v>
      </c>
      <c r="AR15" s="3057">
        <f t="shared" si="90"/>
        <v>103.90039803853091</v>
      </c>
    </row>
    <row r="16" spans="1:44" s="1653" customFormat="1" ht="12.75">
      <c r="A16" s="2336" t="s">
        <v>3257</v>
      </c>
      <c r="B16" s="3036">
        <v>2024</v>
      </c>
      <c r="C16" s="3037">
        <v>1</v>
      </c>
      <c r="D16" s="3043">
        <v>0.08</v>
      </c>
      <c r="E16" s="3043">
        <v>0.46</v>
      </c>
      <c r="F16" s="3043">
        <v>-0.16</v>
      </c>
      <c r="G16" s="3043">
        <v>0.26</v>
      </c>
      <c r="H16" s="3048">
        <v>0.59</v>
      </c>
      <c r="I16" s="3044">
        <f t="shared" si="124"/>
        <v>-0.16</v>
      </c>
      <c r="J16" s="2338"/>
      <c r="K16" s="1651">
        <f t="shared" ref="K16" si="128">D16/100</f>
        <v>8.0000000000000004E-4</v>
      </c>
      <c r="L16" s="1641">
        <f t="shared" ref="L16" si="129">E16/100</f>
        <v>4.5999999999999999E-3</v>
      </c>
      <c r="M16" s="1641">
        <f t="shared" ref="M16" si="130">F16/100</f>
        <v>-1.6000000000000001E-3</v>
      </c>
      <c r="N16" s="1641">
        <f t="shared" ref="N16" si="131">G16/100</f>
        <v>2.5999999999999999E-3</v>
      </c>
      <c r="O16" s="1641">
        <f t="shared" ref="O16" si="132">H16/100</f>
        <v>5.8999999999999999E-3</v>
      </c>
      <c r="P16" s="1641">
        <f t="shared" ref="P16" si="133">M16</f>
        <v>-1.6000000000000001E-3</v>
      </c>
      <c r="Q16" s="2338"/>
      <c r="R16" s="3054">
        <f>ROUND(IF(项目基本情况!$B$8="出让",SUMPRODUCT(PRODUCT(1+K16:$K$28)),SUMPRODUCT(PRODUCT(1+K16:$K$27))),4)</f>
        <v>1.0811999999999999</v>
      </c>
      <c r="S16" s="3054">
        <f>ROUND(IF(项目基本情况!$B$8="出让",SUMPRODUCT(PRODUCT(1+L16:$L$28)),SUMPRODUCT(PRODUCT(1+L16:$L$27))),4)</f>
        <v>1.052</v>
      </c>
      <c r="T16" s="3054">
        <f>ROUND(IF(项目基本情况!$B$8="出让",SUMPRODUCT(PRODUCT(1+M16:$M$28)),SUMPRODUCT(PRODUCT(1+M16:$M$27))),4)</f>
        <v>1.0249999999999999</v>
      </c>
      <c r="U16" s="3054">
        <f>ROUND(IF(项目基本情况!$B$8="出让",SUMPRODUCT(PRODUCT(1+N16:$N$28)),SUMPRODUCT(PRODUCT(1+N16:$N$27))),4)</f>
        <v>1.0888</v>
      </c>
      <c r="V16" s="3054">
        <f>ROUND(IF(项目基本情况!$B$8="出让",SUMPRODUCT(PRODUCT(1+O16:$O$28)),SUMPRODUCT(PRODUCT(1+O16:$O$27))),4)</f>
        <v>1.0804</v>
      </c>
      <c r="W16" s="3054">
        <f t="shared" ref="W16" si="134">T16</f>
        <v>1.0249999999999999</v>
      </c>
      <c r="X16" s="2338"/>
      <c r="Y16" s="1641"/>
      <c r="Z16" s="1641"/>
      <c r="AA16" s="1641"/>
      <c r="AB16" s="1641"/>
      <c r="AC16" s="1641"/>
      <c r="AD16" s="1641"/>
      <c r="AF16" s="3057">
        <f t="shared" si="67"/>
        <v>108.11999999999999</v>
      </c>
      <c r="AG16" s="3057">
        <f t="shared" si="68"/>
        <v>105.2</v>
      </c>
      <c r="AH16" s="3057">
        <f t="shared" si="69"/>
        <v>102.49999999999999</v>
      </c>
      <c r="AI16" s="3057">
        <f t="shared" si="70"/>
        <v>108.88</v>
      </c>
      <c r="AJ16" s="3057">
        <f t="shared" si="71"/>
        <v>108.04</v>
      </c>
      <c r="AK16" s="3057">
        <f t="shared" si="72"/>
        <v>102.49999999999999</v>
      </c>
      <c r="AM16" s="3057">
        <f t="shared" si="85"/>
        <v>102.68210660065922</v>
      </c>
      <c r="AN16" s="3057">
        <f t="shared" si="86"/>
        <v>102.60976064176914</v>
      </c>
      <c r="AO16" s="3057">
        <f t="shared" si="87"/>
        <v>105.35428720191737</v>
      </c>
      <c r="AP16" s="3057">
        <f t="shared" si="88"/>
        <v>102.25820359323093</v>
      </c>
      <c r="AQ16" s="3057">
        <f t="shared" si="89"/>
        <v>99.165363947359467</v>
      </c>
      <c r="AR16" s="3057">
        <f t="shared" si="90"/>
        <v>105.35428720191737</v>
      </c>
    </row>
    <row r="17" spans="1:44" s="1653" customFormat="1" ht="12.75">
      <c r="A17" s="2336" t="s">
        <v>3253</v>
      </c>
      <c r="B17" s="3036">
        <v>2023</v>
      </c>
      <c r="C17" s="3037">
        <v>4</v>
      </c>
      <c r="D17" s="3043">
        <v>0.19</v>
      </c>
      <c r="E17" s="3043">
        <v>0.24</v>
      </c>
      <c r="F17" s="3043">
        <v>-0.16</v>
      </c>
      <c r="G17" s="3043">
        <v>0.17</v>
      </c>
      <c r="H17" s="3048">
        <v>0.61</v>
      </c>
      <c r="I17" s="3044">
        <f>F17</f>
        <v>-0.16</v>
      </c>
      <c r="J17" s="2338"/>
      <c r="K17" s="1651">
        <f t="shared" si="125"/>
        <v>1.9E-3</v>
      </c>
      <c r="L17" s="1641">
        <f t="shared" si="125"/>
        <v>2.3999999999999998E-3</v>
      </c>
      <c r="M17" s="1641">
        <f t="shared" si="125"/>
        <v>-1.6000000000000001E-3</v>
      </c>
      <c r="N17" s="1641">
        <f t="shared" si="125"/>
        <v>1.7000000000000001E-3</v>
      </c>
      <c r="O17" s="1641">
        <f t="shared" si="125"/>
        <v>6.0999999999999995E-3</v>
      </c>
      <c r="P17" s="1641">
        <f t="shared" ref="P17" si="135">M17</f>
        <v>-1.6000000000000001E-3</v>
      </c>
      <c r="Q17" s="2338"/>
      <c r="R17" s="3054">
        <f>ROUND(IF(项目基本情况!$B$8="出让",SUMPRODUCT(PRODUCT(1+K17:$K$28)),SUMPRODUCT(PRODUCT(1+K17:$K$27))),4)</f>
        <v>1.0804</v>
      </c>
      <c r="S17" s="3054">
        <f>ROUND(IF(项目基本情况!$B$8="出让",SUMPRODUCT(PRODUCT(1+L17:$L$28)),SUMPRODUCT(PRODUCT(1+L17:$L$27))),4)</f>
        <v>1.0471999999999999</v>
      </c>
      <c r="T17" s="3054">
        <f>ROUND(IF(项目基本情况!$B$8="出让",SUMPRODUCT(PRODUCT(1+M17:$M$28)),SUMPRODUCT(PRODUCT(1+M17:$M$27))),4)</f>
        <v>1.0266</v>
      </c>
      <c r="U17" s="3054">
        <f>ROUND(IF(项目基本情况!$B$8="出让",SUMPRODUCT(PRODUCT(1+N17:$N$28)),SUMPRODUCT(PRODUCT(1+N17:$N$27))),4)</f>
        <v>1.0859000000000001</v>
      </c>
      <c r="V17" s="3054">
        <f>ROUND(IF(项目基本情况!$B$8="出让",SUMPRODUCT(PRODUCT(1+O17:$O$28)),SUMPRODUCT(PRODUCT(1+O17:$O$27))),4)</f>
        <v>1.0741000000000001</v>
      </c>
      <c r="W17" s="3054">
        <f t="shared" ref="W17" si="136">T17</f>
        <v>1.0266</v>
      </c>
      <c r="X17" s="2338"/>
      <c r="Y17" s="1641"/>
      <c r="Z17" s="1641"/>
      <c r="AA17" s="1641"/>
      <c r="AB17" s="1641"/>
      <c r="AC17" s="1641"/>
      <c r="AD17" s="1641"/>
      <c r="AF17" s="3057">
        <f t="shared" si="67"/>
        <v>108.04</v>
      </c>
      <c r="AG17" s="3057">
        <f t="shared" si="68"/>
        <v>104.71999999999998</v>
      </c>
      <c r="AH17" s="3057">
        <f t="shared" si="69"/>
        <v>102.66</v>
      </c>
      <c r="AI17" s="3057">
        <f t="shared" si="70"/>
        <v>108.59</v>
      </c>
      <c r="AJ17" s="3057">
        <f t="shared" si="71"/>
        <v>107.41000000000001</v>
      </c>
      <c r="AK17" s="3057">
        <f t="shared" si="72"/>
        <v>102.66</v>
      </c>
      <c r="AM17" s="3057">
        <f t="shared" si="85"/>
        <v>102.60002657939572</v>
      </c>
      <c r="AN17" s="3057">
        <f t="shared" si="86"/>
        <v>102.13991702346122</v>
      </c>
      <c r="AO17" s="3057">
        <f t="shared" si="87"/>
        <v>105.52312420063839</v>
      </c>
      <c r="AP17" s="3057">
        <f t="shared" si="88"/>
        <v>101.99302173671548</v>
      </c>
      <c r="AQ17" s="3057">
        <f t="shared" si="89"/>
        <v>98.583719999363225</v>
      </c>
      <c r="AR17" s="3057">
        <f t="shared" si="90"/>
        <v>105.52312420063839</v>
      </c>
    </row>
    <row r="18" spans="1:44" s="1653" customFormat="1" ht="12.75">
      <c r="A18" s="2336" t="s">
        <v>3252</v>
      </c>
      <c r="B18" s="3036">
        <v>2023</v>
      </c>
      <c r="C18" s="3037">
        <v>3</v>
      </c>
      <c r="D18" s="3043">
        <v>0.25</v>
      </c>
      <c r="E18" s="3043">
        <v>0.5</v>
      </c>
      <c r="F18" s="3043">
        <v>0.31</v>
      </c>
      <c r="G18" s="3043">
        <v>0.21</v>
      </c>
      <c r="H18" s="3048">
        <v>0.43</v>
      </c>
      <c r="I18" s="3044">
        <f t="shared" si="124"/>
        <v>0.31</v>
      </c>
      <c r="J18" s="2338"/>
      <c r="K18" s="1651">
        <f t="shared" ref="K18:K20" si="137">D18/100</f>
        <v>2.5000000000000001E-3</v>
      </c>
      <c r="L18" s="1641">
        <f t="shared" ref="L18:L20" si="138">E18/100</f>
        <v>5.0000000000000001E-3</v>
      </c>
      <c r="M18" s="1641">
        <f t="shared" ref="M18:M20" si="139">F18/100</f>
        <v>3.0999999999999999E-3</v>
      </c>
      <c r="N18" s="1641">
        <f t="shared" ref="N18:N20" si="140">G18/100</f>
        <v>2.0999999999999999E-3</v>
      </c>
      <c r="O18" s="1641">
        <f t="shared" ref="O18:O20" si="141">H18/100</f>
        <v>4.3E-3</v>
      </c>
      <c r="P18" s="1641">
        <f t="shared" ref="P18:P20" si="142">M18</f>
        <v>3.0999999999999999E-3</v>
      </c>
      <c r="Q18" s="2338"/>
      <c r="R18" s="3054">
        <f>ROUND(IF(项目基本情况!$B$8="出让",SUMPRODUCT(PRODUCT(1+K18:$K$28)),SUMPRODUCT(PRODUCT(1+K18:$K$27))),4)</f>
        <v>1.0783</v>
      </c>
      <c r="S18" s="3054">
        <f>ROUND(IF(项目基本情况!$B$8="出让",SUMPRODUCT(PRODUCT(1+L18:$L$28)),SUMPRODUCT(PRODUCT(1+L18:$L$27))),4)</f>
        <v>1.0447</v>
      </c>
      <c r="T18" s="3054">
        <f>ROUND(IF(项目基本情况!$B$8="出让",SUMPRODUCT(PRODUCT(1+M18:$M$28)),SUMPRODUCT(PRODUCT(1+M18:$M$27))),4)</f>
        <v>1.0282</v>
      </c>
      <c r="U18" s="3054">
        <f>ROUND(IF(项目基本情况!$B$8="出让",SUMPRODUCT(PRODUCT(1+N18:$N$28)),SUMPRODUCT(PRODUCT(1+N18:$N$27))),4)</f>
        <v>1.0841000000000001</v>
      </c>
      <c r="V18" s="3054">
        <f>ROUND(IF(项目基本情况!$B$8="出让",SUMPRODUCT(PRODUCT(1+O18:$O$28)),SUMPRODUCT(PRODUCT(1+O18:$O$27))),4)</f>
        <v>1.0674999999999999</v>
      </c>
      <c r="W18" s="3054">
        <f t="shared" ref="W18:W19" si="143">T18</f>
        <v>1.0282</v>
      </c>
      <c r="X18" s="2338"/>
      <c r="Y18" s="1641"/>
      <c r="Z18" s="1641"/>
      <c r="AA18" s="1641"/>
      <c r="AB18" s="1641"/>
      <c r="AC18" s="1641"/>
      <c r="AD18" s="1641"/>
      <c r="AF18" s="3057">
        <f t="shared" si="67"/>
        <v>107.83</v>
      </c>
      <c r="AG18" s="3057">
        <f t="shared" si="68"/>
        <v>104.47</v>
      </c>
      <c r="AH18" s="3057">
        <f t="shared" si="69"/>
        <v>102.82</v>
      </c>
      <c r="AI18" s="3057">
        <f t="shared" si="70"/>
        <v>108.41000000000001</v>
      </c>
      <c r="AJ18" s="3057">
        <f t="shared" si="71"/>
        <v>106.74999999999999</v>
      </c>
      <c r="AK18" s="3057">
        <f t="shared" si="72"/>
        <v>102.82</v>
      </c>
      <c r="AM18" s="3057">
        <f t="shared" si="85"/>
        <v>102.40545621259179</v>
      </c>
      <c r="AN18" s="3057">
        <f t="shared" si="86"/>
        <v>101.89536813992541</v>
      </c>
      <c r="AO18" s="3057">
        <f t="shared" si="87"/>
        <v>105.69223177147275</v>
      </c>
      <c r="AP18" s="3057">
        <f t="shared" si="88"/>
        <v>101.81992785935456</v>
      </c>
      <c r="AQ18" s="3057">
        <f t="shared" si="89"/>
        <v>97.986005366626799</v>
      </c>
      <c r="AR18" s="3057">
        <f t="shared" si="90"/>
        <v>105.69223177147275</v>
      </c>
    </row>
    <row r="19" spans="1:44" s="1653" customFormat="1" ht="12.75">
      <c r="A19" s="2336" t="s">
        <v>3250</v>
      </c>
      <c r="B19" s="3036">
        <v>2023</v>
      </c>
      <c r="C19" s="3037">
        <v>2</v>
      </c>
      <c r="D19" s="3043">
        <v>0.91</v>
      </c>
      <c r="E19" s="3043">
        <v>0.66</v>
      </c>
      <c r="F19" s="3043">
        <v>0.47</v>
      </c>
      <c r="G19" s="3043">
        <v>0.96</v>
      </c>
      <c r="H19" s="3048">
        <v>0.71</v>
      </c>
      <c r="I19" s="3044">
        <f t="shared" si="124"/>
        <v>0.47</v>
      </c>
      <c r="J19" s="2338"/>
      <c r="K19" s="1651">
        <f t="shared" si="137"/>
        <v>9.1000000000000004E-3</v>
      </c>
      <c r="L19" s="1641">
        <f t="shared" si="138"/>
        <v>6.6E-3</v>
      </c>
      <c r="M19" s="1641">
        <f t="shared" si="139"/>
        <v>4.6999999999999993E-3</v>
      </c>
      <c r="N19" s="1641">
        <f t="shared" si="140"/>
        <v>9.5999999999999992E-3</v>
      </c>
      <c r="O19" s="1641">
        <f t="shared" si="141"/>
        <v>7.0999999999999995E-3</v>
      </c>
      <c r="P19" s="1641">
        <f t="shared" si="142"/>
        <v>4.6999999999999993E-3</v>
      </c>
      <c r="Q19" s="2338"/>
      <c r="R19" s="3054">
        <f>ROUND(IF(项目基本情况!$B$8="出让",SUMPRODUCT(PRODUCT(1+K19:$K$28)),SUMPRODUCT(PRODUCT(1+K19:$K$27))),4)</f>
        <v>1.0755999999999999</v>
      </c>
      <c r="S19" s="3054">
        <f>ROUND(IF(项目基本情况!$B$8="出让",SUMPRODUCT(PRODUCT(1+L19:$L$28)),SUMPRODUCT(PRODUCT(1+L19:$L$27))),4)</f>
        <v>1.0395000000000001</v>
      </c>
      <c r="T19" s="3054">
        <f>ROUND(IF(项目基本情况!$B$8="出让",SUMPRODUCT(PRODUCT(1+M19:$M$28)),SUMPRODUCT(PRODUCT(1+M19:$M$27))),4)</f>
        <v>1.0250999999999999</v>
      </c>
      <c r="U19" s="3054">
        <f>ROUND(IF(项目基本情况!$B$8="出让",SUMPRODUCT(PRODUCT(1+N19:$N$28)),SUMPRODUCT(PRODUCT(1+N19:$N$27))),4)</f>
        <v>1.0818000000000001</v>
      </c>
      <c r="V19" s="3054">
        <f>ROUND(IF(项目基本情况!$B$8="出让",SUMPRODUCT(PRODUCT(1+O19:$O$28)),SUMPRODUCT(PRODUCT(1+O19:$O$27))),4)</f>
        <v>1.0629999999999999</v>
      </c>
      <c r="W19" s="3054">
        <f t="shared" si="143"/>
        <v>1.0250999999999999</v>
      </c>
      <c r="X19" s="2338"/>
      <c r="Y19" s="1641"/>
      <c r="Z19" s="1641"/>
      <c r="AA19" s="1641"/>
      <c r="AB19" s="1641"/>
      <c r="AC19" s="1641"/>
      <c r="AD19" s="1641"/>
      <c r="AF19" s="3057">
        <f t="shared" si="67"/>
        <v>107.55999999999999</v>
      </c>
      <c r="AG19" s="3057">
        <f t="shared" si="68"/>
        <v>103.95</v>
      </c>
      <c r="AH19" s="3057">
        <f t="shared" si="69"/>
        <v>102.50999999999999</v>
      </c>
      <c r="AI19" s="3057">
        <f t="shared" si="70"/>
        <v>108.18</v>
      </c>
      <c r="AJ19" s="3057">
        <f t="shared" si="71"/>
        <v>106.3</v>
      </c>
      <c r="AK19" s="3057">
        <f t="shared" si="72"/>
        <v>102.50999999999999</v>
      </c>
      <c r="AM19" s="3057">
        <f t="shared" si="85"/>
        <v>102.15008101006663</v>
      </c>
      <c r="AN19" s="3057">
        <f t="shared" si="86"/>
        <v>101.38842600987604</v>
      </c>
      <c r="AO19" s="3057">
        <f t="shared" si="87"/>
        <v>105.36559841638196</v>
      </c>
      <c r="AP19" s="3057">
        <f t="shared" si="88"/>
        <v>101.60655409575348</v>
      </c>
      <c r="AQ19" s="3057">
        <f t="shared" si="89"/>
        <v>97.56646954757224</v>
      </c>
      <c r="AR19" s="3057">
        <f t="shared" si="90"/>
        <v>105.36559841638196</v>
      </c>
    </row>
    <row r="20" spans="1:44" s="1653" customFormat="1" ht="12.75">
      <c r="A20" s="2336" t="s">
        <v>3249</v>
      </c>
      <c r="B20" s="3036">
        <v>2023</v>
      </c>
      <c r="C20" s="3037">
        <v>1</v>
      </c>
      <c r="D20" s="3043">
        <v>0.89</v>
      </c>
      <c r="E20" s="3043">
        <v>0.74</v>
      </c>
      <c r="F20" s="3043">
        <v>0.56999999999999995</v>
      </c>
      <c r="G20" s="3043">
        <v>0.92</v>
      </c>
      <c r="H20" s="3048">
        <v>0.5</v>
      </c>
      <c r="I20" s="3044">
        <f t="shared" si="124"/>
        <v>0.56999999999999995</v>
      </c>
      <c r="J20" s="2338"/>
      <c r="K20" s="1651">
        <f t="shared" si="137"/>
        <v>8.8999999999999999E-3</v>
      </c>
      <c r="L20" s="1641">
        <f t="shared" si="138"/>
        <v>7.4000000000000003E-3</v>
      </c>
      <c r="M20" s="1641">
        <f t="shared" si="139"/>
        <v>5.6999999999999993E-3</v>
      </c>
      <c r="N20" s="1641">
        <f t="shared" si="140"/>
        <v>9.1999999999999998E-3</v>
      </c>
      <c r="O20" s="1641">
        <f t="shared" si="141"/>
        <v>5.0000000000000001E-3</v>
      </c>
      <c r="P20" s="1641">
        <f t="shared" si="142"/>
        <v>5.6999999999999993E-3</v>
      </c>
      <c r="Q20" s="2338"/>
      <c r="R20" s="3054">
        <f>ROUND(IF(项目基本情况!$B$8="出让",SUMPRODUCT(PRODUCT(1+K20:$K$28)),SUMPRODUCT(PRODUCT(1+K20:$K$27))),4)</f>
        <v>1.0659000000000001</v>
      </c>
      <c r="S20" s="3054">
        <f>ROUND(IF(项目基本情况!$B$8="出让",SUMPRODUCT(PRODUCT(1+L20:$L$28)),SUMPRODUCT(PRODUCT(1+L20:$L$27))),4)</f>
        <v>1.0326</v>
      </c>
      <c r="T20" s="3054">
        <f>ROUND(IF(项目基本情况!$B$8="出让",SUMPRODUCT(PRODUCT(1+M20:$M$28)),SUMPRODUCT(PRODUCT(1+M20:$M$27))),4)</f>
        <v>1.0203</v>
      </c>
      <c r="U20" s="3054">
        <f>ROUND(IF(项目基本情况!$B$8="出让",SUMPRODUCT(PRODUCT(1+N20:$N$28)),SUMPRODUCT(PRODUCT(1+N20:$N$27))),4)</f>
        <v>1.0714999999999999</v>
      </c>
      <c r="V20" s="3054">
        <f>ROUND(IF(项目基本情况!$B$8="出让",SUMPRODUCT(PRODUCT(1+O20:$O$28)),SUMPRODUCT(PRODUCT(1+O20:$O$27))),4)</f>
        <v>1.0555000000000001</v>
      </c>
      <c r="W20" s="3054">
        <f t="shared" ref="W20:W27" si="144">T20</f>
        <v>1.0203</v>
      </c>
      <c r="X20" s="2338"/>
      <c r="Y20" s="1641"/>
      <c r="Z20" s="1641"/>
      <c r="AA20" s="1641"/>
      <c r="AB20" s="1641"/>
      <c r="AC20" s="1641"/>
      <c r="AD20" s="1641"/>
      <c r="AF20" s="3057">
        <f t="shared" si="67"/>
        <v>106.59</v>
      </c>
      <c r="AG20" s="3057">
        <f t="shared" si="68"/>
        <v>103.25999999999999</v>
      </c>
      <c r="AH20" s="3057">
        <f t="shared" si="69"/>
        <v>102.03</v>
      </c>
      <c r="AI20" s="3057">
        <f t="shared" si="70"/>
        <v>107.14999999999999</v>
      </c>
      <c r="AJ20" s="3057">
        <f t="shared" si="71"/>
        <v>105.55000000000001</v>
      </c>
      <c r="AK20" s="3057">
        <f t="shared" si="72"/>
        <v>102.03</v>
      </c>
      <c r="AM20" s="3057">
        <f t="shared" si="85"/>
        <v>101.22889803792152</v>
      </c>
      <c r="AN20" s="3057">
        <f t="shared" si="86"/>
        <v>100.7236499204014</v>
      </c>
      <c r="AO20" s="3057">
        <f t="shared" si="87"/>
        <v>104.87269674169599</v>
      </c>
      <c r="AP20" s="3057">
        <f t="shared" si="88"/>
        <v>100.6404061962693</v>
      </c>
      <c r="AQ20" s="3057">
        <f t="shared" si="89"/>
        <v>96.878631265586563</v>
      </c>
      <c r="AR20" s="3057">
        <f t="shared" si="90"/>
        <v>104.87269674169599</v>
      </c>
    </row>
    <row r="21" spans="1:44" s="1653" customFormat="1" ht="12.75">
      <c r="A21" s="2336" t="s">
        <v>3248</v>
      </c>
      <c r="B21" s="3036">
        <v>2022</v>
      </c>
      <c r="C21" s="3037">
        <v>4</v>
      </c>
      <c r="D21" s="3043">
        <v>0.62</v>
      </c>
      <c r="E21" s="3043">
        <v>0.2</v>
      </c>
      <c r="F21" s="3043">
        <v>0.11</v>
      </c>
      <c r="G21" s="3043">
        <v>0.69</v>
      </c>
      <c r="H21" s="3048">
        <v>0.53</v>
      </c>
      <c r="I21" s="3044">
        <f t="shared" si="124"/>
        <v>0.11</v>
      </c>
      <c r="J21" s="2338"/>
      <c r="K21" s="1651">
        <f t="shared" si="125"/>
        <v>6.1999999999999998E-3</v>
      </c>
      <c r="L21" s="1641">
        <f t="shared" si="125"/>
        <v>2E-3</v>
      </c>
      <c r="M21" s="1641">
        <f t="shared" si="125"/>
        <v>1.1000000000000001E-3</v>
      </c>
      <c r="N21" s="1641">
        <f t="shared" si="125"/>
        <v>6.8999999999999999E-3</v>
      </c>
      <c r="O21" s="1641">
        <f t="shared" si="125"/>
        <v>5.3E-3</v>
      </c>
      <c r="P21" s="1641">
        <f t="shared" ref="P21:P28" si="145">M21</f>
        <v>1.1000000000000001E-3</v>
      </c>
      <c r="Q21" s="2338"/>
      <c r="R21" s="3054">
        <f>ROUND(IF(项目基本情况!$B$8="出让",SUMPRODUCT(PRODUCT(1+K21:$K$28)),SUMPRODUCT(PRODUCT(1+K21:$K$27))),4)</f>
        <v>1.0565</v>
      </c>
      <c r="S21" s="3054">
        <f>ROUND(IF(项目基本情况!$B$8="出让",SUMPRODUCT(PRODUCT(1+L21:$L$28)),SUMPRODUCT(PRODUCT(1+L21:$L$27))),4)</f>
        <v>1.0250999999999999</v>
      </c>
      <c r="T21" s="3054">
        <f>ROUND(IF(项目基本情况!$B$8="出让",SUMPRODUCT(PRODUCT(1+M21:$M$28)),SUMPRODUCT(PRODUCT(1+M21:$M$27))),4)</f>
        <v>1.0145</v>
      </c>
      <c r="U21" s="3054">
        <f>ROUND(IF(项目基本情况!$B$8="出让",SUMPRODUCT(PRODUCT(1+N21:$N$28)),SUMPRODUCT(PRODUCT(1+N21:$N$27))),4)</f>
        <v>1.0618000000000001</v>
      </c>
      <c r="V21" s="3054">
        <f>ROUND(IF(项目基本情况!$B$8="出让",SUMPRODUCT(PRODUCT(1+O21:$O$28)),SUMPRODUCT(PRODUCT(1+O21:$O$27))),4)</f>
        <v>1.0502</v>
      </c>
      <c r="W21" s="3054">
        <f t="shared" si="144"/>
        <v>1.0145</v>
      </c>
      <c r="X21" s="2338"/>
      <c r="Y21" s="1641">
        <f>IF(D21=0,0,ROUND(AVERAGE(D21:D29)/100,4))</f>
        <v>8.0999999999999996E-3</v>
      </c>
      <c r="Z21" s="1641">
        <f t="shared" ref="Z21:AC21" si="146">IF(E21=0,0,ROUND(AVERAGE(E21:E28)/100,4))</f>
        <v>3.3E-3</v>
      </c>
      <c r="AA21" s="1641">
        <f t="shared" si="146"/>
        <v>1.5E-3</v>
      </c>
      <c r="AB21" s="1641">
        <f t="shared" si="146"/>
        <v>8.8999999999999999E-3</v>
      </c>
      <c r="AC21" s="1641">
        <f t="shared" si="146"/>
        <v>6.6E-3</v>
      </c>
      <c r="AD21" s="1641">
        <f t="shared" si="127"/>
        <v>1.5E-3</v>
      </c>
      <c r="AF21" s="3057">
        <f t="shared" si="67"/>
        <v>105.65</v>
      </c>
      <c r="AG21" s="3057">
        <f t="shared" si="68"/>
        <v>102.50999999999999</v>
      </c>
      <c r="AH21" s="3057">
        <f t="shared" si="69"/>
        <v>101.44999999999999</v>
      </c>
      <c r="AI21" s="3057">
        <f t="shared" si="70"/>
        <v>106.18</v>
      </c>
      <c r="AJ21" s="3057">
        <f t="shared" si="71"/>
        <v>105.02</v>
      </c>
      <c r="AK21" s="3057">
        <f t="shared" si="72"/>
        <v>101.44999999999999</v>
      </c>
      <c r="AM21" s="3057">
        <f t="shared" si="85"/>
        <v>100.33590845269256</v>
      </c>
      <c r="AN21" s="3057">
        <f t="shared" si="86"/>
        <v>99.98377002223684</v>
      </c>
      <c r="AO21" s="3057">
        <f t="shared" si="87"/>
        <v>104.27831037257232</v>
      </c>
      <c r="AP21" s="3057">
        <f t="shared" si="88"/>
        <v>99.722955010175667</v>
      </c>
      <c r="AQ21" s="3057">
        <f t="shared" si="89"/>
        <v>96.396648025459271</v>
      </c>
      <c r="AR21" s="3057">
        <f t="shared" si="90"/>
        <v>104.27831037257232</v>
      </c>
    </row>
    <row r="22" spans="1:44" s="1653" customFormat="1" ht="12.75">
      <c r="A22" s="2336" t="s">
        <v>3246</v>
      </c>
      <c r="B22" s="3036">
        <v>2022</v>
      </c>
      <c r="C22" s="3037">
        <v>3</v>
      </c>
      <c r="D22" s="3043">
        <v>0.66</v>
      </c>
      <c r="E22" s="3043">
        <v>0.32</v>
      </c>
      <c r="F22" s="3043">
        <v>0.23</v>
      </c>
      <c r="G22" s="3043">
        <v>0.72</v>
      </c>
      <c r="H22" s="3048">
        <v>0.63</v>
      </c>
      <c r="I22" s="3044">
        <f t="shared" si="124"/>
        <v>0.23</v>
      </c>
      <c r="J22" s="2338"/>
      <c r="K22" s="1651">
        <f t="shared" si="125"/>
        <v>6.6E-3</v>
      </c>
      <c r="L22" s="1641">
        <f t="shared" si="125"/>
        <v>3.2000000000000002E-3</v>
      </c>
      <c r="M22" s="1641">
        <f t="shared" si="125"/>
        <v>2.3E-3</v>
      </c>
      <c r="N22" s="1641">
        <f t="shared" si="125"/>
        <v>7.1999999999999998E-3</v>
      </c>
      <c r="O22" s="1641">
        <f t="shared" si="125"/>
        <v>6.3E-3</v>
      </c>
      <c r="P22" s="1641">
        <f t="shared" si="145"/>
        <v>2.3E-3</v>
      </c>
      <c r="Q22" s="2338"/>
      <c r="R22" s="3054">
        <f>ROUND(IF(项目基本情况!$B$8="出让",SUMPRODUCT(PRODUCT(1+K22:$K$28)),SUMPRODUCT(PRODUCT(1+K22:$K$27))),4)</f>
        <v>1.05</v>
      </c>
      <c r="S22" s="3054">
        <f>ROUND(IF(项目基本情况!$B$8="出让",SUMPRODUCT(PRODUCT(1+L22:$L$28)),SUMPRODUCT(PRODUCT(1+L22:$L$27))),4)</f>
        <v>1.0229999999999999</v>
      </c>
      <c r="T22" s="3054">
        <f>ROUND(IF(项目基本情况!$B$8="出让",SUMPRODUCT(PRODUCT(1+M22:$M$28)),SUMPRODUCT(PRODUCT(1+M22:$M$27))),4)</f>
        <v>1.0134000000000001</v>
      </c>
      <c r="U22" s="3054">
        <f>ROUND(IF(项目基本情况!$B$8="出让",SUMPRODUCT(PRODUCT(1+N22:$N$28)),SUMPRODUCT(PRODUCT(1+N22:$N$27))),4)</f>
        <v>1.0545</v>
      </c>
      <c r="V22" s="3054">
        <f>ROUND(IF(项目基本情况!$B$8="出让",SUMPRODUCT(PRODUCT(1+O22:$O$28)),SUMPRODUCT(PRODUCT(1+O22:$O$27))),4)</f>
        <v>1.0447</v>
      </c>
      <c r="W22" s="3054">
        <f t="shared" si="144"/>
        <v>1.0134000000000001</v>
      </c>
      <c r="X22" s="2338"/>
      <c r="Y22" s="1641">
        <f>IF(D22=0,0,ROUND(AVERAGE(D22:D28)/100,4))</f>
        <v>8.3999999999999995E-3</v>
      </c>
      <c r="Z22" s="1641">
        <f t="shared" ref="Z22:AC22" si="147">IF(E22=0,0,ROUND(AVERAGE(E22:E28)/100,4))</f>
        <v>3.5000000000000001E-3</v>
      </c>
      <c r="AA22" s="1641">
        <f t="shared" si="147"/>
        <v>1.5E-3</v>
      </c>
      <c r="AB22" s="1641">
        <f t="shared" si="147"/>
        <v>9.1999999999999998E-3</v>
      </c>
      <c r="AC22" s="1641">
        <f t="shared" si="147"/>
        <v>6.7999999999999996E-3</v>
      </c>
      <c r="AD22" s="1641">
        <f t="shared" si="127"/>
        <v>1.5E-3</v>
      </c>
      <c r="AF22" s="3057">
        <f t="shared" si="67"/>
        <v>105</v>
      </c>
      <c r="AG22" s="3057">
        <f t="shared" si="68"/>
        <v>102.3</v>
      </c>
      <c r="AH22" s="3057">
        <f t="shared" si="69"/>
        <v>101.34</v>
      </c>
      <c r="AI22" s="3057">
        <f t="shared" si="70"/>
        <v>105.45</v>
      </c>
      <c r="AJ22" s="3057">
        <f t="shared" si="71"/>
        <v>104.47</v>
      </c>
      <c r="AK22" s="3057">
        <f t="shared" si="72"/>
        <v>101.34</v>
      </c>
      <c r="AM22" s="3057">
        <f t="shared" si="85"/>
        <v>99.717658967096568</v>
      </c>
      <c r="AN22" s="3057">
        <f t="shared" si="86"/>
        <v>99.784201618998836</v>
      </c>
      <c r="AO22" s="3057">
        <f t="shared" si="87"/>
        <v>104.1637302692761</v>
      </c>
      <c r="AP22" s="3057">
        <f t="shared" si="88"/>
        <v>99.039581895099488</v>
      </c>
      <c r="AQ22" s="3057">
        <f t="shared" si="89"/>
        <v>95.888439297184192</v>
      </c>
      <c r="AR22" s="3057">
        <f t="shared" si="90"/>
        <v>104.1637302692761</v>
      </c>
    </row>
    <row r="23" spans="1:44" s="1653" customFormat="1" ht="12.75">
      <c r="A23" s="2336" t="s">
        <v>3237</v>
      </c>
      <c r="B23" s="3036">
        <v>2022</v>
      </c>
      <c r="C23" s="3037">
        <v>2</v>
      </c>
      <c r="D23" s="3043">
        <v>0.93</v>
      </c>
      <c r="E23" s="3043">
        <v>0.15</v>
      </c>
      <c r="F23" s="3043">
        <v>0.01</v>
      </c>
      <c r="G23" s="3043">
        <v>1.05</v>
      </c>
      <c r="H23" s="3048">
        <v>1.08</v>
      </c>
      <c r="I23" s="3044">
        <f t="shared" si="124"/>
        <v>0.01</v>
      </c>
      <c r="J23" s="2338"/>
      <c r="K23" s="1651">
        <f t="shared" si="125"/>
        <v>9.300000000000001E-3</v>
      </c>
      <c r="L23" s="1641">
        <f t="shared" si="125"/>
        <v>1.5E-3</v>
      </c>
      <c r="M23" s="1641">
        <f t="shared" si="125"/>
        <v>1E-4</v>
      </c>
      <c r="N23" s="1641">
        <f t="shared" si="125"/>
        <v>1.0500000000000001E-2</v>
      </c>
      <c r="O23" s="1641">
        <f t="shared" si="125"/>
        <v>1.0800000000000001E-2</v>
      </c>
      <c r="P23" s="1641">
        <f t="shared" si="145"/>
        <v>1E-4</v>
      </c>
      <c r="Q23" s="2338"/>
      <c r="R23" s="3054">
        <f>ROUND(IF(项目基本情况!$B$8="出让",SUMPRODUCT(PRODUCT(1+K23:$K$28)),SUMPRODUCT(PRODUCT(1+K23:$K$27))),4)</f>
        <v>1.0430999999999999</v>
      </c>
      <c r="S23" s="3054">
        <f>ROUND(IF(项目基本情况!$B$8="出让",SUMPRODUCT(PRODUCT(1+L23:$L$28)),SUMPRODUCT(PRODUCT(1+L23:$L$27))),4)</f>
        <v>1.0197000000000001</v>
      </c>
      <c r="T23" s="3054">
        <f>ROUND(IF(项目基本情况!$B$8="出让",SUMPRODUCT(PRODUCT(1+M23:$M$28)),SUMPRODUCT(PRODUCT(1+M23:$M$27))),4)</f>
        <v>1.0109999999999999</v>
      </c>
      <c r="U23" s="3054">
        <f>ROUND(IF(项目基本情况!$B$8="出让",SUMPRODUCT(PRODUCT(1+N23:$N$28)),SUMPRODUCT(PRODUCT(1+N23:$N$27))),4)</f>
        <v>1.0468999999999999</v>
      </c>
      <c r="V23" s="3054">
        <f>ROUND(IF(项目基本情况!$B$8="出让",SUMPRODUCT(PRODUCT(1+O23:$O$28)),SUMPRODUCT(PRODUCT(1+O23:$O$27))),4)</f>
        <v>1.0382</v>
      </c>
      <c r="W23" s="3054">
        <f t="shared" si="144"/>
        <v>1.0109999999999999</v>
      </c>
      <c r="X23" s="2338"/>
      <c r="Y23" s="1641">
        <f>IF(D23=0,0,ROUND(AVERAGE(D23:D28)/100,4))</f>
        <v>8.6999999999999994E-3</v>
      </c>
      <c r="Z23" s="1641">
        <f t="shared" ref="Z23:AC23" si="148">IF(E23=0,0,ROUND(AVERAGE(E23:E28)/100,4))</f>
        <v>3.5000000000000001E-3</v>
      </c>
      <c r="AA23" s="1641">
        <f t="shared" si="148"/>
        <v>1.4E-3</v>
      </c>
      <c r="AB23" s="1641">
        <f t="shared" si="148"/>
        <v>9.4999999999999998E-3</v>
      </c>
      <c r="AC23" s="1641">
        <f t="shared" si="148"/>
        <v>6.8999999999999999E-3</v>
      </c>
      <c r="AD23" s="1641">
        <f t="shared" si="127"/>
        <v>1.4E-3</v>
      </c>
      <c r="AF23" s="3057">
        <f t="shared" si="67"/>
        <v>104.30999999999999</v>
      </c>
      <c r="AG23" s="3057">
        <f t="shared" si="68"/>
        <v>101.97</v>
      </c>
      <c r="AH23" s="3057">
        <f t="shared" si="69"/>
        <v>101.1</v>
      </c>
      <c r="AI23" s="3057">
        <f t="shared" si="70"/>
        <v>104.69</v>
      </c>
      <c r="AJ23" s="3057">
        <f t="shared" si="71"/>
        <v>103.82000000000001</v>
      </c>
      <c r="AK23" s="3057">
        <f t="shared" si="72"/>
        <v>101.1</v>
      </c>
      <c r="AM23" s="3057">
        <f t="shared" si="85"/>
        <v>99.063837638681278</v>
      </c>
      <c r="AN23" s="3057">
        <f t="shared" si="86"/>
        <v>99.465910704743649</v>
      </c>
      <c r="AO23" s="3057">
        <f t="shared" si="87"/>
        <v>103.92470345133803</v>
      </c>
      <c r="AP23" s="3057">
        <f t="shared" si="88"/>
        <v>98.331594415309254</v>
      </c>
      <c r="AQ23" s="3057">
        <f t="shared" si="89"/>
        <v>95.288124115258071</v>
      </c>
      <c r="AR23" s="3057">
        <f t="shared" si="90"/>
        <v>103.92470345133803</v>
      </c>
    </row>
    <row r="24" spans="1:44" s="1653" customFormat="1" ht="12.75">
      <c r="A24" s="2336" t="s">
        <v>2705</v>
      </c>
      <c r="B24" s="3036">
        <v>2022</v>
      </c>
      <c r="C24" s="3037">
        <v>1</v>
      </c>
      <c r="D24" s="3043">
        <v>0.89</v>
      </c>
      <c r="E24" s="3043">
        <v>0.44</v>
      </c>
      <c r="F24" s="3043">
        <v>0.37</v>
      </c>
      <c r="G24" s="3043">
        <v>0.96</v>
      </c>
      <c r="H24" s="3048">
        <v>0.64</v>
      </c>
      <c r="I24" s="3044">
        <f t="shared" si="124"/>
        <v>0.37</v>
      </c>
      <c r="J24" s="2338"/>
      <c r="K24" s="1651">
        <f t="shared" si="125"/>
        <v>8.8999999999999999E-3</v>
      </c>
      <c r="L24" s="1641">
        <f t="shared" si="125"/>
        <v>4.4000000000000003E-3</v>
      </c>
      <c r="M24" s="1641">
        <f t="shared" si="125"/>
        <v>3.7000000000000002E-3</v>
      </c>
      <c r="N24" s="1641">
        <f t="shared" si="125"/>
        <v>9.5999999999999992E-3</v>
      </c>
      <c r="O24" s="1641">
        <f t="shared" si="125"/>
        <v>6.4000000000000003E-3</v>
      </c>
      <c r="P24" s="1641">
        <f t="shared" si="145"/>
        <v>3.7000000000000002E-3</v>
      </c>
      <c r="Q24" s="2338"/>
      <c r="R24" s="3054">
        <f>ROUND(IF(项目基本情况!$B$8="出让",SUMPRODUCT(PRODUCT(1+K24:$K$28)),SUMPRODUCT(PRODUCT(1+K24:$K$27))),4)</f>
        <v>1.0335000000000001</v>
      </c>
      <c r="S24" s="3054">
        <f>ROUND(IF(项目基本情况!$B$8="出让",SUMPRODUCT(PRODUCT(1+L24:$L$28)),SUMPRODUCT(PRODUCT(1+L24:$L$27))),4)</f>
        <v>1.0182</v>
      </c>
      <c r="T24" s="3054">
        <f>ROUND(IF(项目基本情况!$B$8="出让",SUMPRODUCT(PRODUCT(1+M24:$M$28)),SUMPRODUCT(PRODUCT(1+M24:$M$27))),4)</f>
        <v>1.0108999999999999</v>
      </c>
      <c r="U24" s="3054">
        <f>ROUND(IF(项目基本情况!$B$8="出让",SUMPRODUCT(PRODUCT(1+N24:$N$28)),SUMPRODUCT(PRODUCT(1+N24:$N$27))),4)</f>
        <v>1.0361</v>
      </c>
      <c r="V24" s="3054">
        <f>ROUND(IF(项目基本情况!$B$8="出让",SUMPRODUCT(PRODUCT(1+O24:$O$28)),SUMPRODUCT(PRODUCT(1+O24:$O$27))),4)</f>
        <v>1.0270999999999999</v>
      </c>
      <c r="W24" s="3054">
        <f t="shared" si="144"/>
        <v>1.0108999999999999</v>
      </c>
      <c r="X24" s="2338"/>
      <c r="Y24" s="1641">
        <f>IF(D24=0,0,ROUND(AVERAGE(D24:D28)/100,4))</f>
        <v>8.6E-3</v>
      </c>
      <c r="Z24" s="1641">
        <f t="shared" ref="Z24:AC24" si="149">IF(E24=0,0,ROUND(AVERAGE(E24:E28)/100,4))</f>
        <v>3.8999999999999998E-3</v>
      </c>
      <c r="AA24" s="1641">
        <f t="shared" si="149"/>
        <v>1.6999999999999999E-3</v>
      </c>
      <c r="AB24" s="1641">
        <f t="shared" si="149"/>
        <v>9.2999999999999992E-3</v>
      </c>
      <c r="AC24" s="1641">
        <f t="shared" si="149"/>
        <v>6.1000000000000004E-3</v>
      </c>
      <c r="AD24" s="1641">
        <f t="shared" si="127"/>
        <v>1.6999999999999999E-3</v>
      </c>
      <c r="AF24" s="3057">
        <f t="shared" si="67"/>
        <v>103.35000000000001</v>
      </c>
      <c r="AG24" s="3057">
        <f t="shared" si="68"/>
        <v>101.82</v>
      </c>
      <c r="AH24" s="3057">
        <f t="shared" si="69"/>
        <v>101.08999999999999</v>
      </c>
      <c r="AI24" s="3057">
        <f t="shared" si="70"/>
        <v>103.61</v>
      </c>
      <c r="AJ24" s="3057">
        <f t="shared" si="71"/>
        <v>102.71</v>
      </c>
      <c r="AK24" s="3057">
        <f t="shared" si="72"/>
        <v>101.08999999999999</v>
      </c>
      <c r="AM24" s="3057">
        <f t="shared" si="85"/>
        <v>98.151033031488424</v>
      </c>
      <c r="AN24" s="3057">
        <f t="shared" si="86"/>
        <v>99.316935301790963</v>
      </c>
      <c r="AO24" s="3057">
        <f t="shared" si="87"/>
        <v>103.91431202013602</v>
      </c>
      <c r="AP24" s="3057">
        <f t="shared" si="88"/>
        <v>97.309841083928021</v>
      </c>
      <c r="AQ24" s="3057">
        <f t="shared" si="89"/>
        <v>94.270008028549739</v>
      </c>
      <c r="AR24" s="3057">
        <f t="shared" si="90"/>
        <v>103.91431202013602</v>
      </c>
    </row>
    <row r="25" spans="1:44" s="1653" customFormat="1" ht="12.75">
      <c r="A25" s="2336" t="s">
        <v>2706</v>
      </c>
      <c r="B25" s="3036">
        <v>2021</v>
      </c>
      <c r="C25" s="3037">
        <v>4</v>
      </c>
      <c r="D25" s="3043">
        <v>1.03</v>
      </c>
      <c r="E25" s="3043">
        <v>0.24</v>
      </c>
      <c r="F25" s="3043">
        <v>7.0000000000000007E-2</v>
      </c>
      <c r="G25" s="3043">
        <v>1.17</v>
      </c>
      <c r="H25" s="3048">
        <v>0.55000000000000004</v>
      </c>
      <c r="I25" s="3044">
        <f t="shared" si="124"/>
        <v>7.0000000000000007E-2</v>
      </c>
      <c r="J25" s="2338"/>
      <c r="K25" s="1651">
        <f t="shared" si="125"/>
        <v>1.03E-2</v>
      </c>
      <c r="L25" s="1641">
        <f t="shared" si="125"/>
        <v>2.3999999999999998E-3</v>
      </c>
      <c r="M25" s="1641">
        <f t="shared" si="125"/>
        <v>7.000000000000001E-4</v>
      </c>
      <c r="N25" s="1641">
        <f t="shared" si="125"/>
        <v>1.1699999999999999E-2</v>
      </c>
      <c r="O25" s="1641">
        <f t="shared" si="125"/>
        <v>5.5000000000000005E-3</v>
      </c>
      <c r="P25" s="1641">
        <f t="shared" si="145"/>
        <v>7.000000000000001E-4</v>
      </c>
      <c r="Q25" s="2338"/>
      <c r="R25" s="3054">
        <f>ROUND(IF(项目基本情况!$B$8="出让",SUMPRODUCT(PRODUCT(1+K25:$K$28)),SUMPRODUCT(PRODUCT(1+K25:$K$27))),4)</f>
        <v>1.0244</v>
      </c>
      <c r="S25" s="3054">
        <f>ROUND(IF(项目基本情况!$B$8="出让",SUMPRODUCT(PRODUCT(1+L25:$L$28)),SUMPRODUCT(PRODUCT(1+L25:$L$27))),4)</f>
        <v>1.0138</v>
      </c>
      <c r="T25" s="3054">
        <f>ROUND(IF(项目基本情况!$B$8="出让",SUMPRODUCT(PRODUCT(1+M25:$M$28)),SUMPRODUCT(PRODUCT(1+M25:$M$27))),4)</f>
        <v>1.0072000000000001</v>
      </c>
      <c r="U25" s="3054">
        <f>ROUND(IF(项目基本情况!$B$8="出让",SUMPRODUCT(PRODUCT(1+N25:$N$28)),SUMPRODUCT(PRODUCT(1+N25:$N$27))),4)</f>
        <v>1.0262</v>
      </c>
      <c r="V25" s="3054">
        <f>ROUND(IF(项目基本情况!$B$8="出让",SUMPRODUCT(PRODUCT(1+O25:$O$28)),SUMPRODUCT(PRODUCT(1+O25:$O$27))),4)</f>
        <v>1.0205</v>
      </c>
      <c r="W25" s="3054">
        <f t="shared" si="144"/>
        <v>1.0072000000000001</v>
      </c>
      <c r="X25" s="2338"/>
      <c r="Y25" s="1641">
        <f>IF(D25=0,0,ROUND(AVERAGE(D25:D28)/100,4))</f>
        <v>8.5000000000000006E-3</v>
      </c>
      <c r="Z25" s="1641">
        <f t="shared" ref="Z25:AC25" si="150">IF(E25=0,0,ROUND(AVERAGE(E25:E28)/100,4))</f>
        <v>3.8E-3</v>
      </c>
      <c r="AA25" s="1641">
        <f t="shared" si="150"/>
        <v>1.1999999999999999E-3</v>
      </c>
      <c r="AB25" s="1641">
        <f t="shared" si="150"/>
        <v>9.2999999999999992E-3</v>
      </c>
      <c r="AC25" s="1641">
        <f t="shared" si="150"/>
        <v>6.0000000000000001E-3</v>
      </c>
      <c r="AD25" s="1641">
        <f t="shared" si="127"/>
        <v>1.1999999999999999E-3</v>
      </c>
      <c r="AF25" s="3057">
        <f t="shared" si="67"/>
        <v>102.44</v>
      </c>
      <c r="AG25" s="3057">
        <f t="shared" si="68"/>
        <v>101.38000000000001</v>
      </c>
      <c r="AH25" s="3057">
        <f t="shared" si="69"/>
        <v>100.72000000000001</v>
      </c>
      <c r="AI25" s="3057">
        <f t="shared" si="70"/>
        <v>102.62</v>
      </c>
      <c r="AJ25" s="3057">
        <f t="shared" si="71"/>
        <v>102.05</v>
      </c>
      <c r="AK25" s="3057">
        <f t="shared" si="72"/>
        <v>100.72000000000001</v>
      </c>
      <c r="AM25" s="3057">
        <f t="shared" si="85"/>
        <v>97.285194797788122</v>
      </c>
      <c r="AN25" s="3057">
        <f t="shared" si="86"/>
        <v>98.881855139178583</v>
      </c>
      <c r="AO25" s="3057">
        <f t="shared" si="87"/>
        <v>103.53124640842485</v>
      </c>
      <c r="AP25" s="3057">
        <f t="shared" si="88"/>
        <v>96.384549409595891</v>
      </c>
      <c r="AQ25" s="3057">
        <f t="shared" si="89"/>
        <v>93.670516721531939</v>
      </c>
      <c r="AR25" s="3057">
        <f t="shared" si="90"/>
        <v>103.53124640842485</v>
      </c>
    </row>
    <row r="26" spans="1:44" s="1653" customFormat="1" ht="12.75">
      <c r="A26" s="2336" t="s">
        <v>2707</v>
      </c>
      <c r="B26" s="3036">
        <v>2021</v>
      </c>
      <c r="C26" s="3037">
        <v>3</v>
      </c>
      <c r="D26" s="3043">
        <v>0.47</v>
      </c>
      <c r="E26" s="3043">
        <v>0.41</v>
      </c>
      <c r="F26" s="3043">
        <v>0.24</v>
      </c>
      <c r="G26" s="3043">
        <v>0.48</v>
      </c>
      <c r="H26" s="3048">
        <v>0.48</v>
      </c>
      <c r="I26" s="3044">
        <f t="shared" si="124"/>
        <v>0.24</v>
      </c>
      <c r="J26" s="2338"/>
      <c r="K26" s="1651">
        <f t="shared" si="125"/>
        <v>4.6999999999999993E-3</v>
      </c>
      <c r="L26" s="1641">
        <f t="shared" si="125"/>
        <v>4.0999999999999995E-3</v>
      </c>
      <c r="M26" s="1641">
        <f t="shared" si="125"/>
        <v>2.3999999999999998E-3</v>
      </c>
      <c r="N26" s="1641">
        <f t="shared" si="125"/>
        <v>4.7999999999999996E-3</v>
      </c>
      <c r="O26" s="1641">
        <f t="shared" si="125"/>
        <v>4.7999999999999996E-3</v>
      </c>
      <c r="P26" s="1641">
        <f t="shared" si="145"/>
        <v>2.3999999999999998E-3</v>
      </c>
      <c r="Q26" s="2338"/>
      <c r="R26" s="3054">
        <f>ROUND(IF(项目基本情况!$B$8="出让",SUMPRODUCT(PRODUCT(1+K26:$K$28)),SUMPRODUCT(PRODUCT(1+K26:$K$27))),4)</f>
        <v>1.0139</v>
      </c>
      <c r="S26" s="3054">
        <f>ROUND(IF(项目基本情况!$B$8="出让",SUMPRODUCT(PRODUCT(1+L26:$L$28)),SUMPRODUCT(PRODUCT(1+L26:$L$27))),4)</f>
        <v>1.0113000000000001</v>
      </c>
      <c r="T26" s="3054">
        <f>ROUND(IF(项目基本情况!$B$8="出让",SUMPRODUCT(PRODUCT(1+M26:$M$28)),SUMPRODUCT(PRODUCT(1+M26:$M$27))),4)</f>
        <v>1.0065</v>
      </c>
      <c r="U26" s="3054">
        <f>ROUND(IF(项目基本情况!$B$8="出让",SUMPRODUCT(PRODUCT(1+N26:$N$28)),SUMPRODUCT(PRODUCT(1+N26:$N$27))),4)</f>
        <v>1.0143</v>
      </c>
      <c r="V26" s="3054">
        <f>ROUND(IF(项目基本情况!$B$8="出让",SUMPRODUCT(PRODUCT(1+O26:$O$28)),SUMPRODUCT(PRODUCT(1+O26:$O$27))),4)</f>
        <v>1.0148999999999999</v>
      </c>
      <c r="W26" s="3054">
        <f t="shared" si="144"/>
        <v>1.0065</v>
      </c>
      <c r="X26" s="2338"/>
      <c r="Y26" s="1641">
        <f>IF(D26=0,0,ROUND(AVERAGE(D26:D28)/100,4))</f>
        <v>7.9000000000000008E-3</v>
      </c>
      <c r="Z26" s="1641">
        <f>IF(E26=0,0,ROUND(AVERAGE(E26:E28)/100,4))</f>
        <v>4.3E-3</v>
      </c>
      <c r="AA26" s="1641">
        <f>IF(F26=0,0,ROUND(AVERAGE(F26:F28)/100,4))</f>
        <v>1.2999999999999999E-3</v>
      </c>
      <c r="AB26" s="1641">
        <f>IF(G26=0,0,ROUND(AVERAGE(G26:G28)/100,4))</f>
        <v>8.5000000000000006E-3</v>
      </c>
      <c r="AC26" s="1641">
        <f>IF(H26=0,0,ROUND(AVERAGE(H26:H28)/100,4))</f>
        <v>6.1999999999999998E-3</v>
      </c>
      <c r="AD26" s="1641">
        <f t="shared" si="127"/>
        <v>1.2999999999999999E-3</v>
      </c>
      <c r="AF26" s="3057">
        <f t="shared" si="67"/>
        <v>101.39</v>
      </c>
      <c r="AG26" s="3057">
        <f t="shared" si="68"/>
        <v>101.13000000000001</v>
      </c>
      <c r="AH26" s="3057">
        <f t="shared" si="69"/>
        <v>100.64999999999999</v>
      </c>
      <c r="AI26" s="3057">
        <f t="shared" si="70"/>
        <v>101.42999999999999</v>
      </c>
      <c r="AJ26" s="3057">
        <f t="shared" si="71"/>
        <v>101.49</v>
      </c>
      <c r="AK26" s="3057">
        <f t="shared" si="72"/>
        <v>100.64999999999999</v>
      </c>
      <c r="AM26" s="3057">
        <f t="shared" si="85"/>
        <v>96.293373055318341</v>
      </c>
      <c r="AN26" s="3057">
        <f t="shared" si="86"/>
        <v>98.645106882660201</v>
      </c>
      <c r="AO26" s="3057">
        <f t="shared" si="87"/>
        <v>103.45882523076332</v>
      </c>
      <c r="AP26" s="3057">
        <f t="shared" si="88"/>
        <v>95.269891676975277</v>
      </c>
      <c r="AQ26" s="3057">
        <f t="shared" si="89"/>
        <v>93.158146913507636</v>
      </c>
      <c r="AR26" s="3057">
        <f t="shared" si="90"/>
        <v>103.45882523076332</v>
      </c>
    </row>
    <row r="27" spans="1:44" s="1653" customFormat="1" ht="12.75">
      <c r="A27" s="2336" t="s">
        <v>2708</v>
      </c>
      <c r="B27" s="3036">
        <v>2021</v>
      </c>
      <c r="C27" s="3037">
        <v>2</v>
      </c>
      <c r="D27" s="3043">
        <v>0.92</v>
      </c>
      <c r="E27" s="3043">
        <v>0.72</v>
      </c>
      <c r="F27" s="3043">
        <v>0.41</v>
      </c>
      <c r="G27" s="3043">
        <v>0.95</v>
      </c>
      <c r="H27" s="3048">
        <v>1.01</v>
      </c>
      <c r="I27" s="3044">
        <f t="shared" si="124"/>
        <v>0.41</v>
      </c>
      <c r="J27" s="2338"/>
      <c r="K27" s="1651">
        <f t="shared" si="125"/>
        <v>9.1999999999999998E-3</v>
      </c>
      <c r="L27" s="1641">
        <f t="shared" si="125"/>
        <v>7.1999999999999998E-3</v>
      </c>
      <c r="M27" s="1641">
        <f t="shared" si="125"/>
        <v>4.0999999999999995E-3</v>
      </c>
      <c r="N27" s="1641">
        <f t="shared" si="125"/>
        <v>9.4999999999999998E-3</v>
      </c>
      <c r="O27" s="1641">
        <f t="shared" si="125"/>
        <v>1.01E-2</v>
      </c>
      <c r="P27" s="1641">
        <f t="shared" si="145"/>
        <v>4.0999999999999995E-3</v>
      </c>
      <c r="Q27" s="2338"/>
      <c r="R27" s="3054">
        <f>ROUND(IF(项目基本情况!$B$8="出让",SUMPRODUCT(PRODUCT(1+K27:$K$28)),SUMPRODUCT(PRODUCT(1+K27:$K$27))),4)</f>
        <v>1.0092000000000001</v>
      </c>
      <c r="S27" s="3054">
        <f>ROUND(IF(项目基本情况!$B$8="出让",SUMPRODUCT(PRODUCT(1+L27:$L$28)),SUMPRODUCT(PRODUCT(1+L27:$L$27))),4)</f>
        <v>1.0072000000000001</v>
      </c>
      <c r="T27" s="3054">
        <f>ROUND(IF(项目基本情况!$B$8="出让",SUMPRODUCT(PRODUCT(1+M27:$M$28)),SUMPRODUCT(PRODUCT(1+M27:$M$27))),4)</f>
        <v>1.0041</v>
      </c>
      <c r="U27" s="3054">
        <f>ROUND(IF(项目基本情况!$B$8="出让",SUMPRODUCT(PRODUCT(1+N27:$N$28)),SUMPRODUCT(PRODUCT(1+N27:$N$27))),4)</f>
        <v>1.0095000000000001</v>
      </c>
      <c r="V27" s="3054">
        <f>ROUND(IF(项目基本情况!$B$8="出让",SUMPRODUCT(PRODUCT(1+O27:$O$28)),SUMPRODUCT(PRODUCT(1+O27:$O$27))),4)</f>
        <v>1.0101</v>
      </c>
      <c r="W27" s="3054">
        <f t="shared" si="144"/>
        <v>1.0041</v>
      </c>
      <c r="X27" s="2338"/>
      <c r="Y27" s="1641">
        <f>IF(D27=0,0,ROUND(AVERAGE(D27:D28)/100,4))</f>
        <v>9.4999999999999998E-3</v>
      </c>
      <c r="Z27" s="1641">
        <f>IF(E27=0,0,ROUND(AVERAGE(E27:E28)/100,4))</f>
        <v>4.4000000000000003E-3</v>
      </c>
      <c r="AA27" s="1641">
        <f>IF(F27=0,0,ROUND(AVERAGE(F27:F28)/100,4))</f>
        <v>8.0000000000000004E-4</v>
      </c>
      <c r="AB27" s="1641">
        <f>IF(G27=0,0,ROUND(AVERAGE(G27:G28)/100,4))</f>
        <v>1.03E-2</v>
      </c>
      <c r="AC27" s="1641">
        <f>IF(H27=0,0,ROUND(AVERAGE(H27:H28)/100,4))</f>
        <v>6.8999999999999999E-3</v>
      </c>
      <c r="AD27" s="1641">
        <f t="shared" si="127"/>
        <v>8.0000000000000004E-4</v>
      </c>
      <c r="AF27" s="3057">
        <f t="shared" si="67"/>
        <v>100.92000000000002</v>
      </c>
      <c r="AG27" s="3057">
        <f t="shared" si="68"/>
        <v>100.72000000000001</v>
      </c>
      <c r="AH27" s="3057">
        <f t="shared" si="69"/>
        <v>100.41</v>
      </c>
      <c r="AI27" s="3057">
        <f t="shared" si="70"/>
        <v>100.95</v>
      </c>
      <c r="AJ27" s="3057">
        <f t="shared" si="71"/>
        <v>101.01</v>
      </c>
      <c r="AK27" s="3057">
        <f t="shared" si="72"/>
        <v>100.41</v>
      </c>
      <c r="AM27" s="3057">
        <f t="shared" si="85"/>
        <v>95.842911371870557</v>
      </c>
      <c r="AN27" s="3057">
        <f t="shared" si="86"/>
        <v>98.242313397729504</v>
      </c>
      <c r="AO27" s="3057">
        <f t="shared" si="87"/>
        <v>103.21111854625232</v>
      </c>
      <c r="AP27" s="3057">
        <f t="shared" si="88"/>
        <v>94.81478072947381</v>
      </c>
      <c r="AQ27" s="3057">
        <f t="shared" si="89"/>
        <v>92.713123918697889</v>
      </c>
      <c r="AR27" s="3057">
        <f t="shared" si="90"/>
        <v>103.21111854625232</v>
      </c>
    </row>
    <row r="28" spans="1:44" s="2351" customFormat="1" ht="14.25" thickBot="1">
      <c r="A28" s="2345" t="s">
        <v>2709</v>
      </c>
      <c r="B28" s="3040">
        <v>2021</v>
      </c>
      <c r="C28" s="3041">
        <v>1</v>
      </c>
      <c r="D28" s="3049">
        <v>0.97</v>
      </c>
      <c r="E28" s="3049">
        <v>0.16</v>
      </c>
      <c r="F28" s="3049">
        <v>-0.25</v>
      </c>
      <c r="G28" s="3049">
        <v>1.1100000000000001</v>
      </c>
      <c r="H28" s="3050">
        <v>0.36</v>
      </c>
      <c r="I28" s="3051">
        <f t="shared" si="124"/>
        <v>-0.25</v>
      </c>
      <c r="J28" s="2347"/>
      <c r="K28" s="2348">
        <f t="shared" si="125"/>
        <v>9.7000000000000003E-3</v>
      </c>
      <c r="L28" s="2349">
        <f t="shared" si="125"/>
        <v>1.6000000000000001E-3</v>
      </c>
      <c r="M28" s="2349">
        <f>F28/100</f>
        <v>-2.5000000000000001E-3</v>
      </c>
      <c r="N28" s="2349">
        <f t="shared" si="125"/>
        <v>1.11E-2</v>
      </c>
      <c r="O28" s="2349">
        <f t="shared" si="125"/>
        <v>3.5999999999999999E-3</v>
      </c>
      <c r="P28" s="2349">
        <f t="shared" si="145"/>
        <v>-2.5000000000000001E-3</v>
      </c>
      <c r="Q28" s="2347"/>
      <c r="R28" s="3056">
        <v>1</v>
      </c>
      <c r="S28" s="3056">
        <v>1</v>
      </c>
      <c r="T28" s="3056">
        <v>1</v>
      </c>
      <c r="U28" s="3056">
        <v>1</v>
      </c>
      <c r="V28" s="3056">
        <v>1</v>
      </c>
      <c r="W28" s="3056">
        <f t="shared" ref="W28" si="151">T28</f>
        <v>1</v>
      </c>
      <c r="X28" s="2347"/>
      <c r="Y28" s="2349">
        <f>IF(D28=0,0,ROUND(AVERAGE(D28:D28)/100,4))</f>
        <v>9.7000000000000003E-3</v>
      </c>
      <c r="Z28" s="2349">
        <f>IF(E28=0,0,ROUND(AVERAGE(E28:E28)/100,4))</f>
        <v>1.6000000000000001E-3</v>
      </c>
      <c r="AA28" s="2349">
        <f>IF(F28=0,0,ROUND(AVERAGE(F28:F28)/100,4))</f>
        <v>-2.5000000000000001E-3</v>
      </c>
      <c r="AB28" s="2349">
        <f>IF(G28=0,0,ROUND(AVERAGE(G28:G28)/100,4))</f>
        <v>1.11E-2</v>
      </c>
      <c r="AC28" s="2349">
        <f>IF(H28=0,0,ROUND(AVERAGE(H28:H28)/100,4))</f>
        <v>3.5999999999999999E-3</v>
      </c>
      <c r="AD28" s="2349">
        <f>AA28</f>
        <v>-2.5000000000000001E-3</v>
      </c>
      <c r="AF28" s="3059">
        <v>100</v>
      </c>
      <c r="AG28" s="3059">
        <v>100</v>
      </c>
      <c r="AH28" s="3059">
        <v>100</v>
      </c>
      <c r="AI28" s="3059">
        <v>100</v>
      </c>
      <c r="AJ28" s="3059">
        <v>100</v>
      </c>
      <c r="AK28" s="3059">
        <v>100</v>
      </c>
      <c r="AM28" s="3061">
        <f t="shared" si="85"/>
        <v>94.969194779895503</v>
      </c>
      <c r="AN28" s="3061">
        <f t="shared" si="86"/>
        <v>97.540025216173049</v>
      </c>
      <c r="AO28" s="3061">
        <f t="shared" si="87"/>
        <v>102.78968085474786</v>
      </c>
      <c r="AP28" s="3061">
        <f t="shared" si="88"/>
        <v>93.922516819686777</v>
      </c>
      <c r="AQ28" s="3061">
        <f t="shared" si="89"/>
        <v>91.78608446559538</v>
      </c>
      <c r="AR28" s="3061">
        <f t="shared" si="90"/>
        <v>102.78968085474786</v>
      </c>
    </row>
    <row r="29" spans="1:44" ht="14.25" thickTop="1"/>
    <row r="30" spans="1:44">
      <c r="A30" s="2550" t="s">
        <v>3263</v>
      </c>
    </row>
    <row r="31" spans="1:44">
      <c r="I31" s="1075" t="s">
        <v>2710</v>
      </c>
    </row>
    <row r="33" spans="1:44" s="1624" customFormat="1" ht="12.75">
      <c r="B33" s="2352" t="s">
        <v>3261</v>
      </c>
      <c r="C33" s="2353"/>
      <c r="D33" s="2353"/>
      <c r="E33" s="2353"/>
      <c r="F33" s="2353"/>
      <c r="G33" s="2353"/>
      <c r="H33" s="2353"/>
      <c r="I33" s="2353"/>
      <c r="J33" s="2327"/>
      <c r="K33" s="2353" t="s">
        <v>2711</v>
      </c>
      <c r="L33" s="2353"/>
      <c r="M33" s="2353"/>
      <c r="N33" s="2353"/>
      <c r="O33" s="2353"/>
      <c r="P33" s="2353"/>
      <c r="Q33" s="2327"/>
      <c r="R33" s="4759" t="s">
        <v>2712</v>
      </c>
      <c r="S33" s="4760"/>
      <c r="T33" s="4760"/>
      <c r="U33" s="4760"/>
      <c r="V33" s="4760"/>
      <c r="W33" s="4760"/>
      <c r="X33" s="2327"/>
      <c r="Y33" s="4759" t="s">
        <v>2713</v>
      </c>
      <c r="Z33" s="4760"/>
      <c r="AA33" s="4760"/>
      <c r="AB33" s="4760"/>
      <c r="AC33" s="4760"/>
      <c r="AD33" s="4760"/>
    </row>
    <row r="34" spans="1:44" s="1625" customFormat="1" ht="14.25" thickBot="1">
      <c r="B34" s="2313"/>
      <c r="C34" s="2314"/>
      <c r="D34" s="1626" t="s">
        <v>2714</v>
      </c>
      <c r="E34" s="1627" t="s">
        <v>2715</v>
      </c>
      <c r="F34" s="1627" t="s">
        <v>2716</v>
      </c>
      <c r="G34" s="1627" t="s">
        <v>2717</v>
      </c>
      <c r="H34" s="1627"/>
      <c r="I34" s="1627" t="s">
        <v>2718</v>
      </c>
      <c r="J34" s="2315"/>
      <c r="K34" s="1626" t="s">
        <v>2714</v>
      </c>
      <c r="L34" s="1627" t="s">
        <v>2715</v>
      </c>
      <c r="M34" s="1627" t="s">
        <v>2716</v>
      </c>
      <c r="N34" s="1627" t="s">
        <v>2717</v>
      </c>
      <c r="O34" s="1627"/>
      <c r="P34" s="1627" t="s">
        <v>2718</v>
      </c>
      <c r="Q34" s="2315"/>
      <c r="R34" s="1626" t="s">
        <v>2714</v>
      </c>
      <c r="S34" s="1627" t="s">
        <v>2715</v>
      </c>
      <c r="T34" s="1627" t="s">
        <v>2716</v>
      </c>
      <c r="U34" s="1627" t="s">
        <v>2717</v>
      </c>
      <c r="V34" s="1627"/>
      <c r="W34" s="1627" t="s">
        <v>2718</v>
      </c>
      <c r="X34" s="2315"/>
      <c r="Y34" s="1626" t="s">
        <v>2714</v>
      </c>
      <c r="Z34" s="1627" t="s">
        <v>2715</v>
      </c>
      <c r="AA34" s="1627" t="s">
        <v>2716</v>
      </c>
      <c r="AB34" s="1627" t="s">
        <v>2717</v>
      </c>
      <c r="AC34" s="1627"/>
      <c r="AD34" s="1627" t="s">
        <v>2718</v>
      </c>
      <c r="AG34" t="s">
        <v>660</v>
      </c>
      <c r="AH34" t="s">
        <v>19</v>
      </c>
      <c r="AI34" t="s">
        <v>3268</v>
      </c>
      <c r="AJ34"/>
      <c r="AK34" t="s">
        <v>3269</v>
      </c>
      <c r="AN34" t="s">
        <v>660</v>
      </c>
      <c r="AO34" t="s">
        <v>19</v>
      </c>
      <c r="AP34" t="s">
        <v>3268</v>
      </c>
      <c r="AQ34"/>
      <c r="AR34" t="s">
        <v>3269</v>
      </c>
    </row>
    <row r="35" spans="1:44" s="2318" customFormat="1" ht="12.75">
      <c r="A35" s="2316" t="s">
        <v>2719</v>
      </c>
      <c r="B35" s="2317"/>
      <c r="E35" s="3042">
        <f t="shared" ref="E35:G35" si="152">ROUND(AVERAGEIF(E36:E60,"&lt;&gt;0"),2)</f>
        <v>-7.0000000000000007E-2</v>
      </c>
      <c r="F35" s="3042">
        <f t="shared" si="152"/>
        <v>-0.25</v>
      </c>
      <c r="G35" s="3042">
        <f t="shared" si="152"/>
        <v>7.0000000000000007E-2</v>
      </c>
      <c r="H35" s="3042"/>
      <c r="I35" s="3042">
        <f>F35</f>
        <v>-0.25</v>
      </c>
      <c r="J35" s="2319"/>
      <c r="K35" s="2320"/>
      <c r="L35" s="2321">
        <f t="shared" ref="L35:N35" si="153">ROUND(AVERAGEIF(L36:L60,"&lt;&gt;0"),4)</f>
        <v>4.0000000000000002E-4</v>
      </c>
      <c r="M35" s="2321">
        <f t="shared" si="153"/>
        <v>-6.9999999999999999E-4</v>
      </c>
      <c r="N35" s="2321">
        <f t="shared" si="153"/>
        <v>2E-3</v>
      </c>
      <c r="O35" s="2321"/>
      <c r="P35" s="2321">
        <f>M35</f>
        <v>-6.9999999999999999E-4</v>
      </c>
      <c r="Q35" s="2319"/>
      <c r="R35" s="2322"/>
      <c r="S35" s="3053">
        <f>ROUND(SUMPRODUCT(PRODUCT(1+L36:L60)),4)</f>
        <v>1.0072000000000001</v>
      </c>
      <c r="T35" s="3053">
        <f t="shared" ref="T35:U35" si="154">ROUND(SUMPRODUCT(PRODUCT(1+M36:M60)),4)</f>
        <v>0.98699999999999999</v>
      </c>
      <c r="U35" s="3053">
        <f t="shared" si="154"/>
        <v>1.0375000000000001</v>
      </c>
      <c r="V35" s="3053"/>
      <c r="W35" s="3052">
        <f>T35</f>
        <v>0.98699999999999999</v>
      </c>
      <c r="X35" s="2319"/>
      <c r="Y35" s="2323"/>
      <c r="Z35" s="2324">
        <f t="shared" ref="Z35:AB35" si="155">ROUND(AVERAGEIF(Z36:Z60,"&lt;&gt;0"),4)</f>
        <v>2.8999999999999998E-3</v>
      </c>
      <c r="AA35" s="2325">
        <f t="shared" si="155"/>
        <v>2.3E-3</v>
      </c>
      <c r="AB35" s="2323">
        <f t="shared" si="155"/>
        <v>6.0000000000000001E-3</v>
      </c>
      <c r="AC35" s="2326"/>
      <c r="AD35" s="2323">
        <f>AA35</f>
        <v>2.3E-3</v>
      </c>
    </row>
    <row r="36" spans="1:44" s="1624" customFormat="1" ht="12.75">
      <c r="B36" s="1638"/>
      <c r="J36" s="2327"/>
      <c r="K36" s="2328"/>
      <c r="L36" s="2329"/>
      <c r="M36" s="2329"/>
      <c r="N36" s="2329"/>
      <c r="O36" s="2329"/>
      <c r="P36" s="2329"/>
      <c r="Q36" s="2327"/>
      <c r="R36" s="1640"/>
      <c r="S36" s="2330"/>
      <c r="T36" s="2331"/>
      <c r="U36" s="1640"/>
      <c r="V36" s="2332"/>
      <c r="W36" s="1640"/>
      <c r="X36" s="2327"/>
      <c r="Y36" s="1641"/>
      <c r="Z36" s="2333"/>
      <c r="AA36" s="2334"/>
      <c r="AB36" s="1641"/>
      <c r="AC36" s="2335"/>
      <c r="AD36" s="1641"/>
    </row>
    <row r="37" spans="1:44" s="1653" customFormat="1">
      <c r="A37" s="1649" t="s">
        <v>3643</v>
      </c>
      <c r="B37" s="3036">
        <v>2026</v>
      </c>
      <c r="C37" s="3037">
        <v>4</v>
      </c>
      <c r="D37" s="2337"/>
      <c r="E37" s="3043">
        <v>0</v>
      </c>
      <c r="F37" s="3043">
        <v>0</v>
      </c>
      <c r="G37" s="3043">
        <v>0</v>
      </c>
      <c r="H37" s="3043"/>
      <c r="I37" s="3044">
        <f t="shared" ref="I37" si="156">F37</f>
        <v>0</v>
      </c>
      <c r="J37" s="2338"/>
      <c r="K37" s="1651"/>
      <c r="L37" s="1641">
        <f t="shared" ref="L37" si="157">E37/100</f>
        <v>0</v>
      </c>
      <c r="M37" s="1641">
        <f t="shared" ref="M37" si="158">F37/100</f>
        <v>0</v>
      </c>
      <c r="N37" s="1641">
        <f t="shared" ref="N37" si="159">G37/100</f>
        <v>0</v>
      </c>
      <c r="O37" s="1641"/>
      <c r="P37" s="1641">
        <f t="shared" ref="P37:P47" si="160">M37</f>
        <v>0</v>
      </c>
      <c r="Q37" s="2338"/>
      <c r="R37" s="1640"/>
      <c r="S37" s="3054">
        <f>ROUND(IF(项目基本情况!$B$8="出让",SUMPRODUCT(PRODUCT(1+L37:L$60)),SUMPRODUCT(PRODUCT(1+L37:L$59))),4)</f>
        <v>1.0037</v>
      </c>
      <c r="T37" s="3054">
        <f>ROUND(IF(项目基本情况!$B$8="出让",SUMPRODUCT(PRODUCT(1+M37:M$60)),SUMPRODUCT(PRODUCT(1+M37:M$59))),4)</f>
        <v>0.98229999999999995</v>
      </c>
      <c r="U37" s="3054">
        <f>ROUND(IF(项目基本情况!$B$8="出让",SUMPRODUCT(PRODUCT(1+N37:N$60)),SUMPRODUCT(PRODUCT(1+N37:N$59))),4)</f>
        <v>1.0274000000000001</v>
      </c>
      <c r="V37" s="3054"/>
      <c r="W37" s="3054">
        <f t="shared" ref="W37:W47" si="161">T37</f>
        <v>0.98229999999999995</v>
      </c>
      <c r="X37" s="2338"/>
      <c r="Y37" s="1641"/>
      <c r="Z37" s="2333">
        <f t="shared" ref="Z37" si="162">IF(E37=0,0,ROUND(AVERAGE(E37:E54)/100,4))</f>
        <v>0</v>
      </c>
      <c r="AA37" s="2333">
        <f t="shared" ref="AA37" si="163">IF(F37=0,0,ROUND(AVERAGE(F37:F54)/100,4))</f>
        <v>0</v>
      </c>
      <c r="AB37" s="2333">
        <f t="shared" ref="AB37" si="164">IF(G37=0,0,ROUND(AVERAGE(G37:G54)/100,4))</f>
        <v>0</v>
      </c>
      <c r="AC37" s="2335"/>
      <c r="AD37" s="1641">
        <f>IF(I37=0,0,ROUND(AVERAGE(I37:I54)/100,4))</f>
        <v>0</v>
      </c>
      <c r="AG37" s="3057">
        <f>$AG$60*S37</f>
        <v>100.37</v>
      </c>
      <c r="AH37" s="3057">
        <f>$AG$60*T37</f>
        <v>98.22999999999999</v>
      </c>
      <c r="AI37" s="3057">
        <f>$AG$60*U37</f>
        <v>102.74000000000001</v>
      </c>
      <c r="AJ37" s="3057"/>
      <c r="AK37" s="3057">
        <f>$AG$60*W37</f>
        <v>98.22999999999999</v>
      </c>
      <c r="AN37" s="3059">
        <v>100</v>
      </c>
      <c r="AO37" s="3059">
        <v>100</v>
      </c>
      <c r="AP37" s="3059">
        <v>100</v>
      </c>
      <c r="AQ37" s="3059"/>
      <c r="AR37" s="3059">
        <v>100</v>
      </c>
    </row>
    <row r="38" spans="1:44" s="1653" customFormat="1" ht="12.75">
      <c r="A38" s="1649" t="s">
        <v>3642</v>
      </c>
      <c r="B38" s="3036">
        <v>2026</v>
      </c>
      <c r="C38" s="3037">
        <v>3</v>
      </c>
      <c r="D38" s="2337"/>
      <c r="E38" s="3043">
        <v>0</v>
      </c>
      <c r="F38" s="3043">
        <v>0</v>
      </c>
      <c r="G38" s="3043">
        <v>0</v>
      </c>
      <c r="H38" s="3043"/>
      <c r="I38" s="3044">
        <f t="shared" ref="I38:I41" si="165">F38</f>
        <v>0</v>
      </c>
      <c r="J38" s="2338"/>
      <c r="K38" s="1651"/>
      <c r="L38" s="1641"/>
      <c r="M38" s="1641"/>
      <c r="N38" s="1641"/>
      <c r="O38" s="1641"/>
      <c r="P38" s="1641"/>
      <c r="Q38" s="2338"/>
      <c r="R38" s="1640"/>
      <c r="S38" s="3054">
        <f>ROUND(IF(项目基本情况!$B$8="出让",SUMPRODUCT(PRODUCT(1+L38:L$60)),SUMPRODUCT(PRODUCT(1+L38:L$59))),4)</f>
        <v>1.0037</v>
      </c>
      <c r="T38" s="3054">
        <f>ROUND(IF(项目基本情况!$B$8="出让",SUMPRODUCT(PRODUCT(1+M38:M$60)),SUMPRODUCT(PRODUCT(1+M38:M$59))),4)</f>
        <v>0.98229999999999995</v>
      </c>
      <c r="U38" s="3054">
        <f>ROUND(IF(项目基本情况!$B$8="出让",SUMPRODUCT(PRODUCT(1+N38:N$60)),SUMPRODUCT(PRODUCT(1+N38:N$59))),4)</f>
        <v>1.0274000000000001</v>
      </c>
      <c r="V38" s="3054"/>
      <c r="W38" s="3054">
        <f t="shared" ref="W38:W41" si="166">T38</f>
        <v>0.98229999999999995</v>
      </c>
      <c r="X38" s="2338"/>
      <c r="Y38" s="1641"/>
      <c r="Z38" s="2333"/>
      <c r="AA38" s="1641"/>
      <c r="AB38" s="1641"/>
      <c r="AC38" s="2335"/>
      <c r="AD38" s="1641"/>
      <c r="AG38" s="3057">
        <f t="shared" ref="AG38:AG41" si="167">$AG$60*S38</f>
        <v>100.37</v>
      </c>
      <c r="AH38" s="3057">
        <f t="shared" ref="AH38:AH41" si="168">$AG$60*T38</f>
        <v>98.22999999999999</v>
      </c>
      <c r="AI38" s="3057">
        <f t="shared" ref="AI38:AI41" si="169">$AG$60*U38</f>
        <v>102.74000000000001</v>
      </c>
      <c r="AJ38" s="3057"/>
      <c r="AK38" s="3057">
        <f t="shared" ref="AK38:AK41" si="170">$AG$60*W38</f>
        <v>98.22999999999999</v>
      </c>
      <c r="AN38" s="3057">
        <f t="shared" ref="AN38:AN41" si="171">AN37/(1+E37/100)</f>
        <v>100</v>
      </c>
      <c r="AO38" s="3057">
        <f t="shared" ref="AO38:AO41" si="172">AO37/(1+F37/100)</f>
        <v>100</v>
      </c>
      <c r="AP38" s="3057">
        <f t="shared" ref="AP38:AP41" si="173">AP37/(1+G37/100)</f>
        <v>100</v>
      </c>
      <c r="AQ38" s="3057"/>
      <c r="AR38" s="3057">
        <f t="shared" ref="AR38:AR41" si="174">AR37/(1+I37/100)</f>
        <v>100</v>
      </c>
    </row>
    <row r="39" spans="1:44" s="1653" customFormat="1" ht="12.75">
      <c r="A39" s="1649" t="s">
        <v>3641</v>
      </c>
      <c r="B39" s="3036">
        <v>2026</v>
      </c>
      <c r="C39" s="3037">
        <v>2</v>
      </c>
      <c r="D39" s="2337"/>
      <c r="E39" s="3043">
        <v>0</v>
      </c>
      <c r="F39" s="3043">
        <v>0</v>
      </c>
      <c r="G39" s="3043">
        <v>0</v>
      </c>
      <c r="H39" s="3043"/>
      <c r="I39" s="3044">
        <f t="shared" si="165"/>
        <v>0</v>
      </c>
      <c r="J39" s="2338"/>
      <c r="K39" s="1651"/>
      <c r="L39" s="1641"/>
      <c r="M39" s="1641"/>
      <c r="N39" s="1641"/>
      <c r="O39" s="1641"/>
      <c r="P39" s="1641"/>
      <c r="Q39" s="2338"/>
      <c r="R39" s="1640"/>
      <c r="S39" s="3054">
        <f>ROUND(IF(项目基本情况!$B$8="出让",SUMPRODUCT(PRODUCT(1+L39:L$60)),SUMPRODUCT(PRODUCT(1+L39:L$59))),4)</f>
        <v>1.0037</v>
      </c>
      <c r="T39" s="3054">
        <f>ROUND(IF(项目基本情况!$B$8="出让",SUMPRODUCT(PRODUCT(1+M39:M$60)),SUMPRODUCT(PRODUCT(1+M39:M$59))),4)</f>
        <v>0.98229999999999995</v>
      </c>
      <c r="U39" s="3054">
        <f>ROUND(IF(项目基本情况!$B$8="出让",SUMPRODUCT(PRODUCT(1+N39:N$60)),SUMPRODUCT(PRODUCT(1+N39:N$59))),4)</f>
        <v>1.0274000000000001</v>
      </c>
      <c r="V39" s="3054"/>
      <c r="W39" s="3054">
        <f t="shared" si="166"/>
        <v>0.98229999999999995</v>
      </c>
      <c r="X39" s="2338"/>
      <c r="Y39" s="1641"/>
      <c r="Z39" s="2333"/>
      <c r="AA39" s="1641"/>
      <c r="AB39" s="1641"/>
      <c r="AC39" s="2335"/>
      <c r="AD39" s="1641"/>
      <c r="AG39" s="3057">
        <f t="shared" si="167"/>
        <v>100.37</v>
      </c>
      <c r="AH39" s="3057">
        <f t="shared" si="168"/>
        <v>98.22999999999999</v>
      </c>
      <c r="AI39" s="3057">
        <f t="shared" si="169"/>
        <v>102.74000000000001</v>
      </c>
      <c r="AJ39" s="3057"/>
      <c r="AK39" s="3057">
        <f t="shared" si="170"/>
        <v>98.22999999999999</v>
      </c>
      <c r="AN39" s="3057">
        <f t="shared" si="171"/>
        <v>100</v>
      </c>
      <c r="AO39" s="3057">
        <f t="shared" si="172"/>
        <v>100</v>
      </c>
      <c r="AP39" s="3057">
        <f t="shared" si="173"/>
        <v>100</v>
      </c>
      <c r="AQ39" s="3057"/>
      <c r="AR39" s="3057">
        <f t="shared" si="174"/>
        <v>100</v>
      </c>
    </row>
    <row r="40" spans="1:44" s="2344" customFormat="1" ht="12.75">
      <c r="A40" s="2339" t="s">
        <v>3646</v>
      </c>
      <c r="B40" s="3038">
        <v>2026</v>
      </c>
      <c r="C40" s="3039">
        <v>1</v>
      </c>
      <c r="D40" s="2340"/>
      <c r="E40" s="3045">
        <v>0</v>
      </c>
      <c r="F40" s="3045">
        <v>0</v>
      </c>
      <c r="G40" s="3045">
        <v>0</v>
      </c>
      <c r="H40" s="3046"/>
      <c r="I40" s="3047">
        <f t="shared" si="165"/>
        <v>0</v>
      </c>
      <c r="J40" s="2341"/>
      <c r="K40" s="2342"/>
      <c r="L40" s="2343"/>
      <c r="M40" s="2343"/>
      <c r="N40" s="2343"/>
      <c r="O40" s="2343"/>
      <c r="P40" s="2343"/>
      <c r="Q40" s="2341"/>
      <c r="R40" s="2341"/>
      <c r="S40" s="3055">
        <f>ROUND(IF(项目基本情况!$B$8="出让",SUMPRODUCT(PRODUCT(1+L40:L$60)),SUMPRODUCT(PRODUCT(1+L40:L$59))),4)</f>
        <v>1.0037</v>
      </c>
      <c r="T40" s="3055">
        <f>ROUND(IF(项目基本情况!$B$8="出让",SUMPRODUCT(PRODUCT(1+M40:M$60)),SUMPRODUCT(PRODUCT(1+M40:M$59))),4)</f>
        <v>0.98229999999999995</v>
      </c>
      <c r="U40" s="3055">
        <f>ROUND(IF(项目基本情况!$B$8="出让",SUMPRODUCT(PRODUCT(1+N40:N$60)),SUMPRODUCT(PRODUCT(1+N40:N$59))),4)</f>
        <v>1.0274000000000001</v>
      </c>
      <c r="V40" s="3055"/>
      <c r="W40" s="3055">
        <f t="shared" si="166"/>
        <v>0.98229999999999995</v>
      </c>
      <c r="X40" s="2341"/>
      <c r="Y40" s="2343"/>
      <c r="Z40" s="2354"/>
      <c r="AA40" s="2355"/>
      <c r="AB40" s="2343"/>
      <c r="AC40" s="2356"/>
      <c r="AD40" s="2343"/>
      <c r="AG40" s="3058">
        <f t="shared" si="167"/>
        <v>100.37</v>
      </c>
      <c r="AH40" s="3058">
        <f t="shared" si="168"/>
        <v>98.22999999999999</v>
      </c>
      <c r="AI40" s="3058">
        <f t="shared" si="169"/>
        <v>102.74000000000001</v>
      </c>
      <c r="AJ40" s="3058"/>
      <c r="AK40" s="3058">
        <f t="shared" si="170"/>
        <v>98.22999999999999</v>
      </c>
      <c r="AN40" s="3058">
        <f t="shared" si="171"/>
        <v>100</v>
      </c>
      <c r="AO40" s="3058">
        <f t="shared" si="172"/>
        <v>100</v>
      </c>
      <c r="AP40" s="3058">
        <f t="shared" si="173"/>
        <v>100</v>
      </c>
      <c r="AQ40" s="3058"/>
      <c r="AR40" s="3058">
        <f t="shared" si="174"/>
        <v>100</v>
      </c>
    </row>
    <row r="41" spans="1:44" s="1653" customFormat="1" ht="12.75">
      <c r="A41" s="1649" t="s">
        <v>3640</v>
      </c>
      <c r="B41" s="3036">
        <v>2025</v>
      </c>
      <c r="C41" s="3037">
        <v>4</v>
      </c>
      <c r="D41" s="2337"/>
      <c r="E41" s="3043">
        <v>-2.0499999999999998</v>
      </c>
      <c r="F41" s="3043">
        <v>-3.68</v>
      </c>
      <c r="G41" s="3043">
        <v>-2.4300000000000002</v>
      </c>
      <c r="H41" s="3043"/>
      <c r="I41" s="3044">
        <f t="shared" si="165"/>
        <v>-3.68</v>
      </c>
      <c r="J41" s="2338"/>
      <c r="K41" s="1651"/>
      <c r="L41" s="1641"/>
      <c r="M41" s="1641"/>
      <c r="N41" s="1641"/>
      <c r="O41" s="1641"/>
      <c r="P41" s="1641"/>
      <c r="Q41" s="2338"/>
      <c r="R41" s="1640"/>
      <c r="S41" s="3054">
        <f>ROUND(IF(项目基本情况!$B$8="出让",SUMPRODUCT(PRODUCT(1+L41:L$60)),SUMPRODUCT(PRODUCT(1+L41:L$59))),4)</f>
        <v>1.0037</v>
      </c>
      <c r="T41" s="3054">
        <f>ROUND(IF(项目基本情况!$B$8="出让",SUMPRODUCT(PRODUCT(1+M41:M$60)),SUMPRODUCT(PRODUCT(1+M41:M$59))),4)</f>
        <v>0.98229999999999995</v>
      </c>
      <c r="U41" s="3054">
        <f>ROUND(IF(项目基本情况!$B$8="出让",SUMPRODUCT(PRODUCT(1+N41:N$60)),SUMPRODUCT(PRODUCT(1+N41:N$59))),4)</f>
        <v>1.0274000000000001</v>
      </c>
      <c r="V41" s="3054"/>
      <c r="W41" s="3054">
        <f t="shared" si="166"/>
        <v>0.98229999999999995</v>
      </c>
      <c r="X41" s="2338"/>
      <c r="Y41" s="1641"/>
      <c r="Z41" s="2333"/>
      <c r="AA41" s="1641"/>
      <c r="AB41" s="1641"/>
      <c r="AC41" s="2335"/>
      <c r="AD41" s="1641"/>
      <c r="AG41" s="3057">
        <f t="shared" si="167"/>
        <v>100.37</v>
      </c>
      <c r="AH41" s="3057">
        <f t="shared" si="168"/>
        <v>98.22999999999999</v>
      </c>
      <c r="AI41" s="3057">
        <f t="shared" si="169"/>
        <v>102.74000000000001</v>
      </c>
      <c r="AJ41" s="3057"/>
      <c r="AK41" s="3057">
        <f t="shared" si="170"/>
        <v>98.22999999999999</v>
      </c>
      <c r="AN41" s="3057">
        <f t="shared" si="171"/>
        <v>100</v>
      </c>
      <c r="AO41" s="3057">
        <f t="shared" si="172"/>
        <v>100</v>
      </c>
      <c r="AP41" s="3057">
        <f t="shared" si="173"/>
        <v>100</v>
      </c>
      <c r="AQ41" s="3057"/>
      <c r="AR41" s="3057">
        <f t="shared" si="174"/>
        <v>100</v>
      </c>
    </row>
    <row r="42" spans="1:44" s="1653" customFormat="1" ht="12.75">
      <c r="A42" s="1649" t="s">
        <v>3280</v>
      </c>
      <c r="B42" s="3036">
        <v>2025</v>
      </c>
      <c r="C42" s="3037">
        <v>3</v>
      </c>
      <c r="D42" s="2337"/>
      <c r="E42" s="3043">
        <v>-0.8</v>
      </c>
      <c r="F42" s="3043">
        <v>-1.45</v>
      </c>
      <c r="G42" s="3043">
        <v>-0.62</v>
      </c>
      <c r="H42" s="3043"/>
      <c r="I42" s="3044">
        <f t="shared" ref="I42" si="175">F42</f>
        <v>-1.45</v>
      </c>
      <c r="J42" s="2338"/>
      <c r="K42" s="1651"/>
      <c r="L42" s="1641">
        <f t="shared" ref="L42" si="176">E42/100</f>
        <v>-8.0000000000000002E-3</v>
      </c>
      <c r="M42" s="1641">
        <f t="shared" ref="M42" si="177">F42/100</f>
        <v>-1.4499999999999999E-2</v>
      </c>
      <c r="N42" s="1641">
        <f t="shared" ref="N42" si="178">G42/100</f>
        <v>-6.1999999999999998E-3</v>
      </c>
      <c r="O42" s="1641"/>
      <c r="P42" s="1641">
        <f t="shared" si="160"/>
        <v>-1.4499999999999999E-2</v>
      </c>
      <c r="Q42" s="2338"/>
      <c r="R42" s="1640"/>
      <c r="S42" s="3054">
        <f>ROUND(IF(项目基本情况!$B$8="出让",SUMPRODUCT(PRODUCT(1+L42:L$60)),SUMPRODUCT(PRODUCT(1+L42:L$59))),4)</f>
        <v>1.0037</v>
      </c>
      <c r="T42" s="3054">
        <f>ROUND(IF(项目基本情况!$B$8="出让",SUMPRODUCT(PRODUCT(1+M42:M$60)),SUMPRODUCT(PRODUCT(1+M42:M$59))),4)</f>
        <v>0.98229999999999995</v>
      </c>
      <c r="U42" s="3054">
        <f>ROUND(IF(项目基本情况!$B$8="出让",SUMPRODUCT(PRODUCT(1+N42:N$60)),SUMPRODUCT(PRODUCT(1+N42:N$59))),4)</f>
        <v>1.0274000000000001</v>
      </c>
      <c r="V42" s="3054"/>
      <c r="W42" s="3054">
        <f t="shared" si="161"/>
        <v>0.98229999999999995</v>
      </c>
      <c r="X42" s="2338"/>
      <c r="Y42" s="1641"/>
      <c r="Z42" s="2333">
        <f t="shared" ref="Z42" si="179">IF(E42=0,0,ROUND(AVERAGE(E42:E55)/100,4))</f>
        <v>-1.2999999999999999E-3</v>
      </c>
      <c r="AA42" s="1641">
        <f t="shared" ref="AA42" si="180">IF(F42=0,0,ROUND(AVERAGE(F42:F55)/100,4))</f>
        <v>-2.2000000000000001E-3</v>
      </c>
      <c r="AB42" s="1641">
        <f t="shared" ref="AB42" si="181">IF(G42=0,0,ROUND(AVERAGE(G42:G55)/100,4))</f>
        <v>-2.9999999999999997E-4</v>
      </c>
      <c r="AC42" s="2335"/>
      <c r="AD42" s="1641">
        <f t="shared" ref="AD42:AD47" si="182">IF(I42=0,0,ROUND(AVERAGE(I42:I55)/100,4))</f>
        <v>-2.2000000000000001E-3</v>
      </c>
      <c r="AG42" s="3057">
        <f t="shared" ref="AG42:AG58" si="183">$AG$60*S42</f>
        <v>100.37</v>
      </c>
      <c r="AH42" s="3057">
        <f t="shared" ref="AH42:AH58" si="184">$AG$60*T42</f>
        <v>98.22999999999999</v>
      </c>
      <c r="AI42" s="3057">
        <f t="shared" ref="AI42:AI58" si="185">$AG$60*U42</f>
        <v>102.74000000000001</v>
      </c>
      <c r="AJ42" s="3057"/>
      <c r="AK42" s="3057">
        <f t="shared" ref="AK42:AK58" si="186">$AG$60*W42</f>
        <v>98.22999999999999</v>
      </c>
      <c r="AN42" s="3057">
        <f>AN37/(1+E37/100)</f>
        <v>100</v>
      </c>
      <c r="AO42" s="3057">
        <f t="shared" ref="AO42:AR42" si="187">AO37/(1+F37/100)</f>
        <v>100</v>
      </c>
      <c r="AP42" s="3057">
        <f t="shared" si="187"/>
        <v>100</v>
      </c>
      <c r="AQ42" s="3057"/>
      <c r="AR42" s="3057">
        <f t="shared" si="187"/>
        <v>100</v>
      </c>
    </row>
    <row r="43" spans="1:44" s="1653" customFormat="1" ht="12.75">
      <c r="A43" s="1649" t="s">
        <v>3281</v>
      </c>
      <c r="B43" s="3036">
        <v>2025</v>
      </c>
      <c r="C43" s="3037">
        <v>2</v>
      </c>
      <c r="D43" s="2337"/>
      <c r="E43" s="3043">
        <v>-0.31</v>
      </c>
      <c r="F43" s="3043">
        <v>-1.03</v>
      </c>
      <c r="G43" s="3043">
        <v>0.03</v>
      </c>
      <c r="H43" s="3043"/>
      <c r="I43" s="3044">
        <f t="shared" ref="I43" si="188">F43</f>
        <v>-1.03</v>
      </c>
      <c r="J43" s="2338"/>
      <c r="K43" s="1651"/>
      <c r="L43" s="1641">
        <f t="shared" ref="L43" si="189">E43/100</f>
        <v>-3.0999999999999999E-3</v>
      </c>
      <c r="M43" s="1641">
        <f t="shared" ref="M43" si="190">F43/100</f>
        <v>-1.03E-2</v>
      </c>
      <c r="N43" s="1641">
        <f t="shared" ref="N43" si="191">G43/100</f>
        <v>2.9999999999999997E-4</v>
      </c>
      <c r="O43" s="1641"/>
      <c r="P43" s="1641">
        <f t="shared" si="160"/>
        <v>-1.03E-2</v>
      </c>
      <c r="Q43" s="2338"/>
      <c r="R43" s="1640"/>
      <c r="S43" s="3054">
        <f>ROUND(IF(项目基本情况!$B$8="出让",SUMPRODUCT(PRODUCT(1+L43:L$60)),SUMPRODUCT(PRODUCT(1+L43:L$59))),4)</f>
        <v>1.0118</v>
      </c>
      <c r="T43" s="3054">
        <f>ROUND(IF(项目基本情况!$B$8="出让",SUMPRODUCT(PRODUCT(1+M43:M$60)),SUMPRODUCT(PRODUCT(1+M43:M$59))),4)</f>
        <v>0.99680000000000002</v>
      </c>
      <c r="U43" s="3054">
        <f>ROUND(IF(项目基本情况!$B$8="出让",SUMPRODUCT(PRODUCT(1+N43:N$60)),SUMPRODUCT(PRODUCT(1+N43:N$59))),4)</f>
        <v>1.0338000000000001</v>
      </c>
      <c r="V43" s="3054"/>
      <c r="W43" s="3054">
        <f t="shared" si="161"/>
        <v>0.99680000000000002</v>
      </c>
      <c r="X43" s="2338"/>
      <c r="Y43" s="1641"/>
      <c r="Z43" s="2333">
        <f t="shared" ref="Z43" si="192">IF(E43=0,0,ROUND(AVERAGE(E43:E56)/100,4))</f>
        <v>-2.9999999999999997E-4</v>
      </c>
      <c r="AA43" s="2333">
        <f t="shared" ref="AA43" si="193">IF(F43=0,0,ROUND(AVERAGE(F43:F56)/100,4))</f>
        <v>-8.0000000000000004E-4</v>
      </c>
      <c r="AB43" s="2333">
        <f t="shared" ref="AB43" si="194">IF(G43=0,0,ROUND(AVERAGE(G43:G56)/100,4))</f>
        <v>5.0000000000000001E-4</v>
      </c>
      <c r="AC43" s="2335"/>
      <c r="AD43" s="1641">
        <f t="shared" si="182"/>
        <v>-8.0000000000000004E-4</v>
      </c>
      <c r="AG43" s="3057">
        <f t="shared" si="183"/>
        <v>101.18</v>
      </c>
      <c r="AH43" s="3057">
        <f t="shared" si="184"/>
        <v>99.68</v>
      </c>
      <c r="AI43" s="3057">
        <f t="shared" si="185"/>
        <v>103.38000000000001</v>
      </c>
      <c r="AJ43" s="3057"/>
      <c r="AK43" s="3057">
        <f t="shared" si="186"/>
        <v>99.68</v>
      </c>
      <c r="AN43" s="3057">
        <f t="shared" ref="AN43:AN60" si="195">AN42/(1+E42/100)</f>
        <v>100.80645161290323</v>
      </c>
      <c r="AO43" s="3057">
        <f t="shared" ref="AO43" si="196">AO42/(1+F42/100)</f>
        <v>101.47133434804667</v>
      </c>
      <c r="AP43" s="3057">
        <f t="shared" ref="AP43" si="197">AP42/(1+G42/100)</f>
        <v>100.6238679814852</v>
      </c>
      <c r="AQ43" s="3057"/>
      <c r="AR43" s="3057">
        <f t="shared" ref="AR43" si="198">AR42/(1+I42/100)</f>
        <v>101.47133434804667</v>
      </c>
    </row>
    <row r="44" spans="1:44" s="1653" customFormat="1" ht="12.75">
      <c r="A44" s="1649" t="s">
        <v>3270</v>
      </c>
      <c r="B44" s="3036">
        <v>2025</v>
      </c>
      <c r="C44" s="3037">
        <v>1</v>
      </c>
      <c r="D44" s="2337"/>
      <c r="E44" s="3043">
        <v>-1.47</v>
      </c>
      <c r="F44" s="3043">
        <v>-0.98</v>
      </c>
      <c r="G44" s="3043">
        <v>-0.51</v>
      </c>
      <c r="H44" s="3043"/>
      <c r="I44" s="3044">
        <f t="shared" ref="I44" si="199">F44</f>
        <v>-0.98</v>
      </c>
      <c r="J44" s="2338"/>
      <c r="K44" s="1651"/>
      <c r="L44" s="1641">
        <f t="shared" ref="L44" si="200">E44/100</f>
        <v>-1.47E-2</v>
      </c>
      <c r="M44" s="1641">
        <f t="shared" ref="M44" si="201">F44/100</f>
        <v>-9.7999999999999997E-3</v>
      </c>
      <c r="N44" s="1641">
        <f t="shared" ref="N44" si="202">G44/100</f>
        <v>-5.1000000000000004E-3</v>
      </c>
      <c r="O44" s="1641"/>
      <c r="P44" s="1641">
        <f t="shared" si="160"/>
        <v>-9.7999999999999997E-3</v>
      </c>
      <c r="Q44" s="2338"/>
      <c r="R44" s="1640"/>
      <c r="S44" s="3054">
        <f>ROUND(IF(项目基本情况!$B$8="出让",SUMPRODUCT(PRODUCT(1+L44:L$60)),SUMPRODUCT(PRODUCT(1+L44:L$59))),4)</f>
        <v>1.0148999999999999</v>
      </c>
      <c r="T44" s="3054">
        <f>ROUND(IF(项目基本情况!$B$8="出让",SUMPRODUCT(PRODUCT(1+M44:M$60)),SUMPRODUCT(PRODUCT(1+M44:M$59))),4)</f>
        <v>1.0072000000000001</v>
      </c>
      <c r="U44" s="3054">
        <f>ROUND(IF(项目基本情况!$B$8="出让",SUMPRODUCT(PRODUCT(1+N44:N$60)),SUMPRODUCT(PRODUCT(1+N44:N$59))),4)</f>
        <v>1.0335000000000001</v>
      </c>
      <c r="V44" s="3054"/>
      <c r="W44" s="3054">
        <f t="shared" si="161"/>
        <v>1.0072000000000001</v>
      </c>
      <c r="X44" s="2338"/>
      <c r="Y44" s="1641"/>
      <c r="Z44" s="2333">
        <f t="shared" ref="Z44" si="203">IF(E44=0,0,ROUND(AVERAGE(E44:E57)/100,4))</f>
        <v>4.0000000000000002E-4</v>
      </c>
      <c r="AA44" s="2333">
        <f t="shared" ref="AA44" si="204">IF(F44=0,0,ROUND(AVERAGE(F44:F57)/100,4))</f>
        <v>0</v>
      </c>
      <c r="AB44" s="2333">
        <f t="shared" ref="AB44" si="205">IF(G44=0,0,ROUND(AVERAGE(G44:G57)/100,4))</f>
        <v>1E-3</v>
      </c>
      <c r="AC44" s="2335"/>
      <c r="AD44" s="1641">
        <f t="shared" si="182"/>
        <v>0</v>
      </c>
      <c r="AG44" s="3057">
        <f t="shared" si="183"/>
        <v>101.49</v>
      </c>
      <c r="AH44" s="3057">
        <f t="shared" si="184"/>
        <v>100.72000000000001</v>
      </c>
      <c r="AI44" s="3057">
        <f t="shared" si="185"/>
        <v>103.35000000000001</v>
      </c>
      <c r="AJ44" s="3057"/>
      <c r="AK44" s="3057">
        <f t="shared" si="186"/>
        <v>100.72000000000001</v>
      </c>
      <c r="AN44" s="3057">
        <f t="shared" si="195"/>
        <v>101.11992337536687</v>
      </c>
      <c r="AO44" s="3057">
        <f t="shared" ref="AO44:AO60" si="206">AO43/(1+F43/100)</f>
        <v>102.52736622011383</v>
      </c>
      <c r="AP44" s="3057">
        <f t="shared" ref="AP44:AP60" si="207">AP43/(1+G43/100)</f>
        <v>100.59368987452285</v>
      </c>
      <c r="AQ44" s="3057"/>
      <c r="AR44" s="3057">
        <f t="shared" ref="AR44:AR60" si="208">AR43/(1+I43/100)</f>
        <v>102.52736622011383</v>
      </c>
    </row>
    <row r="45" spans="1:44" s="1653" customFormat="1" ht="12.75">
      <c r="A45" s="1649" t="s">
        <v>3271</v>
      </c>
      <c r="B45" s="3036">
        <v>2024</v>
      </c>
      <c r="C45" s="3037">
        <v>4</v>
      </c>
      <c r="D45" s="2337"/>
      <c r="E45" s="3043">
        <v>-0.61</v>
      </c>
      <c r="F45" s="3043">
        <v>-0.71</v>
      </c>
      <c r="G45" s="3043">
        <v>-0.88</v>
      </c>
      <c r="H45" s="3043"/>
      <c r="I45" s="3044">
        <f t="shared" ref="I45" si="209">F45</f>
        <v>-0.71</v>
      </c>
      <c r="J45" s="2338"/>
      <c r="K45" s="1651"/>
      <c r="L45" s="1641">
        <f t="shared" ref="L45" si="210">E45/100</f>
        <v>-6.0999999999999995E-3</v>
      </c>
      <c r="M45" s="1641">
        <f t="shared" ref="M45" si="211">F45/100</f>
        <v>-7.0999999999999995E-3</v>
      </c>
      <c r="N45" s="1641">
        <f t="shared" ref="N45" si="212">G45/100</f>
        <v>-8.8000000000000005E-3</v>
      </c>
      <c r="O45" s="1641"/>
      <c r="P45" s="1641">
        <f t="shared" si="160"/>
        <v>-7.0999999999999995E-3</v>
      </c>
      <c r="Q45" s="2338"/>
      <c r="R45" s="1640"/>
      <c r="S45" s="3054">
        <f>ROUND(IF(项目基本情况!$B$8="出让",SUMPRODUCT(PRODUCT(1+L45:L$60)),SUMPRODUCT(PRODUCT(1+L45:L$59))),4)</f>
        <v>1.0301</v>
      </c>
      <c r="T45" s="3054">
        <f>ROUND(IF(项目基本情况!$B$8="出让",SUMPRODUCT(PRODUCT(1+M45:M$60)),SUMPRODUCT(PRODUCT(1+M45:M$59))),4)</f>
        <v>1.0170999999999999</v>
      </c>
      <c r="U45" s="3054">
        <f>ROUND(IF(项目基本情况!$B$8="出让",SUMPRODUCT(PRODUCT(1+N45:N$60)),SUMPRODUCT(PRODUCT(1+N45:N$59))),4)</f>
        <v>1.0387999999999999</v>
      </c>
      <c r="V45" s="3054"/>
      <c r="W45" s="3054">
        <f t="shared" si="161"/>
        <v>1.0170999999999999</v>
      </c>
      <c r="X45" s="2338"/>
      <c r="Y45" s="1641"/>
      <c r="Z45" s="2333">
        <f t="shared" ref="Z45" si="213">IF(E45=0,0,ROUND(AVERAGE(E45:E58)/100,4))</f>
        <v>1.6999999999999999E-3</v>
      </c>
      <c r="AA45" s="2333">
        <f t="shared" ref="AA45" si="214">IF(F45=0,0,ROUND(AVERAGE(F45:F58)/100,4))</f>
        <v>8.9999999999999998E-4</v>
      </c>
      <c r="AB45" s="2333">
        <f t="shared" ref="AB45" si="215">IF(G45=0,0,ROUND(AVERAGE(G45:G58)/100,4))</f>
        <v>2E-3</v>
      </c>
      <c r="AC45" s="2335"/>
      <c r="AD45" s="1641">
        <f t="shared" si="182"/>
        <v>8.9999999999999998E-4</v>
      </c>
      <c r="AG45" s="3057">
        <f t="shared" si="183"/>
        <v>103.01</v>
      </c>
      <c r="AH45" s="3057">
        <f t="shared" si="184"/>
        <v>101.71</v>
      </c>
      <c r="AI45" s="3057">
        <f t="shared" si="185"/>
        <v>103.88</v>
      </c>
      <c r="AJ45" s="3057"/>
      <c r="AK45" s="3057">
        <f t="shared" si="186"/>
        <v>101.71</v>
      </c>
      <c r="AN45" s="3057">
        <f t="shared" si="195"/>
        <v>102.62856325521858</v>
      </c>
      <c r="AO45" s="3057">
        <f t="shared" si="206"/>
        <v>103.54207859029877</v>
      </c>
      <c r="AP45" s="3057">
        <f t="shared" si="207"/>
        <v>101.10934754701262</v>
      </c>
      <c r="AQ45" s="3057"/>
      <c r="AR45" s="3057">
        <f t="shared" si="208"/>
        <v>103.54207859029877</v>
      </c>
    </row>
    <row r="46" spans="1:44" s="1653" customFormat="1" ht="12.75">
      <c r="A46" s="1649" t="s">
        <v>3255</v>
      </c>
      <c r="B46" s="3036">
        <v>2024</v>
      </c>
      <c r="C46" s="3037">
        <v>3</v>
      </c>
      <c r="D46" s="2337"/>
      <c r="E46" s="3043">
        <v>-0.66</v>
      </c>
      <c r="F46" s="3043">
        <v>-0.52</v>
      </c>
      <c r="G46" s="3043">
        <v>-2.87</v>
      </c>
      <c r="H46" s="3043"/>
      <c r="I46" s="3044">
        <f t="shared" ref="I46" si="216">F46</f>
        <v>-0.52</v>
      </c>
      <c r="J46" s="2338"/>
      <c r="K46" s="1651"/>
      <c r="L46" s="1641">
        <f t="shared" ref="L46" si="217">E46/100</f>
        <v>-6.6E-3</v>
      </c>
      <c r="M46" s="1641">
        <f t="shared" ref="M46" si="218">F46/100</f>
        <v>-5.1999999999999998E-3</v>
      </c>
      <c r="N46" s="1641">
        <f t="shared" ref="N46" si="219">G46/100</f>
        <v>-2.87E-2</v>
      </c>
      <c r="O46" s="1641"/>
      <c r="P46" s="1641">
        <f t="shared" si="160"/>
        <v>-5.1999999999999998E-3</v>
      </c>
      <c r="Q46" s="2338"/>
      <c r="R46" s="1640"/>
      <c r="S46" s="3054">
        <f>ROUND(IF(项目基本情况!$B$8="出让",SUMPRODUCT(PRODUCT(1+L46:L$60)),SUMPRODUCT(PRODUCT(1+L46:L$59))),4)</f>
        <v>1.0364</v>
      </c>
      <c r="T46" s="3054">
        <f>ROUND(IF(项目基本情况!$B$8="出让",SUMPRODUCT(PRODUCT(1+M46:M$60)),SUMPRODUCT(PRODUCT(1+M46:M$59))),4)</f>
        <v>1.0244</v>
      </c>
      <c r="U46" s="3054">
        <f>ROUND(IF(项目基本情况!$B$8="出让",SUMPRODUCT(PRODUCT(1+N46:N$60)),SUMPRODUCT(PRODUCT(1+N46:N$59))),4)</f>
        <v>1.048</v>
      </c>
      <c r="V46" s="3054"/>
      <c r="W46" s="3054">
        <f t="shared" si="161"/>
        <v>1.0244</v>
      </c>
      <c r="X46" s="2338"/>
      <c r="Y46" s="1641"/>
      <c r="Z46" s="2333">
        <f t="shared" ref="Z46:AB47" si="220">IF(E46=0,0,ROUND(AVERAGE(E46:E59)/100,4))</f>
        <v>2.5999999999999999E-3</v>
      </c>
      <c r="AA46" s="2333">
        <f t="shared" si="220"/>
        <v>1.6999999999999999E-3</v>
      </c>
      <c r="AB46" s="2333">
        <f t="shared" si="220"/>
        <v>3.3999999999999998E-3</v>
      </c>
      <c r="AC46" s="2335"/>
      <c r="AD46" s="1641">
        <f t="shared" si="182"/>
        <v>1.6999999999999999E-3</v>
      </c>
      <c r="AG46" s="3057">
        <f t="shared" si="183"/>
        <v>103.64</v>
      </c>
      <c r="AH46" s="3057">
        <f t="shared" si="184"/>
        <v>102.44</v>
      </c>
      <c r="AI46" s="3057">
        <f t="shared" si="185"/>
        <v>104.80000000000001</v>
      </c>
      <c r="AJ46" s="3057"/>
      <c r="AK46" s="3057">
        <f t="shared" si="186"/>
        <v>102.44</v>
      </c>
      <c r="AN46" s="3057">
        <f t="shared" si="195"/>
        <v>103.25843973761805</v>
      </c>
      <c r="AO46" s="3057">
        <f t="shared" si="206"/>
        <v>104.28248422831984</v>
      </c>
      <c r="AP46" s="3057">
        <f t="shared" si="207"/>
        <v>102.00700922822097</v>
      </c>
      <c r="AQ46" s="3057"/>
      <c r="AR46" s="3057">
        <f t="shared" si="208"/>
        <v>104.28248422831984</v>
      </c>
    </row>
    <row r="47" spans="1:44" s="1653" customFormat="1" ht="12.75">
      <c r="A47" s="2336" t="s">
        <v>3259</v>
      </c>
      <c r="B47" s="3036">
        <v>2024</v>
      </c>
      <c r="C47" s="3037">
        <v>2</v>
      </c>
      <c r="D47" s="2337"/>
      <c r="E47" s="3043">
        <v>-0.31</v>
      </c>
      <c r="F47" s="3043">
        <v>-0.39</v>
      </c>
      <c r="G47" s="3043">
        <v>1.23</v>
      </c>
      <c r="H47" s="3048"/>
      <c r="I47" s="3044">
        <f t="shared" ref="I47:I60" si="221">F47</f>
        <v>-0.39</v>
      </c>
      <c r="J47" s="2338"/>
      <c r="K47" s="1651"/>
      <c r="L47" s="1641">
        <f t="shared" ref="L47:N60" si="222">E47/100</f>
        <v>-3.0999999999999999E-3</v>
      </c>
      <c r="M47" s="1641">
        <f t="shared" si="222"/>
        <v>-3.9000000000000003E-3</v>
      </c>
      <c r="N47" s="1641">
        <f t="shared" si="222"/>
        <v>1.23E-2</v>
      </c>
      <c r="O47" s="1641"/>
      <c r="P47" s="1641">
        <f t="shared" si="160"/>
        <v>-3.9000000000000003E-3</v>
      </c>
      <c r="Q47" s="2338"/>
      <c r="R47" s="1640"/>
      <c r="S47" s="3054">
        <f>ROUND(IF(项目基本情况!$B$8="出让",SUMPRODUCT(PRODUCT(1+L47:L$60)),SUMPRODUCT(PRODUCT(1+L47:L$59))),4)</f>
        <v>1.0432999999999999</v>
      </c>
      <c r="T47" s="3054">
        <f>ROUND(IF(项目基本情况!$B$8="出让",SUMPRODUCT(PRODUCT(1+M47:M$60)),SUMPRODUCT(PRODUCT(1+M47:M$59))),4)</f>
        <v>1.0298</v>
      </c>
      <c r="U47" s="3054">
        <f>ROUND(IF(项目基本情况!$B$8="出让",SUMPRODUCT(PRODUCT(1+N47:N$60)),SUMPRODUCT(PRODUCT(1+N47:N$59))),4)</f>
        <v>1.079</v>
      </c>
      <c r="V47" s="3054"/>
      <c r="W47" s="3054">
        <f t="shared" si="161"/>
        <v>1.0298</v>
      </c>
      <c r="X47" s="2338"/>
      <c r="Y47" s="1641"/>
      <c r="Z47" s="2333">
        <f t="shared" si="220"/>
        <v>3.3E-3</v>
      </c>
      <c r="AA47" s="2334">
        <f t="shared" si="220"/>
        <v>2.3999999999999998E-3</v>
      </c>
      <c r="AB47" s="1641">
        <f t="shared" si="220"/>
        <v>6.1999999999999998E-3</v>
      </c>
      <c r="AC47" s="2335"/>
      <c r="AD47" s="1641">
        <f t="shared" si="182"/>
        <v>2.3999999999999998E-3</v>
      </c>
      <c r="AG47" s="3057">
        <f t="shared" si="183"/>
        <v>104.32999999999998</v>
      </c>
      <c r="AH47" s="3057">
        <f t="shared" si="184"/>
        <v>102.98</v>
      </c>
      <c r="AI47" s="3057">
        <f t="shared" si="185"/>
        <v>107.89999999999999</v>
      </c>
      <c r="AJ47" s="3057"/>
      <c r="AK47" s="3057">
        <f t="shared" si="186"/>
        <v>102.98</v>
      </c>
      <c r="AN47" s="3057">
        <f t="shared" si="195"/>
        <v>103.94447326114158</v>
      </c>
      <c r="AO47" s="3057">
        <f t="shared" si="206"/>
        <v>104.82758768427809</v>
      </c>
      <c r="AP47" s="3057">
        <f t="shared" si="207"/>
        <v>105.02111523547921</v>
      </c>
      <c r="AQ47" s="3057"/>
      <c r="AR47" s="3057">
        <f t="shared" si="208"/>
        <v>104.82758768427809</v>
      </c>
    </row>
    <row r="48" spans="1:44" s="1653" customFormat="1" ht="12.75">
      <c r="A48" s="2336" t="s">
        <v>3256</v>
      </c>
      <c r="B48" s="3036">
        <v>2024</v>
      </c>
      <c r="C48" s="3037">
        <v>1</v>
      </c>
      <c r="D48" s="2337"/>
      <c r="E48" s="3043">
        <v>0.25</v>
      </c>
      <c r="F48" s="3043">
        <v>0.4</v>
      </c>
      <c r="G48" s="3043">
        <v>-0.63</v>
      </c>
      <c r="H48" s="3048"/>
      <c r="I48" s="3044">
        <f t="shared" ref="I48:I49" si="223">F48</f>
        <v>0.4</v>
      </c>
      <c r="J48" s="2338"/>
      <c r="K48" s="1651"/>
      <c r="L48" s="1641">
        <f t="shared" ref="L48" si="224">E48/100</f>
        <v>2.5000000000000001E-3</v>
      </c>
      <c r="M48" s="1641">
        <f t="shared" ref="M48" si="225">F48/100</f>
        <v>4.0000000000000001E-3</v>
      </c>
      <c r="N48" s="1641">
        <f t="shared" ref="N48" si="226">G48/100</f>
        <v>-6.3E-3</v>
      </c>
      <c r="O48" s="1641"/>
      <c r="P48" s="1641">
        <f t="shared" ref="P48" si="227">M48</f>
        <v>4.0000000000000001E-3</v>
      </c>
      <c r="Q48" s="2338"/>
      <c r="R48" s="1640"/>
      <c r="S48" s="3054">
        <f>ROUND(IF(项目基本情况!$B$8="出让",SUMPRODUCT(PRODUCT(1+L48:L$60)),SUMPRODUCT(PRODUCT(1+L48:L$59))),4)</f>
        <v>1.0465</v>
      </c>
      <c r="T48" s="3054">
        <f>ROUND(IF(项目基本情况!$B$8="出让",SUMPRODUCT(PRODUCT(1+M48:M$60)),SUMPRODUCT(PRODUCT(1+M48:M$59))),4)</f>
        <v>1.0338000000000001</v>
      </c>
      <c r="U48" s="3054">
        <f>ROUND(IF(项目基本情况!$B$8="出让",SUMPRODUCT(PRODUCT(1+N48:N$60)),SUMPRODUCT(PRODUCT(1+N48:N$59))),4)</f>
        <v>1.0659000000000001</v>
      </c>
      <c r="V48" s="3054"/>
      <c r="W48" s="3054">
        <f t="shared" ref="W48" si="228">T48</f>
        <v>1.0338000000000001</v>
      </c>
      <c r="X48" s="2338"/>
      <c r="Y48" s="1641"/>
      <c r="Z48" s="2333"/>
      <c r="AA48" s="2334"/>
      <c r="AB48" s="1641"/>
      <c r="AC48" s="2335"/>
      <c r="AD48" s="1641"/>
      <c r="AG48" s="3057">
        <f t="shared" si="183"/>
        <v>104.65</v>
      </c>
      <c r="AH48" s="3057">
        <f t="shared" si="184"/>
        <v>103.38000000000001</v>
      </c>
      <c r="AI48" s="3057">
        <f t="shared" si="185"/>
        <v>106.59</v>
      </c>
      <c r="AJ48" s="3057"/>
      <c r="AK48" s="3057">
        <f t="shared" si="186"/>
        <v>103.38000000000001</v>
      </c>
      <c r="AN48" s="3057">
        <f t="shared" si="195"/>
        <v>104.2677031408783</v>
      </c>
      <c r="AO48" s="3057">
        <f t="shared" si="206"/>
        <v>105.23801594646932</v>
      </c>
      <c r="AP48" s="3057">
        <f t="shared" si="207"/>
        <v>103.74505110686478</v>
      </c>
      <c r="AQ48" s="3057"/>
      <c r="AR48" s="3057">
        <f t="shared" si="208"/>
        <v>105.23801594646932</v>
      </c>
    </row>
    <row r="49" spans="1:44" s="1653" customFormat="1" ht="12.75">
      <c r="A49" s="2336" t="s">
        <v>3254</v>
      </c>
      <c r="B49" s="3036">
        <v>2023</v>
      </c>
      <c r="C49" s="3037">
        <v>4</v>
      </c>
      <c r="D49" s="2337"/>
      <c r="E49" s="3043">
        <v>7.0000000000000007E-2</v>
      </c>
      <c r="F49" s="3043">
        <v>0.09</v>
      </c>
      <c r="G49" s="3043">
        <v>0.03</v>
      </c>
      <c r="H49" s="3048"/>
      <c r="I49" s="3044">
        <f t="shared" si="223"/>
        <v>0.09</v>
      </c>
      <c r="J49" s="2338"/>
      <c r="K49" s="1651"/>
      <c r="L49" s="1641">
        <f t="shared" si="222"/>
        <v>7.000000000000001E-4</v>
      </c>
      <c r="M49" s="1641">
        <f t="shared" si="222"/>
        <v>8.9999999999999998E-4</v>
      </c>
      <c r="N49" s="1641">
        <f t="shared" si="222"/>
        <v>2.9999999999999997E-4</v>
      </c>
      <c r="O49" s="1641"/>
      <c r="P49" s="1641">
        <f t="shared" ref="P49" si="229">M49</f>
        <v>8.9999999999999998E-4</v>
      </c>
      <c r="Q49" s="2338"/>
      <c r="R49" s="1640"/>
      <c r="S49" s="3054">
        <f>ROUND(IF(项目基本情况!$B$8="出让",SUMPRODUCT(PRODUCT(1+L49:L$60)),SUMPRODUCT(PRODUCT(1+L49:L$59))),4)</f>
        <v>1.0439000000000001</v>
      </c>
      <c r="T49" s="3054">
        <f>ROUND(IF(项目基本情况!$B$8="出让",SUMPRODUCT(PRODUCT(1+M49:M$60)),SUMPRODUCT(PRODUCT(1+M49:M$59))),4)</f>
        <v>1.0297000000000001</v>
      </c>
      <c r="U49" s="3054">
        <f>ROUND(IF(项目基本情况!$B$8="出让",SUMPRODUCT(PRODUCT(1+N49:N$60)),SUMPRODUCT(PRODUCT(1+N49:N$59))),4)</f>
        <v>1.0727</v>
      </c>
      <c r="V49" s="3054"/>
      <c r="W49" s="3054">
        <f t="shared" ref="W49" si="230">T49</f>
        <v>1.0297000000000001</v>
      </c>
      <c r="X49" s="2338"/>
      <c r="Y49" s="1641"/>
      <c r="Z49" s="2333"/>
      <c r="AA49" s="2334"/>
      <c r="AB49" s="1641"/>
      <c r="AC49" s="2335"/>
      <c r="AD49" s="1641"/>
      <c r="AG49" s="3057">
        <f t="shared" si="183"/>
        <v>104.39</v>
      </c>
      <c r="AH49" s="3057">
        <f t="shared" si="184"/>
        <v>102.97</v>
      </c>
      <c r="AI49" s="3057">
        <f t="shared" si="185"/>
        <v>107.27</v>
      </c>
      <c r="AJ49" s="3057"/>
      <c r="AK49" s="3057">
        <f t="shared" si="186"/>
        <v>102.97</v>
      </c>
      <c r="AN49" s="3057">
        <f t="shared" si="195"/>
        <v>104.00768393105068</v>
      </c>
      <c r="AO49" s="3057">
        <f t="shared" si="206"/>
        <v>104.81874098253915</v>
      </c>
      <c r="AP49" s="3057">
        <f t="shared" si="207"/>
        <v>104.40278867552055</v>
      </c>
      <c r="AQ49" s="3057"/>
      <c r="AR49" s="3057">
        <f t="shared" si="208"/>
        <v>104.81874098253915</v>
      </c>
    </row>
    <row r="50" spans="1:44" s="1653" customFormat="1" ht="12.75">
      <c r="A50" s="2336" t="s">
        <v>3252</v>
      </c>
      <c r="B50" s="3036">
        <v>2023</v>
      </c>
      <c r="C50" s="3037">
        <v>3</v>
      </c>
      <c r="D50" s="2337"/>
      <c r="E50" s="3043">
        <v>0.35</v>
      </c>
      <c r="F50" s="3043">
        <v>0.17</v>
      </c>
      <c r="G50" s="3043">
        <v>0.52</v>
      </c>
      <c r="H50" s="3048"/>
      <c r="I50" s="3044">
        <f t="shared" si="221"/>
        <v>0.17</v>
      </c>
      <c r="J50" s="2338"/>
      <c r="K50" s="1651"/>
      <c r="L50" s="1641">
        <f t="shared" ref="L50:L52" si="231">E50/100</f>
        <v>3.4999999999999996E-3</v>
      </c>
      <c r="M50" s="1641">
        <f t="shared" ref="M50:M52" si="232">F50/100</f>
        <v>1.7000000000000001E-3</v>
      </c>
      <c r="N50" s="1641">
        <f t="shared" ref="N50:N52" si="233">G50/100</f>
        <v>5.1999999999999998E-3</v>
      </c>
      <c r="O50" s="1641"/>
      <c r="P50" s="1641">
        <f t="shared" ref="P50:P52" si="234">M50</f>
        <v>1.7000000000000001E-3</v>
      </c>
      <c r="Q50" s="2338"/>
      <c r="R50" s="1640"/>
      <c r="S50" s="3054">
        <f>ROUND(IF(项目基本情况!$B$8="出让",SUMPRODUCT(PRODUCT(1+L50:L$60)),SUMPRODUCT(PRODUCT(1+L50:L$59))),4)</f>
        <v>1.0431999999999999</v>
      </c>
      <c r="T50" s="3054">
        <f>ROUND(IF(项目基本情况!$B$8="出让",SUMPRODUCT(PRODUCT(1+M50:M$60)),SUMPRODUCT(PRODUCT(1+M50:M$59))),4)</f>
        <v>1.0286999999999999</v>
      </c>
      <c r="U50" s="3054">
        <f>ROUND(IF(项目基本情况!$B$8="出让",SUMPRODUCT(PRODUCT(1+N50:N$60)),SUMPRODUCT(PRODUCT(1+N50:N$59))),4)</f>
        <v>1.0723</v>
      </c>
      <c r="V50" s="3054"/>
      <c r="W50" s="3054">
        <f t="shared" ref="W50:W52" si="235">T50</f>
        <v>1.0286999999999999</v>
      </c>
      <c r="X50" s="2338"/>
      <c r="Y50" s="1641"/>
      <c r="Z50" s="2333"/>
      <c r="AA50" s="2334"/>
      <c r="AB50" s="1641"/>
      <c r="AC50" s="2335"/>
      <c r="AD50" s="1641"/>
      <c r="AG50" s="3057">
        <f t="shared" si="183"/>
        <v>104.32</v>
      </c>
      <c r="AH50" s="3057">
        <f t="shared" si="184"/>
        <v>102.86999999999999</v>
      </c>
      <c r="AI50" s="3057">
        <f t="shared" si="185"/>
        <v>107.23</v>
      </c>
      <c r="AJ50" s="3057"/>
      <c r="AK50" s="3057">
        <f t="shared" si="186"/>
        <v>102.86999999999999</v>
      </c>
      <c r="AN50" s="3057">
        <f t="shared" si="195"/>
        <v>103.9349294804144</v>
      </c>
      <c r="AO50" s="3057">
        <f t="shared" si="206"/>
        <v>104.72448894249092</v>
      </c>
      <c r="AP50" s="3057">
        <f t="shared" si="207"/>
        <v>104.37147723235086</v>
      </c>
      <c r="AQ50" s="3057"/>
      <c r="AR50" s="3057">
        <f t="shared" si="208"/>
        <v>104.72448894249092</v>
      </c>
    </row>
    <row r="51" spans="1:44" s="1653" customFormat="1" ht="12.75">
      <c r="A51" s="2336" t="s">
        <v>3251</v>
      </c>
      <c r="B51" s="3036">
        <v>2023</v>
      </c>
      <c r="C51" s="3037">
        <v>2</v>
      </c>
      <c r="D51" s="2337"/>
      <c r="E51" s="3043">
        <v>0.5</v>
      </c>
      <c r="F51" s="3043">
        <v>0.45</v>
      </c>
      <c r="G51" s="3043">
        <v>0.89</v>
      </c>
      <c r="H51" s="3048"/>
      <c r="I51" s="3044">
        <f t="shared" si="221"/>
        <v>0.45</v>
      </c>
      <c r="J51" s="2338"/>
      <c r="K51" s="1651"/>
      <c r="L51" s="1641">
        <f t="shared" si="231"/>
        <v>5.0000000000000001E-3</v>
      </c>
      <c r="M51" s="1641">
        <f t="shared" si="232"/>
        <v>4.5000000000000005E-3</v>
      </c>
      <c r="N51" s="1641">
        <f t="shared" si="233"/>
        <v>8.8999999999999999E-3</v>
      </c>
      <c r="O51" s="1641"/>
      <c r="P51" s="1641">
        <f t="shared" si="234"/>
        <v>4.5000000000000005E-3</v>
      </c>
      <c r="Q51" s="2338"/>
      <c r="R51" s="1640"/>
      <c r="S51" s="3054">
        <f>ROUND(IF(项目基本情况!$B$8="出让",SUMPRODUCT(PRODUCT(1+L51:L$60)),SUMPRODUCT(PRODUCT(1+L51:L$59))),4)</f>
        <v>1.0396000000000001</v>
      </c>
      <c r="T51" s="3054">
        <f>ROUND(IF(项目基本情况!$B$8="出让",SUMPRODUCT(PRODUCT(1+M51:M$60)),SUMPRODUCT(PRODUCT(1+M51:M$59))),4)</f>
        <v>1.0269999999999999</v>
      </c>
      <c r="U51" s="3054">
        <f>ROUND(IF(项目基本情况!$B$8="出让",SUMPRODUCT(PRODUCT(1+N51:N$60)),SUMPRODUCT(PRODUCT(1+N51:N$59))),4)</f>
        <v>1.0668</v>
      </c>
      <c r="V51" s="3054"/>
      <c r="W51" s="3054">
        <f t="shared" si="235"/>
        <v>1.0269999999999999</v>
      </c>
      <c r="X51" s="2338"/>
      <c r="Y51" s="1641"/>
      <c r="Z51" s="2333"/>
      <c r="AA51" s="2334"/>
      <c r="AB51" s="1641"/>
      <c r="AC51" s="2335"/>
      <c r="AD51" s="1641"/>
      <c r="AG51" s="3057">
        <f t="shared" si="183"/>
        <v>103.96000000000001</v>
      </c>
      <c r="AH51" s="3057">
        <f t="shared" si="184"/>
        <v>102.69999999999999</v>
      </c>
      <c r="AI51" s="3057">
        <f t="shared" si="185"/>
        <v>106.67999999999999</v>
      </c>
      <c r="AJ51" s="3057"/>
      <c r="AK51" s="3057">
        <f t="shared" si="186"/>
        <v>102.69999999999999</v>
      </c>
      <c r="AN51" s="3057">
        <f t="shared" si="195"/>
        <v>103.5724259894513</v>
      </c>
      <c r="AO51" s="3057">
        <f t="shared" si="206"/>
        <v>104.5467594514235</v>
      </c>
      <c r="AP51" s="3057">
        <f t="shared" si="207"/>
        <v>103.83155315593996</v>
      </c>
      <c r="AQ51" s="3057"/>
      <c r="AR51" s="3057">
        <f t="shared" si="208"/>
        <v>104.5467594514235</v>
      </c>
    </row>
    <row r="52" spans="1:44" s="1653" customFormat="1" ht="12.75">
      <c r="A52" s="2336" t="s">
        <v>3249</v>
      </c>
      <c r="B52" s="3036">
        <v>2023</v>
      </c>
      <c r="C52" s="3037">
        <v>1</v>
      </c>
      <c r="D52" s="2337"/>
      <c r="E52" s="3043">
        <v>0.55000000000000004</v>
      </c>
      <c r="F52" s="3043">
        <v>0.59</v>
      </c>
      <c r="G52" s="3043">
        <v>0.64</v>
      </c>
      <c r="H52" s="3048"/>
      <c r="I52" s="3044">
        <f t="shared" si="221"/>
        <v>0.59</v>
      </c>
      <c r="J52" s="2338"/>
      <c r="K52" s="1651"/>
      <c r="L52" s="1641">
        <f t="shared" si="231"/>
        <v>5.5000000000000005E-3</v>
      </c>
      <c r="M52" s="1641">
        <f t="shared" si="232"/>
        <v>5.8999999999999999E-3</v>
      </c>
      <c r="N52" s="1641">
        <f t="shared" si="233"/>
        <v>6.4000000000000003E-3</v>
      </c>
      <c r="O52" s="1641"/>
      <c r="P52" s="1641">
        <f t="shared" si="234"/>
        <v>5.8999999999999999E-3</v>
      </c>
      <c r="Q52" s="2338"/>
      <c r="R52" s="1640"/>
      <c r="S52" s="3054">
        <f>ROUND(IF(项目基本情况!$B$8="出让",SUMPRODUCT(PRODUCT(1+L52:L$60)),SUMPRODUCT(PRODUCT(1+L52:L$59))),4)</f>
        <v>1.0344</v>
      </c>
      <c r="T52" s="3054">
        <f>ROUND(IF(项目基本情况!$B$8="出让",SUMPRODUCT(PRODUCT(1+M52:M$60)),SUMPRODUCT(PRODUCT(1+M52:M$59))),4)</f>
        <v>1.0224</v>
      </c>
      <c r="U52" s="3054">
        <f>ROUND(IF(项目基本情况!$B$8="出让",SUMPRODUCT(PRODUCT(1+N52:N$60)),SUMPRODUCT(PRODUCT(1+N52:N$59))),4)</f>
        <v>1.0573999999999999</v>
      </c>
      <c r="V52" s="3054"/>
      <c r="W52" s="3054">
        <f t="shared" si="235"/>
        <v>1.0224</v>
      </c>
      <c r="X52" s="2338"/>
      <c r="Y52" s="1641"/>
      <c r="Z52" s="2333"/>
      <c r="AA52" s="2334"/>
      <c r="AB52" s="1641"/>
      <c r="AC52" s="2335"/>
      <c r="AD52" s="1641"/>
      <c r="AG52" s="3057">
        <f t="shared" si="183"/>
        <v>103.44</v>
      </c>
      <c r="AH52" s="3057">
        <f t="shared" si="184"/>
        <v>102.24</v>
      </c>
      <c r="AI52" s="3057">
        <f t="shared" si="185"/>
        <v>105.74</v>
      </c>
      <c r="AJ52" s="3057"/>
      <c r="AK52" s="3057">
        <f t="shared" si="186"/>
        <v>102.24</v>
      </c>
      <c r="AN52" s="3057">
        <f t="shared" si="195"/>
        <v>103.05714028801125</v>
      </c>
      <c r="AO52" s="3057">
        <f t="shared" si="206"/>
        <v>104.07840662162619</v>
      </c>
      <c r="AP52" s="3057">
        <f t="shared" si="207"/>
        <v>102.91560427786695</v>
      </c>
      <c r="AQ52" s="3057"/>
      <c r="AR52" s="3057">
        <f t="shared" si="208"/>
        <v>104.07840662162619</v>
      </c>
    </row>
    <row r="53" spans="1:44" s="1653" customFormat="1" ht="12.75">
      <c r="A53" s="2336" t="s">
        <v>3248</v>
      </c>
      <c r="B53" s="3036">
        <v>2022</v>
      </c>
      <c r="C53" s="3037">
        <v>4</v>
      </c>
      <c r="D53" s="2337"/>
      <c r="E53" s="3043">
        <v>0.45</v>
      </c>
      <c r="F53" s="3043">
        <v>0.2</v>
      </c>
      <c r="G53" s="3043">
        <v>0.38</v>
      </c>
      <c r="H53" s="3048"/>
      <c r="I53" s="3044">
        <f t="shared" si="221"/>
        <v>0.2</v>
      </c>
      <c r="J53" s="2338"/>
      <c r="K53" s="1651"/>
      <c r="L53" s="1641">
        <f t="shared" si="222"/>
        <v>4.5000000000000005E-3</v>
      </c>
      <c r="M53" s="1641">
        <f t="shared" si="222"/>
        <v>2E-3</v>
      </c>
      <c r="N53" s="1641">
        <f t="shared" si="222"/>
        <v>3.8E-3</v>
      </c>
      <c r="O53" s="1641"/>
      <c r="P53" s="1641">
        <f t="shared" ref="P53:P60" si="236">M53</f>
        <v>2E-3</v>
      </c>
      <c r="Q53" s="2338"/>
      <c r="R53" s="1640"/>
      <c r="S53" s="3054">
        <f>ROUND(IF(项目基本情况!$B$8="出让",SUMPRODUCT(PRODUCT(1+L53:L$60)),SUMPRODUCT(PRODUCT(1+L53:L$59))),4)</f>
        <v>1.0286999999999999</v>
      </c>
      <c r="T53" s="3054">
        <f>ROUND(IF(项目基本情况!$B$8="出让",SUMPRODUCT(PRODUCT(1+M53:M$60)),SUMPRODUCT(PRODUCT(1+M53:M$59))),4)</f>
        <v>1.0164</v>
      </c>
      <c r="U53" s="3054">
        <f>ROUND(IF(项目基本情况!$B$8="出让",SUMPRODUCT(PRODUCT(1+N53:N$60)),SUMPRODUCT(PRODUCT(1+N53:N$59))),4)</f>
        <v>1.0506</v>
      </c>
      <c r="V53" s="3054"/>
      <c r="W53" s="3054">
        <f t="shared" ref="W53:W60" si="237">T53</f>
        <v>1.0164</v>
      </c>
      <c r="X53" s="2338"/>
      <c r="Y53" s="1641"/>
      <c r="Z53" s="2333">
        <f t="shared" ref="Z53:AD60" si="238">IF(E53=0,0,ROUND(AVERAGE(E53:E61)/100,4))</f>
        <v>4.0000000000000001E-3</v>
      </c>
      <c r="AA53" s="2334">
        <f t="shared" si="238"/>
        <v>2.5999999999999999E-3</v>
      </c>
      <c r="AB53" s="1641">
        <f t="shared" si="238"/>
        <v>7.4000000000000003E-3</v>
      </c>
      <c r="AC53" s="2335"/>
      <c r="AD53" s="1641">
        <f t="shared" si="238"/>
        <v>2.5999999999999999E-3</v>
      </c>
      <c r="AG53" s="3057">
        <f t="shared" si="183"/>
        <v>102.86999999999999</v>
      </c>
      <c r="AH53" s="3057">
        <f t="shared" si="184"/>
        <v>101.64</v>
      </c>
      <c r="AI53" s="3057">
        <f t="shared" si="185"/>
        <v>105.06</v>
      </c>
      <c r="AJ53" s="3057"/>
      <c r="AK53" s="3057">
        <f t="shared" si="186"/>
        <v>101.64</v>
      </c>
      <c r="AN53" s="3057">
        <f t="shared" si="195"/>
        <v>102.49342644257707</v>
      </c>
      <c r="AO53" s="3057">
        <f t="shared" si="206"/>
        <v>103.46794574174986</v>
      </c>
      <c r="AP53" s="3057">
        <f t="shared" si="207"/>
        <v>102.26113302649736</v>
      </c>
      <c r="AQ53" s="3057"/>
      <c r="AR53" s="3057">
        <f t="shared" si="208"/>
        <v>103.46794574174986</v>
      </c>
    </row>
    <row r="54" spans="1:44" s="1653" customFormat="1" ht="12.75">
      <c r="A54" s="2336" t="s">
        <v>3247</v>
      </c>
      <c r="B54" s="3036">
        <v>2022</v>
      </c>
      <c r="C54" s="3037">
        <v>3</v>
      </c>
      <c r="D54" s="2337"/>
      <c r="E54" s="3043">
        <v>0.3</v>
      </c>
      <c r="F54" s="3043">
        <v>0.28999999999999998</v>
      </c>
      <c r="G54" s="3043">
        <v>0.83</v>
      </c>
      <c r="H54" s="3048"/>
      <c r="I54" s="3044">
        <f t="shared" si="221"/>
        <v>0.28999999999999998</v>
      </c>
      <c r="J54" s="2338"/>
      <c r="K54" s="1651"/>
      <c r="L54" s="1641">
        <f t="shared" si="222"/>
        <v>3.0000000000000001E-3</v>
      </c>
      <c r="M54" s="1641">
        <f t="shared" si="222"/>
        <v>2.8999999999999998E-3</v>
      </c>
      <c r="N54" s="1641">
        <f t="shared" si="222"/>
        <v>8.3000000000000001E-3</v>
      </c>
      <c r="O54" s="1641"/>
      <c r="P54" s="1641">
        <f t="shared" si="236"/>
        <v>2.8999999999999998E-3</v>
      </c>
      <c r="Q54" s="2338"/>
      <c r="R54" s="1640"/>
      <c r="S54" s="3054">
        <f>ROUND(IF(项目基本情况!$B$8="出让",SUMPRODUCT(PRODUCT(1+L54:L$60)),SUMPRODUCT(PRODUCT(1+L54:L$59))),4)</f>
        <v>1.0241</v>
      </c>
      <c r="T54" s="3054">
        <f>ROUND(IF(项目基本情况!$B$8="出让",SUMPRODUCT(PRODUCT(1+M54:M$60)),SUMPRODUCT(PRODUCT(1+M54:M$59))),4)</f>
        <v>1.0144</v>
      </c>
      <c r="U54" s="3054">
        <f>ROUND(IF(项目基本情况!$B$8="出让",SUMPRODUCT(PRODUCT(1+N54:N$60)),SUMPRODUCT(PRODUCT(1+N54:N$59))),4)</f>
        <v>1.0467</v>
      </c>
      <c r="V54" s="3054"/>
      <c r="W54" s="3054">
        <f t="shared" si="237"/>
        <v>1.0144</v>
      </c>
      <c r="X54" s="2338"/>
      <c r="Y54" s="1641"/>
      <c r="Z54" s="2333">
        <f t="shared" si="238"/>
        <v>3.8999999999999998E-3</v>
      </c>
      <c r="AA54" s="2334">
        <f t="shared" si="238"/>
        <v>2.7000000000000001E-3</v>
      </c>
      <c r="AB54" s="1641">
        <f t="shared" si="238"/>
        <v>7.9000000000000008E-3</v>
      </c>
      <c r="AC54" s="2335"/>
      <c r="AD54" s="1641">
        <f t="shared" si="238"/>
        <v>2.7000000000000001E-3</v>
      </c>
      <c r="AG54" s="3057">
        <f t="shared" si="183"/>
        <v>102.41</v>
      </c>
      <c r="AH54" s="3057">
        <f t="shared" si="184"/>
        <v>101.44</v>
      </c>
      <c r="AI54" s="3057">
        <f t="shared" si="185"/>
        <v>104.67</v>
      </c>
      <c r="AJ54" s="3057"/>
      <c r="AK54" s="3057">
        <f t="shared" si="186"/>
        <v>101.44</v>
      </c>
      <c r="AN54" s="3057">
        <f t="shared" si="195"/>
        <v>102.03427221759789</v>
      </c>
      <c r="AO54" s="3057">
        <f t="shared" si="206"/>
        <v>103.26142289595795</v>
      </c>
      <c r="AP54" s="3057">
        <f t="shared" si="207"/>
        <v>101.87401178172679</v>
      </c>
      <c r="AQ54" s="3057"/>
      <c r="AR54" s="3057">
        <f t="shared" si="208"/>
        <v>103.26142289595795</v>
      </c>
    </row>
    <row r="55" spans="1:44" s="1653" customFormat="1" ht="12.75">
      <c r="A55" s="2336" t="s">
        <v>3237</v>
      </c>
      <c r="B55" s="3036">
        <v>2022</v>
      </c>
      <c r="C55" s="3037">
        <v>2</v>
      </c>
      <c r="D55" s="2337"/>
      <c r="E55" s="3043">
        <v>-0.11</v>
      </c>
      <c r="F55" s="3043">
        <v>-0.13</v>
      </c>
      <c r="G55" s="3043">
        <v>0.53</v>
      </c>
      <c r="H55" s="3048"/>
      <c r="I55" s="3044">
        <f t="shared" si="221"/>
        <v>-0.13</v>
      </c>
      <c r="J55" s="2338"/>
      <c r="K55" s="1651"/>
      <c r="L55" s="1641">
        <f t="shared" si="222"/>
        <v>-1.1000000000000001E-3</v>
      </c>
      <c r="M55" s="1641">
        <f t="shared" si="222"/>
        <v>-1.2999999999999999E-3</v>
      </c>
      <c r="N55" s="1641">
        <f t="shared" si="222"/>
        <v>5.3E-3</v>
      </c>
      <c r="O55" s="1641"/>
      <c r="P55" s="1641">
        <f t="shared" si="236"/>
        <v>-1.2999999999999999E-3</v>
      </c>
      <c r="Q55" s="2338"/>
      <c r="R55" s="1640"/>
      <c r="S55" s="3054">
        <f>ROUND(IF(项目基本情况!$B$8="出让",SUMPRODUCT(PRODUCT(1+L55:L$60)),SUMPRODUCT(PRODUCT(1+L55:L$59))),4)</f>
        <v>1.0210999999999999</v>
      </c>
      <c r="T55" s="3054">
        <f>ROUND(IF(项目基本情况!$B$8="出让",SUMPRODUCT(PRODUCT(1+M55:M$60)),SUMPRODUCT(PRODUCT(1+M55:M$59))),4)</f>
        <v>1.0114000000000001</v>
      </c>
      <c r="U55" s="3054">
        <f>ROUND(IF(项目基本情况!$B$8="出让",SUMPRODUCT(PRODUCT(1+N55:N$60)),SUMPRODUCT(PRODUCT(1+N55:N$59))),4)</f>
        <v>1.0381</v>
      </c>
      <c r="V55" s="3054"/>
      <c r="W55" s="3054">
        <f t="shared" si="237"/>
        <v>1.0114000000000001</v>
      </c>
      <c r="X55" s="2338"/>
      <c r="Y55" s="1641"/>
      <c r="Z55" s="2333">
        <f t="shared" si="238"/>
        <v>4.1000000000000003E-3</v>
      </c>
      <c r="AA55" s="2334">
        <f t="shared" si="238"/>
        <v>2.7000000000000001E-3</v>
      </c>
      <c r="AB55" s="1641">
        <f t="shared" si="238"/>
        <v>7.9000000000000008E-3</v>
      </c>
      <c r="AC55" s="2335"/>
      <c r="AD55" s="1641">
        <f t="shared" si="238"/>
        <v>2.7000000000000001E-3</v>
      </c>
      <c r="AG55" s="3057">
        <f t="shared" si="183"/>
        <v>102.10999999999999</v>
      </c>
      <c r="AH55" s="3057">
        <f t="shared" si="184"/>
        <v>101.14000000000001</v>
      </c>
      <c r="AI55" s="3057">
        <f t="shared" si="185"/>
        <v>103.81</v>
      </c>
      <c r="AJ55" s="3057"/>
      <c r="AK55" s="3057">
        <f t="shared" si="186"/>
        <v>101.14000000000001</v>
      </c>
      <c r="AN55" s="3057">
        <f t="shared" si="195"/>
        <v>101.72908496270976</v>
      </c>
      <c r="AO55" s="3057">
        <f t="shared" si="206"/>
        <v>102.96283068696576</v>
      </c>
      <c r="AP55" s="3057">
        <f t="shared" si="207"/>
        <v>101.03541781387166</v>
      </c>
      <c r="AQ55" s="3057"/>
      <c r="AR55" s="3057">
        <f t="shared" si="208"/>
        <v>102.96283068696576</v>
      </c>
    </row>
    <row r="56" spans="1:44" s="1653" customFormat="1" ht="12.75">
      <c r="A56" s="2336" t="s">
        <v>2720</v>
      </c>
      <c r="B56" s="3036">
        <v>2022</v>
      </c>
      <c r="C56" s="3037">
        <v>1</v>
      </c>
      <c r="D56" s="2337"/>
      <c r="E56" s="3043">
        <v>0.6</v>
      </c>
      <c r="F56" s="3043">
        <v>0.45</v>
      </c>
      <c r="G56" s="3043">
        <v>0.53</v>
      </c>
      <c r="H56" s="3048"/>
      <c r="I56" s="3044">
        <f t="shared" si="221"/>
        <v>0.45</v>
      </c>
      <c r="J56" s="2338"/>
      <c r="K56" s="1651"/>
      <c r="L56" s="1641">
        <f t="shared" si="222"/>
        <v>6.0000000000000001E-3</v>
      </c>
      <c r="M56" s="1641">
        <f t="shared" si="222"/>
        <v>4.5000000000000005E-3</v>
      </c>
      <c r="N56" s="1641">
        <f t="shared" si="222"/>
        <v>5.3E-3</v>
      </c>
      <c r="O56" s="1641"/>
      <c r="P56" s="1641">
        <f t="shared" si="236"/>
        <v>4.5000000000000005E-3</v>
      </c>
      <c r="Q56" s="2338"/>
      <c r="R56" s="1640"/>
      <c r="S56" s="3054">
        <f>ROUND(IF(项目基本情况!$B$8="出让",SUMPRODUCT(PRODUCT(1+L56:L$60)),SUMPRODUCT(PRODUCT(1+L56:L$59))),4)</f>
        <v>1.0222</v>
      </c>
      <c r="T56" s="3054">
        <f>ROUND(IF(项目基本情况!$B$8="出让",SUMPRODUCT(PRODUCT(1+M56:M$60)),SUMPRODUCT(PRODUCT(1+M56:M$59))),4)</f>
        <v>1.0127999999999999</v>
      </c>
      <c r="U56" s="3054">
        <f>ROUND(IF(项目基本情况!$B$8="出让",SUMPRODUCT(PRODUCT(1+N56:N$60)),SUMPRODUCT(PRODUCT(1+N56:N$59))),4)</f>
        <v>1.0326</v>
      </c>
      <c r="V56" s="3054"/>
      <c r="W56" s="3054">
        <f t="shared" si="237"/>
        <v>1.0127999999999999</v>
      </c>
      <c r="X56" s="2338"/>
      <c r="Y56" s="1641"/>
      <c r="Z56" s="2333">
        <f t="shared" si="238"/>
        <v>5.1000000000000004E-3</v>
      </c>
      <c r="AA56" s="2334">
        <f t="shared" si="238"/>
        <v>3.5000000000000001E-3</v>
      </c>
      <c r="AB56" s="1641">
        <f t="shared" si="238"/>
        <v>8.3999999999999995E-3</v>
      </c>
      <c r="AC56" s="2335"/>
      <c r="AD56" s="1641">
        <f t="shared" si="238"/>
        <v>3.5000000000000001E-3</v>
      </c>
      <c r="AG56" s="3057">
        <f t="shared" si="183"/>
        <v>102.22</v>
      </c>
      <c r="AH56" s="3057">
        <f t="shared" si="184"/>
        <v>101.27999999999999</v>
      </c>
      <c r="AI56" s="3057">
        <f t="shared" si="185"/>
        <v>103.25999999999999</v>
      </c>
      <c r="AJ56" s="3057"/>
      <c r="AK56" s="3057">
        <f t="shared" si="186"/>
        <v>101.27999999999999</v>
      </c>
      <c r="AN56" s="3057">
        <f t="shared" si="195"/>
        <v>101.84111018391206</v>
      </c>
      <c r="AO56" s="3057">
        <f t="shared" si="206"/>
        <v>103.09685660054646</v>
      </c>
      <c r="AP56" s="3057">
        <f t="shared" si="207"/>
        <v>100.50275322179613</v>
      </c>
      <c r="AQ56" s="3057"/>
      <c r="AR56" s="3057">
        <f t="shared" si="208"/>
        <v>103.09685660054646</v>
      </c>
    </row>
    <row r="57" spans="1:44" s="1653" customFormat="1" ht="12.75">
      <c r="A57" s="2336" t="s">
        <v>2721</v>
      </c>
      <c r="B57" s="3036">
        <v>2021</v>
      </c>
      <c r="C57" s="3037">
        <v>4</v>
      </c>
      <c r="D57" s="2337"/>
      <c r="E57" s="3043">
        <v>0.57999999999999996</v>
      </c>
      <c r="F57" s="3043">
        <v>0.08</v>
      </c>
      <c r="G57" s="3043">
        <v>0.68</v>
      </c>
      <c r="H57" s="3048"/>
      <c r="I57" s="3044">
        <f t="shared" si="221"/>
        <v>0.08</v>
      </c>
      <c r="J57" s="2338"/>
      <c r="K57" s="1651"/>
      <c r="L57" s="1641">
        <f t="shared" si="222"/>
        <v>5.7999999999999996E-3</v>
      </c>
      <c r="M57" s="1641">
        <f t="shared" si="222"/>
        <v>8.0000000000000004E-4</v>
      </c>
      <c r="N57" s="1641">
        <f t="shared" si="222"/>
        <v>6.8000000000000005E-3</v>
      </c>
      <c r="O57" s="1641"/>
      <c r="P57" s="1641">
        <f t="shared" si="236"/>
        <v>8.0000000000000004E-4</v>
      </c>
      <c r="Q57" s="2338"/>
      <c r="R57" s="1640"/>
      <c r="S57" s="3054">
        <f>ROUND(IF(项目基本情况!$B$8="出让",SUMPRODUCT(PRODUCT(1+L57:L$60)),SUMPRODUCT(PRODUCT(1+L57:L$59))),4)</f>
        <v>1.0161</v>
      </c>
      <c r="T57" s="3054">
        <f>ROUND(IF(项目基本情况!$B$8="出让",SUMPRODUCT(PRODUCT(1+M57:M$60)),SUMPRODUCT(PRODUCT(1+M57:M$59))),4)</f>
        <v>1.0082</v>
      </c>
      <c r="U57" s="3054">
        <f>ROUND(IF(项目基本情况!$B$8="出让",SUMPRODUCT(PRODUCT(1+N57:N$60)),SUMPRODUCT(PRODUCT(1+N57:N$59))),4)</f>
        <v>1.0270999999999999</v>
      </c>
      <c r="V57" s="3054"/>
      <c r="W57" s="3054">
        <f t="shared" si="237"/>
        <v>1.0082</v>
      </c>
      <c r="X57" s="2338"/>
      <c r="Y57" s="1641"/>
      <c r="Z57" s="2333">
        <f t="shared" si="238"/>
        <v>4.8999999999999998E-3</v>
      </c>
      <c r="AA57" s="2334">
        <f t="shared" si="238"/>
        <v>3.3E-3</v>
      </c>
      <c r="AB57" s="1641">
        <f t="shared" si="238"/>
        <v>9.1999999999999998E-3</v>
      </c>
      <c r="AC57" s="2335"/>
      <c r="AD57" s="1641">
        <f t="shared" si="238"/>
        <v>3.3E-3</v>
      </c>
      <c r="AG57" s="3057">
        <f t="shared" si="183"/>
        <v>101.61</v>
      </c>
      <c r="AH57" s="3057">
        <f t="shared" si="184"/>
        <v>100.82</v>
      </c>
      <c r="AI57" s="3057">
        <f t="shared" si="185"/>
        <v>102.71</v>
      </c>
      <c r="AJ57" s="3057"/>
      <c r="AK57" s="3057">
        <f t="shared" si="186"/>
        <v>100.82</v>
      </c>
      <c r="AN57" s="3057">
        <f t="shared" si="195"/>
        <v>101.23370793629429</v>
      </c>
      <c r="AO57" s="3057">
        <f t="shared" si="206"/>
        <v>102.63499910457587</v>
      </c>
      <c r="AP57" s="3057">
        <f t="shared" si="207"/>
        <v>99.972896868393633</v>
      </c>
      <c r="AQ57" s="3057"/>
      <c r="AR57" s="3057">
        <f t="shared" si="208"/>
        <v>102.63499910457587</v>
      </c>
    </row>
    <row r="58" spans="1:44" s="1653" customFormat="1" ht="12.75">
      <c r="A58" s="2336" t="s">
        <v>2722</v>
      </c>
      <c r="B58" s="3036">
        <v>2021</v>
      </c>
      <c r="C58" s="3037">
        <v>3</v>
      </c>
      <c r="D58" s="2337"/>
      <c r="E58" s="3043">
        <v>0.47</v>
      </c>
      <c r="F58" s="3043">
        <v>0.28000000000000003</v>
      </c>
      <c r="G58" s="3043">
        <v>0.91</v>
      </c>
      <c r="H58" s="3048"/>
      <c r="I58" s="3044">
        <f t="shared" si="221"/>
        <v>0.28000000000000003</v>
      </c>
      <c r="J58" s="2338"/>
      <c r="K58" s="1651"/>
      <c r="L58" s="1641">
        <f t="shared" si="222"/>
        <v>4.6999999999999993E-3</v>
      </c>
      <c r="M58" s="1641">
        <f t="shared" si="222"/>
        <v>2.8000000000000004E-3</v>
      </c>
      <c r="N58" s="1641">
        <f t="shared" si="222"/>
        <v>9.1000000000000004E-3</v>
      </c>
      <c r="O58" s="1641"/>
      <c r="P58" s="1641">
        <f t="shared" si="236"/>
        <v>2.8000000000000004E-3</v>
      </c>
      <c r="Q58" s="2338"/>
      <c r="R58" s="1640"/>
      <c r="S58" s="3054">
        <f>ROUND(IF(项目基本情况!$B$8="出让",SUMPRODUCT(PRODUCT(1+L58:L$60)),SUMPRODUCT(PRODUCT(1+L58:L$59))),4)</f>
        <v>1.0102</v>
      </c>
      <c r="T58" s="3054">
        <f>ROUND(IF(项目基本情况!$B$8="出让",SUMPRODUCT(PRODUCT(1+M58:M$60)),SUMPRODUCT(PRODUCT(1+M58:M$59))),4)</f>
        <v>1.0074000000000001</v>
      </c>
      <c r="U58" s="3054">
        <f>ROUND(IF(项目基本情况!$B$8="出让",SUMPRODUCT(PRODUCT(1+N58:N$60)),SUMPRODUCT(PRODUCT(1+N58:N$59))),4)</f>
        <v>1.0202</v>
      </c>
      <c r="V58" s="3054"/>
      <c r="W58" s="3054">
        <f t="shared" si="237"/>
        <v>1.0074000000000001</v>
      </c>
      <c r="X58" s="2338"/>
      <c r="Y58" s="1641"/>
      <c r="Z58" s="2333">
        <f t="shared" si="238"/>
        <v>4.5999999999999999E-3</v>
      </c>
      <c r="AA58" s="2334">
        <f t="shared" si="238"/>
        <v>4.1000000000000003E-3</v>
      </c>
      <c r="AB58" s="1641">
        <f t="shared" si="238"/>
        <v>0.01</v>
      </c>
      <c r="AC58" s="2335"/>
      <c r="AD58" s="1641">
        <f t="shared" si="238"/>
        <v>4.1000000000000003E-3</v>
      </c>
      <c r="AG58" s="3057">
        <f t="shared" si="183"/>
        <v>101.02</v>
      </c>
      <c r="AH58" s="3057">
        <f t="shared" si="184"/>
        <v>100.74000000000001</v>
      </c>
      <c r="AI58" s="3057">
        <f t="shared" si="185"/>
        <v>102.02</v>
      </c>
      <c r="AJ58" s="3057"/>
      <c r="AK58" s="3057">
        <f t="shared" si="186"/>
        <v>100.74000000000001</v>
      </c>
      <c r="AN58" s="3057">
        <f t="shared" si="195"/>
        <v>100.649938294188</v>
      </c>
      <c r="AO58" s="3057">
        <f t="shared" si="206"/>
        <v>102.55295673918452</v>
      </c>
      <c r="AP58" s="3057">
        <f t="shared" si="207"/>
        <v>99.297672694073938</v>
      </c>
      <c r="AQ58" s="3057"/>
      <c r="AR58" s="3057">
        <f t="shared" si="208"/>
        <v>102.55295673918452</v>
      </c>
    </row>
    <row r="59" spans="1:44" s="1653" customFormat="1" ht="12.75">
      <c r="A59" s="2336" t="s">
        <v>2723</v>
      </c>
      <c r="B59" s="3036">
        <v>2021</v>
      </c>
      <c r="C59" s="3037">
        <v>2</v>
      </c>
      <c r="D59" s="2337"/>
      <c r="E59" s="3043">
        <v>0.55000000000000004</v>
      </c>
      <c r="F59" s="3043">
        <v>0.46</v>
      </c>
      <c r="G59" s="3043">
        <v>1.1000000000000001</v>
      </c>
      <c r="H59" s="3048"/>
      <c r="I59" s="3044">
        <f t="shared" si="221"/>
        <v>0.46</v>
      </c>
      <c r="J59" s="2338"/>
      <c r="K59" s="1651"/>
      <c r="L59" s="1641">
        <f t="shared" si="222"/>
        <v>5.5000000000000005E-3</v>
      </c>
      <c r="M59" s="1641">
        <f t="shared" si="222"/>
        <v>4.5999999999999999E-3</v>
      </c>
      <c r="N59" s="1641">
        <f t="shared" si="222"/>
        <v>1.1000000000000001E-2</v>
      </c>
      <c r="O59" s="1641"/>
      <c r="P59" s="1641">
        <f t="shared" si="236"/>
        <v>4.5999999999999999E-3</v>
      </c>
      <c r="Q59" s="2338"/>
      <c r="R59" s="1640"/>
      <c r="S59" s="3054">
        <f>ROUND(IF(项目基本情况!$B$8="出让",SUMPRODUCT(PRODUCT(1+L59:L$60)),SUMPRODUCT(PRODUCT(1+L59:L$59))),4)</f>
        <v>1.0055000000000001</v>
      </c>
      <c r="T59" s="3054">
        <f>ROUND(IF(项目基本情况!$B$8="出让",SUMPRODUCT(PRODUCT(1+M59:M$60)),SUMPRODUCT(PRODUCT(1+M59:M$59))),4)</f>
        <v>1.0045999999999999</v>
      </c>
      <c r="U59" s="3054">
        <f>ROUND(IF(项目基本情况!$B$8="出让",SUMPRODUCT(PRODUCT(1+N59:N$60)),SUMPRODUCT(PRODUCT(1+N59:N$59))),4)</f>
        <v>1.0109999999999999</v>
      </c>
      <c r="V59" s="3054"/>
      <c r="W59" s="3054">
        <f t="shared" si="237"/>
        <v>1.0045999999999999</v>
      </c>
      <c r="X59" s="2338"/>
      <c r="Y59" s="1641"/>
      <c r="Z59" s="2333">
        <f t="shared" si="238"/>
        <v>4.4999999999999997E-3</v>
      </c>
      <c r="AA59" s="2334">
        <f t="shared" si="238"/>
        <v>4.7000000000000002E-3</v>
      </c>
      <c r="AB59" s="1641">
        <f t="shared" si="238"/>
        <v>1.04E-2</v>
      </c>
      <c r="AC59" s="2335"/>
      <c r="AD59" s="1641">
        <f t="shared" si="238"/>
        <v>4.7000000000000002E-3</v>
      </c>
      <c r="AG59" s="3057">
        <f>$AG$60*S59</f>
        <v>100.55000000000001</v>
      </c>
      <c r="AH59" s="3057">
        <f t="shared" ref="AH59:AK59" si="239">$AG$60*T59</f>
        <v>100.46</v>
      </c>
      <c r="AI59" s="3057">
        <f t="shared" si="239"/>
        <v>101.1</v>
      </c>
      <c r="AJ59" s="3057"/>
      <c r="AK59" s="3057">
        <f t="shared" si="239"/>
        <v>100.46</v>
      </c>
      <c r="AN59" s="3057">
        <f t="shared" si="195"/>
        <v>100.1790965404479</v>
      </c>
      <c r="AO59" s="3057">
        <f t="shared" si="206"/>
        <v>102.26661023053903</v>
      </c>
      <c r="AP59" s="3057">
        <f t="shared" si="207"/>
        <v>98.402212559779926</v>
      </c>
      <c r="AQ59" s="3057"/>
      <c r="AR59" s="3057">
        <f t="shared" si="208"/>
        <v>102.26661023053903</v>
      </c>
    </row>
    <row r="60" spans="1:44" s="2351" customFormat="1" ht="14.25" thickBot="1">
      <c r="A60" s="2345" t="s">
        <v>2709</v>
      </c>
      <c r="B60" s="3040">
        <v>2021</v>
      </c>
      <c r="C60" s="3041">
        <v>1</v>
      </c>
      <c r="D60" s="2346"/>
      <c r="E60" s="3049">
        <v>0.35</v>
      </c>
      <c r="F60" s="3049">
        <v>0.48</v>
      </c>
      <c r="G60" s="3049">
        <v>0.98</v>
      </c>
      <c r="H60" s="3050"/>
      <c r="I60" s="3051">
        <f t="shared" si="221"/>
        <v>0.48</v>
      </c>
      <c r="J60" s="2347"/>
      <c r="K60" s="2348"/>
      <c r="L60" s="2349">
        <f t="shared" si="222"/>
        <v>3.4999999999999996E-3</v>
      </c>
      <c r="M60" s="2349">
        <f>F60/100</f>
        <v>4.7999999999999996E-3</v>
      </c>
      <c r="N60" s="2349">
        <f t="shared" si="222"/>
        <v>9.7999999999999997E-3</v>
      </c>
      <c r="O60" s="2349"/>
      <c r="P60" s="2349">
        <f t="shared" si="236"/>
        <v>4.7999999999999996E-3</v>
      </c>
      <c r="Q60" s="2347"/>
      <c r="R60" s="2350"/>
      <c r="S60" s="3056">
        <v>1</v>
      </c>
      <c r="T60" s="3056">
        <v>1</v>
      </c>
      <c r="U60" s="3056">
        <v>1</v>
      </c>
      <c r="V60" s="3056"/>
      <c r="W60" s="3056">
        <f t="shared" si="237"/>
        <v>1</v>
      </c>
      <c r="X60" s="2347"/>
      <c r="Y60" s="2349"/>
      <c r="Z60" s="2357">
        <f t="shared" si="238"/>
        <v>3.5000000000000001E-3</v>
      </c>
      <c r="AA60" s="2358">
        <f t="shared" si="238"/>
        <v>4.7999999999999996E-3</v>
      </c>
      <c r="AB60" s="2349">
        <f t="shared" si="238"/>
        <v>9.7999999999999997E-3</v>
      </c>
      <c r="AC60" s="2359"/>
      <c r="AD60" s="2349">
        <f t="shared" si="238"/>
        <v>4.7999999999999996E-3</v>
      </c>
      <c r="AG60" s="3060">
        <v>100</v>
      </c>
      <c r="AH60" s="3060">
        <v>100</v>
      </c>
      <c r="AI60" s="3060">
        <v>100</v>
      </c>
      <c r="AJ60" s="3060"/>
      <c r="AK60" s="3060">
        <v>100</v>
      </c>
      <c r="AN60" s="3061">
        <f t="shared" si="195"/>
        <v>99.631125351017303</v>
      </c>
      <c r="AO60" s="3061">
        <f t="shared" si="206"/>
        <v>101.79833787630803</v>
      </c>
      <c r="AP60" s="3061">
        <f t="shared" si="207"/>
        <v>97.331565341028622</v>
      </c>
      <c r="AQ60" s="3061"/>
      <c r="AR60" s="3061">
        <f t="shared" si="208"/>
        <v>101.79833787630803</v>
      </c>
    </row>
    <row r="61" spans="1:44" ht="14.25" thickTop="1"/>
    <row r="62" spans="1:44">
      <c r="A62" s="2550" t="s">
        <v>3262</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40"/>
    <col min="2" max="6" width="9" style="1640" customWidth="1"/>
    <col min="7" max="7" width="9" style="1662"/>
    <col min="8" max="8" width="9" style="1640"/>
    <col min="9" max="12" width="9" style="1640" customWidth="1"/>
    <col min="13" max="13" width="2.25" style="1640" customWidth="1"/>
    <col min="14" max="14" width="9" style="1662" customWidth="1"/>
    <col min="15" max="17" width="9" style="1640" customWidth="1"/>
    <col min="18" max="18" width="2.375" style="1640" customWidth="1"/>
    <col min="19" max="19" width="7.125" style="1662" customWidth="1"/>
    <col min="20" max="22" width="7.125" style="1640" customWidth="1"/>
    <col min="23" max="23" width="24.25" style="1640" customWidth="1"/>
    <col min="24" max="25" width="9" style="1640"/>
    <col min="26" max="27" width="11.625" style="1640" customWidth="1"/>
    <col min="28" max="28" width="9" style="1640"/>
    <col min="29" max="29" width="2" style="1640" customWidth="1"/>
    <col min="30" max="16384" width="9" style="1640"/>
  </cols>
  <sheetData>
    <row r="1" spans="1:34" s="1624" customFormat="1">
      <c r="B1" s="4764" t="s">
        <v>446</v>
      </c>
      <c r="C1" s="4764"/>
      <c r="D1" s="4764"/>
      <c r="E1" s="4764"/>
      <c r="F1" s="4764"/>
      <c r="G1" s="4760" t="s">
        <v>447</v>
      </c>
      <c r="H1" s="4760"/>
      <c r="I1" s="4760"/>
      <c r="J1" s="4760"/>
      <c r="K1" s="4760"/>
      <c r="L1" s="4760"/>
      <c r="N1" s="4760" t="s">
        <v>448</v>
      </c>
      <c r="O1" s="4760"/>
      <c r="P1" s="4760"/>
      <c r="Q1" s="4760"/>
      <c r="S1" s="4760" t="s">
        <v>449</v>
      </c>
      <c r="T1" s="4760"/>
      <c r="U1" s="4760"/>
      <c r="V1" s="4760"/>
      <c r="X1" s="4759" t="s">
        <v>450</v>
      </c>
      <c r="Y1" s="4760"/>
      <c r="Z1" s="4760"/>
      <c r="AA1" s="4760"/>
      <c r="AB1" s="4760"/>
      <c r="AD1" s="4759" t="s">
        <v>451</v>
      </c>
      <c r="AE1" s="4760"/>
      <c r="AF1" s="4760"/>
      <c r="AG1" s="4760"/>
      <c r="AH1" s="4760"/>
    </row>
    <row r="2" spans="1:34" s="1625" customFormat="1" ht="14.25" thickBot="1">
      <c r="B2" s="1626" t="s">
        <v>452</v>
      </c>
      <c r="C2" s="1626" t="s">
        <v>453</v>
      </c>
      <c r="D2" s="1627" t="s">
        <v>454</v>
      </c>
      <c r="E2" s="1627" t="s">
        <v>455</v>
      </c>
      <c r="F2" s="1626" t="s">
        <v>456</v>
      </c>
      <c r="G2" s="1628"/>
      <c r="I2" s="1626" t="s">
        <v>452</v>
      </c>
      <c r="J2" s="1627" t="s">
        <v>663</v>
      </c>
      <c r="K2" s="1627" t="s">
        <v>306</v>
      </c>
      <c r="L2" s="1626" t="s">
        <v>456</v>
      </c>
      <c r="N2" s="1626" t="s">
        <v>452</v>
      </c>
      <c r="O2" s="1627" t="s">
        <v>663</v>
      </c>
      <c r="P2" s="1627" t="s">
        <v>306</v>
      </c>
      <c r="Q2" s="1626" t="s">
        <v>456</v>
      </c>
      <c r="S2" s="1626" t="s">
        <v>452</v>
      </c>
      <c r="T2" s="1627" t="s">
        <v>663</v>
      </c>
      <c r="U2" s="1627" t="s">
        <v>306</v>
      </c>
      <c r="V2" s="1626" t="s">
        <v>456</v>
      </c>
      <c r="X2" s="1626" t="s">
        <v>452</v>
      </c>
      <c r="Y2" s="1626" t="s">
        <v>453</v>
      </c>
      <c r="Z2" s="1627" t="s">
        <v>454</v>
      </c>
      <c r="AA2" s="1627" t="s">
        <v>455</v>
      </c>
      <c r="AB2" s="1626" t="s">
        <v>456</v>
      </c>
      <c r="AD2" s="1626" t="s">
        <v>452</v>
      </c>
      <c r="AE2" s="1626" t="s">
        <v>453</v>
      </c>
      <c r="AF2" s="1627" t="s">
        <v>454</v>
      </c>
      <c r="AG2" s="1627" t="s">
        <v>455</v>
      </c>
      <c r="AH2" s="1626" t="s">
        <v>456</v>
      </c>
    </row>
    <row r="3" spans="1:34" s="1633" customFormat="1" ht="14.25">
      <c r="A3" s="1629" t="s">
        <v>2023</v>
      </c>
      <c r="B3" s="1630"/>
      <c r="C3" s="1630"/>
      <c r="D3" s="1631"/>
      <c r="E3" s="1631"/>
      <c r="F3" s="1630"/>
      <c r="G3" s="1632"/>
      <c r="I3" s="3083">
        <f>ROUND(AVERAGE($I4:$I40),2)</f>
        <v>1.55</v>
      </c>
      <c r="J3" s="3083">
        <f>ROUND(AVERAGE($J4:$J40),2)</f>
        <v>0.97</v>
      </c>
      <c r="K3" s="3083">
        <f>ROUND(AVERAGE($K4:$K40),2)</f>
        <v>1.66</v>
      </c>
      <c r="L3" s="3083">
        <f>ROUND(AVERAGE($L4:$L40),2)</f>
        <v>1.1000000000000001</v>
      </c>
      <c r="N3" s="1632"/>
      <c r="S3" s="1632"/>
      <c r="W3" s="1634"/>
      <c r="X3" s="3095">
        <f>ROUND(SUMPRODUCT(PRODUCT(1+N3:N$39)),4)</f>
        <v>1.6585000000000001</v>
      </c>
      <c r="Y3" s="3095">
        <f>ROUND(SUMPRODUCT(PRODUCT(1+O3:O$39)),4)</f>
        <v>1.3676999999999999</v>
      </c>
      <c r="Z3" s="3095">
        <f t="shared" ref="Z3:Z37" si="0">Y3</f>
        <v>1.3676999999999999</v>
      </c>
      <c r="AA3" s="3095">
        <f>ROUND(SUMPRODUCT(PRODUCT(1+P3:P$39)),4)</f>
        <v>1.7434000000000001</v>
      </c>
      <c r="AB3" s="3095">
        <f>ROUND(SUMPRODUCT(PRODUCT(1+Q3:Q$39)),4)</f>
        <v>1.4609000000000001</v>
      </c>
      <c r="AD3" s="1635">
        <f>ROUND(AVERAGE(I3:I$40)/100,4)</f>
        <v>1.55E-2</v>
      </c>
      <c r="AE3" s="1635">
        <f>ROUND(AVERAGE(J3:J$40)/100,4)</f>
        <v>9.7000000000000003E-3</v>
      </c>
      <c r="AF3" s="1635">
        <f t="shared" ref="AF3:AF38" si="1">AE3</f>
        <v>9.7000000000000003E-3</v>
      </c>
      <c r="AG3" s="1635">
        <f>ROUND(AVERAGE(K3:K$40)/100,4)</f>
        <v>1.66E-2</v>
      </c>
      <c r="AH3" s="1635">
        <f>ROUND(AVERAGE(L3:L$40)/100,4)</f>
        <v>1.0999999999999999E-2</v>
      </c>
    </row>
    <row r="4" spans="1:34" s="1624" customFormat="1" ht="14.25">
      <c r="B4" s="1636"/>
      <c r="C4" s="1636"/>
      <c r="D4" s="1637"/>
      <c r="E4" s="1637"/>
      <c r="F4" s="1636"/>
      <c r="G4" s="1638"/>
      <c r="I4" s="1639"/>
      <c r="J4" s="1639"/>
      <c r="K4" s="1639"/>
      <c r="L4" s="1639"/>
      <c r="N4" s="1638"/>
      <c r="S4" s="1638"/>
      <c r="X4" s="1640"/>
      <c r="Y4" s="1640"/>
      <c r="Z4" s="1640"/>
      <c r="AA4" s="1640"/>
      <c r="AB4" s="1640"/>
      <c r="AD4" s="1641"/>
      <c r="AE4" s="1641"/>
      <c r="AF4" s="1641"/>
      <c r="AG4" s="1641"/>
      <c r="AH4" s="1641"/>
    </row>
    <row r="5" spans="1:34" s="1653" customFormat="1">
      <c r="A5" s="1649" t="s">
        <v>3245</v>
      </c>
      <c r="B5" s="1650">
        <f t="shared" ref="B5" si="2">B6*(1+N5)</f>
        <v>510.07089659554606</v>
      </c>
      <c r="C5" s="1650">
        <f t="shared" ref="C5" si="3">C6*(1+O5)</f>
        <v>352.55593185737411</v>
      </c>
      <c r="D5" s="1650">
        <f t="shared" ref="D5" si="4">C5</f>
        <v>352.55593185737411</v>
      </c>
      <c r="E5" s="1650">
        <f t="shared" ref="E5" si="5">E6*(1+P5)</f>
        <v>737.27992463403655</v>
      </c>
      <c r="F5" s="1650">
        <f t="shared" ref="F5" si="6">F6*(1+Q5)</f>
        <v>335.88319198297864</v>
      </c>
      <c r="G5" s="3036">
        <v>2022</v>
      </c>
      <c r="H5" s="3037">
        <v>1</v>
      </c>
      <c r="I5" s="3043">
        <v>0</v>
      </c>
      <c r="J5" s="3043">
        <v>0</v>
      </c>
      <c r="K5" s="3043">
        <v>0</v>
      </c>
      <c r="L5" s="3044">
        <v>0</v>
      </c>
      <c r="M5" s="1640"/>
      <c r="N5" s="1651">
        <f t="shared" ref="N5" si="7">I5/100</f>
        <v>0</v>
      </c>
      <c r="O5" s="1641">
        <f t="shared" ref="O5" si="8">J5/100</f>
        <v>0</v>
      </c>
      <c r="P5" s="1641">
        <f t="shared" ref="P5" si="9">K5/100</f>
        <v>0</v>
      </c>
      <c r="Q5" s="1641">
        <f t="shared" ref="Q5" si="10">L5/100</f>
        <v>0</v>
      </c>
      <c r="R5" s="1652"/>
      <c r="S5" s="1651"/>
      <c r="T5" s="1641"/>
      <c r="U5" s="1641"/>
      <c r="V5" s="1641"/>
      <c r="W5" s="1640"/>
      <c r="X5" s="3054" t="e">
        <f>ROUND(IF(项目基本情况!#REF!="出让",SUMPRODUCT(PRODUCT(1+N5:N$40)),SUMPRODUCT(PRODUCT(1+N5:N$39))),4)</f>
        <v>#REF!</v>
      </c>
      <c r="Y5" s="3054" t="e">
        <f>ROUND(IF(项目基本情况!#REF!="出让",SUMPRODUCT(PRODUCT(1+O5:O$40)),SUMPRODUCT(PRODUCT(1+O5:O$39))),4)</f>
        <v>#REF!</v>
      </c>
      <c r="Z5" s="3054" t="e">
        <f t="shared" ref="Z5" si="11">Y5</f>
        <v>#REF!</v>
      </c>
      <c r="AA5" s="3054" t="e">
        <f>ROUND(IF(项目基本情况!#REF!="出让",SUMPRODUCT(PRODUCT(1+P5:P$40)),SUMPRODUCT(PRODUCT(1+P5:P$39))),4)</f>
        <v>#REF!</v>
      </c>
      <c r="AB5" s="3054" t="e">
        <f>ROUND(IF(项目基本情况!#REF!="出让",SUMPRODUCT(PRODUCT(1+Q5:Q$40)),SUMPRODUCT(PRODUCT(1+Q5:Q$39))),4)</f>
        <v>#REF!</v>
      </c>
      <c r="AC5" s="1640"/>
      <c r="AD5" s="1641">
        <f>ROUND(AVERAGE(I5:I$40)/100,4)</f>
        <v>1.55E-2</v>
      </c>
      <c r="AE5" s="1641">
        <f>ROUND(AVERAGE(J5:J$40)/100,4)</f>
        <v>9.7000000000000003E-3</v>
      </c>
      <c r="AF5" s="1641">
        <f t="shared" ref="AF5" si="12">AE5</f>
        <v>9.7000000000000003E-3</v>
      </c>
      <c r="AG5" s="1641">
        <f>ROUND(AVERAGE(K5:K$40)/100,4)</f>
        <v>1.66E-2</v>
      </c>
      <c r="AH5" s="1641">
        <f>ROUND(AVERAGE(L5:L$40)/100,4)</f>
        <v>1.0999999999999999E-2</v>
      </c>
    </row>
    <row r="6" spans="1:34" s="1644" customFormat="1">
      <c r="A6" s="1642" t="s">
        <v>3242</v>
      </c>
      <c r="B6" s="1643">
        <f t="shared" ref="B6" si="13">B7*(1+N6)</f>
        <v>510.07089659554606</v>
      </c>
      <c r="C6" s="1643">
        <f t="shared" ref="C6" si="14">C7*(1+O6)</f>
        <v>352.55593185737411</v>
      </c>
      <c r="D6" s="1643">
        <f t="shared" ref="D6" si="15">C6</f>
        <v>352.55593185737411</v>
      </c>
      <c r="E6" s="1643">
        <f t="shared" ref="E6" si="16">E7*(1+P6)</f>
        <v>737.27992463403655</v>
      </c>
      <c r="F6" s="1643">
        <f t="shared" ref="F6" si="17">F7*(1+Q6)</f>
        <v>335.88319198297864</v>
      </c>
      <c r="G6" s="3036">
        <v>2022</v>
      </c>
      <c r="H6" s="3071">
        <v>1</v>
      </c>
      <c r="I6" s="3084">
        <v>0</v>
      </c>
      <c r="J6" s="3084">
        <v>0</v>
      </c>
      <c r="K6" s="3084">
        <v>0</v>
      </c>
      <c r="L6" s="3084">
        <v>0</v>
      </c>
      <c r="N6" s="1645">
        <f t="shared" ref="N6" si="18">I6/100</f>
        <v>0</v>
      </c>
      <c r="O6" s="1645">
        <f t="shared" ref="O6" si="19">J6/100</f>
        <v>0</v>
      </c>
      <c r="P6" s="1645">
        <f t="shared" ref="P6" si="20">K6/100</f>
        <v>0</v>
      </c>
      <c r="Q6" s="1645">
        <f t="shared" ref="Q6" si="21">L6/100</f>
        <v>0</v>
      </c>
      <c r="S6" s="1646"/>
      <c r="W6" s="1647" t="s">
        <v>2024</v>
      </c>
      <c r="X6" s="3096" t="e">
        <f>ROUND(IF(项目基本情况!#REF!="出让",SUMPRODUCT(PRODUCT(1+N6:N$40)),SUMPRODUCT(PRODUCT(1+N6:N$39))),4)</f>
        <v>#REF!</v>
      </c>
      <c r="Y6" s="3096" t="e">
        <f>ROUND(IF(项目基本情况!#REF!="出让",SUMPRODUCT(PRODUCT(1+O6:O$40)),SUMPRODUCT(PRODUCT(1+O6:O$39))),4)</f>
        <v>#REF!</v>
      </c>
      <c r="Z6" s="3096" t="e">
        <f t="shared" ref="Z6" si="22">Y6</f>
        <v>#REF!</v>
      </c>
      <c r="AA6" s="3096" t="e">
        <f>ROUND(IF(项目基本情况!#REF!="出让",SUMPRODUCT(PRODUCT(1+P6:P$40)),SUMPRODUCT(PRODUCT(1+P6:P$39))),4)</f>
        <v>#REF!</v>
      </c>
      <c r="AB6" s="3096" t="e">
        <f>ROUND(IF(项目基本情况!#REF!="出让",SUMPRODUCT(PRODUCT(1+Q6:Q$40)),SUMPRODUCT(PRODUCT(1+Q6:Q$39))),4)</f>
        <v>#REF!</v>
      </c>
      <c r="AD6" s="1648">
        <f>ROUND(AVERAGE(I6:I$40)/100,4)</f>
        <v>1.6E-2</v>
      </c>
      <c r="AE6" s="1648">
        <f>ROUND(AVERAGE(J6:J$40)/100,4)</f>
        <v>0.01</v>
      </c>
      <c r="AF6" s="1648">
        <f t="shared" ref="AF6" si="23">AE6</f>
        <v>0.01</v>
      </c>
      <c r="AG6" s="1648">
        <f>ROUND(AVERAGE(K6:K$40)/100,4)</f>
        <v>1.7100000000000001E-2</v>
      </c>
      <c r="AH6" s="1648">
        <f>ROUND(AVERAGE(L6:L$40)/100,4)</f>
        <v>1.1299999999999999E-2</v>
      </c>
    </row>
    <row r="7" spans="1:34" s="1653" customFormat="1">
      <c r="A7" s="1649" t="s">
        <v>3243</v>
      </c>
      <c r="B7" s="1650">
        <f t="shared" ref="B7" si="24">B8*(1+N7)</f>
        <v>510.07089659554606</v>
      </c>
      <c r="C7" s="1650">
        <f t="shared" ref="C7" si="25">C8*(1+O7)</f>
        <v>352.55593185737411</v>
      </c>
      <c r="D7" s="1650">
        <f t="shared" ref="D7" si="26">C7</f>
        <v>352.55593185737411</v>
      </c>
      <c r="E7" s="1650">
        <f t="shared" ref="E7" si="27">E8*(1+P7)</f>
        <v>737.27992463403655</v>
      </c>
      <c r="F7" s="1650">
        <f t="shared" ref="F7" si="28">F8*(1+Q7)</f>
        <v>335.88319198297864</v>
      </c>
      <c r="G7" s="3036">
        <v>2022</v>
      </c>
      <c r="H7" s="3037">
        <v>1</v>
      </c>
      <c r="I7" s="3043">
        <v>0</v>
      </c>
      <c r="J7" s="3043">
        <v>0</v>
      </c>
      <c r="K7" s="3043">
        <v>0</v>
      </c>
      <c r="L7" s="3044">
        <v>0</v>
      </c>
      <c r="M7" s="1640"/>
      <c r="N7" s="1651">
        <f t="shared" ref="N7" si="29">I7/100</f>
        <v>0</v>
      </c>
      <c r="O7" s="1641">
        <f t="shared" ref="O7" si="30">J7/100</f>
        <v>0</v>
      </c>
      <c r="P7" s="1641">
        <f t="shared" ref="P7" si="31">K7/100</f>
        <v>0</v>
      </c>
      <c r="Q7" s="1641">
        <f t="shared" ref="Q7" si="32">L7/100</f>
        <v>0</v>
      </c>
      <c r="R7" s="1652"/>
      <c r="S7" s="1651"/>
      <c r="T7" s="1641"/>
      <c r="U7" s="1641"/>
      <c r="V7" s="1641"/>
      <c r="W7" s="1640"/>
      <c r="X7" s="3054" t="e">
        <f>ROUND(IF(项目基本情况!#REF!="出让",SUMPRODUCT(PRODUCT(1+N7:N$40)),SUMPRODUCT(PRODUCT(1+N7:N$39))),4)</f>
        <v>#REF!</v>
      </c>
      <c r="Y7" s="3054" t="e">
        <f>ROUND(IF(项目基本情况!#REF!="出让",SUMPRODUCT(PRODUCT(1+O7:O$40)),SUMPRODUCT(PRODUCT(1+O7:O$39))),4)</f>
        <v>#REF!</v>
      </c>
      <c r="Z7" s="3054" t="e">
        <f t="shared" ref="Z7" si="33">Y7</f>
        <v>#REF!</v>
      </c>
      <c r="AA7" s="3054" t="e">
        <f>ROUND(IF(项目基本情况!#REF!="出让",SUMPRODUCT(PRODUCT(1+P7:P$40)),SUMPRODUCT(PRODUCT(1+P7:P$39))),4)</f>
        <v>#REF!</v>
      </c>
      <c r="AB7" s="3054" t="e">
        <f>ROUND(IF(项目基本情况!#REF!="出让",SUMPRODUCT(PRODUCT(1+Q7:Q$40)),SUMPRODUCT(PRODUCT(1+Q7:Q$39))),4)</f>
        <v>#REF!</v>
      </c>
      <c r="AC7" s="1640"/>
      <c r="AD7" s="1641">
        <f>ROUND(AVERAGE(I7:I$40)/100,4)</f>
        <v>1.6400000000000001E-2</v>
      </c>
      <c r="AE7" s="1641">
        <f>ROUND(AVERAGE(J7:J$40)/100,4)</f>
        <v>1.03E-2</v>
      </c>
      <c r="AF7" s="1641">
        <f t="shared" ref="AF7" si="34">AE7</f>
        <v>1.03E-2</v>
      </c>
      <c r="AG7" s="1641">
        <f>ROUND(AVERAGE(K7:K$40)/100,4)</f>
        <v>1.7600000000000001E-2</v>
      </c>
      <c r="AH7" s="1641">
        <f>ROUND(AVERAGE(L7:L$40)/100,4)</f>
        <v>1.1599999999999999E-2</v>
      </c>
    </row>
    <row r="8" spans="1:34" s="1653" customFormat="1">
      <c r="A8" s="1649" t="s">
        <v>3244</v>
      </c>
      <c r="B8" s="1650">
        <f t="shared" ref="B8" si="35">B9*(1+N8)</f>
        <v>510.07089659554606</v>
      </c>
      <c r="C8" s="1650">
        <f t="shared" ref="C8" si="36">C9*(1+O8)</f>
        <v>352.55593185737411</v>
      </c>
      <c r="D8" s="1650">
        <f t="shared" ref="D8" si="37">C8</f>
        <v>352.55593185737411</v>
      </c>
      <c r="E8" s="1650">
        <f t="shared" ref="E8" si="38">E9*(1+P8)</f>
        <v>737.27992463403655</v>
      </c>
      <c r="F8" s="1650">
        <f t="shared" ref="F8" si="39">F9*(1+Q8)</f>
        <v>335.88319198297864</v>
      </c>
      <c r="G8" s="3036">
        <v>2022</v>
      </c>
      <c r="H8" s="3037">
        <v>1</v>
      </c>
      <c r="I8" s="3043"/>
      <c r="J8" s="3043"/>
      <c r="K8" s="3043">
        <v>0</v>
      </c>
      <c r="L8" s="3044">
        <v>0</v>
      </c>
      <c r="M8" s="1640"/>
      <c r="N8" s="1651">
        <f t="shared" ref="N8" si="40">I8/100</f>
        <v>0</v>
      </c>
      <c r="O8" s="1641">
        <f t="shared" ref="O8" si="41">J8/100</f>
        <v>0</v>
      </c>
      <c r="P8" s="1641">
        <f t="shared" ref="P8" si="42">K8/100</f>
        <v>0</v>
      </c>
      <c r="Q8" s="1641">
        <f t="shared" ref="Q8" si="43">L8/100</f>
        <v>0</v>
      </c>
      <c r="R8" s="1652"/>
      <c r="S8" s="1651"/>
      <c r="T8" s="1641"/>
      <c r="U8" s="1641"/>
      <c r="V8" s="1641"/>
      <c r="W8" s="1640"/>
      <c r="X8" s="3054">
        <f>ROUND(IF(项目基本情况!B1="出让",SUMPRODUCT(PRODUCT(1+N8:N$40)),SUMPRODUCT(PRODUCT(1+N8:N$39))),4)</f>
        <v>1.6585000000000001</v>
      </c>
      <c r="Y8" s="3054">
        <f>ROUND(IF(项目基本情况!B1="出让",SUMPRODUCT(PRODUCT(1+O8:O$40)),SUMPRODUCT(PRODUCT(1+O8:O$39))),4)</f>
        <v>1.3676999999999999</v>
      </c>
      <c r="Z8" s="3054">
        <f t="shared" ref="Z8" si="44">Y8</f>
        <v>1.3676999999999999</v>
      </c>
      <c r="AA8" s="3054">
        <f>ROUND(IF(项目基本情况!B1="出让",SUMPRODUCT(PRODUCT(1+P8:P$40)),SUMPRODUCT(PRODUCT(1+P8:P$39))),4)</f>
        <v>1.7434000000000001</v>
      </c>
      <c r="AB8" s="3054">
        <f>ROUND(IF(项目基本情况!B1="出让",SUMPRODUCT(PRODUCT(1+Q8:Q$40)),SUMPRODUCT(PRODUCT(1+Q8:Q$39))),4)</f>
        <v>1.4609000000000001</v>
      </c>
      <c r="AC8" s="1640"/>
      <c r="AD8" s="1641">
        <f>ROUND(AVERAGE(I8:I$40)/100,4)</f>
        <v>1.6899999999999998E-2</v>
      </c>
      <c r="AE8" s="1641">
        <f>ROUND(AVERAGE(J8:J$40)/100,4)</f>
        <v>1.06E-2</v>
      </c>
      <c r="AF8" s="1641">
        <f t="shared" ref="AF8" si="45">AE8</f>
        <v>1.06E-2</v>
      </c>
      <c r="AG8" s="1641">
        <f>ROUND(AVERAGE(K8:K$40)/100,4)</f>
        <v>1.8100000000000002E-2</v>
      </c>
      <c r="AH8" s="1641">
        <f>ROUND(AVERAGE(L8:L$40)/100,4)</f>
        <v>1.2E-2</v>
      </c>
    </row>
    <row r="9" spans="1:34" s="1653" customFormat="1">
      <c r="A9" s="1649" t="s">
        <v>2321</v>
      </c>
      <c r="B9" s="1650">
        <f t="shared" ref="B9" si="46">B10*(1+N9)</f>
        <v>510.07089659554606</v>
      </c>
      <c r="C9" s="1650">
        <f t="shared" ref="C9" si="47">C10*(1+O9)</f>
        <v>352.55593185737411</v>
      </c>
      <c r="D9" s="1650">
        <f t="shared" ref="D9" si="48">C9</f>
        <v>352.55593185737411</v>
      </c>
      <c r="E9" s="1650">
        <f t="shared" ref="E9" si="49">E10*(1+P9)</f>
        <v>737.27992463403655</v>
      </c>
      <c r="F9" s="1650">
        <f t="shared" ref="F9" si="50">F10*(1+Q9)</f>
        <v>335.88319198297864</v>
      </c>
      <c r="G9" s="3036">
        <v>2021</v>
      </c>
      <c r="H9" s="3037">
        <v>4</v>
      </c>
      <c r="I9" s="3043">
        <v>1.03</v>
      </c>
      <c r="J9" s="3043">
        <v>0.24</v>
      </c>
      <c r="K9" s="3043">
        <v>1.17</v>
      </c>
      <c r="L9" s="3044">
        <v>0.55000000000000004</v>
      </c>
      <c r="M9" s="1640"/>
      <c r="N9" s="1651">
        <f t="shared" ref="N9" si="51">I9/100</f>
        <v>1.03E-2</v>
      </c>
      <c r="O9" s="1641">
        <f t="shared" ref="O9" si="52">J9/100</f>
        <v>2.3999999999999998E-3</v>
      </c>
      <c r="P9" s="1641">
        <f t="shared" ref="P9" si="53">K9/100</f>
        <v>1.1699999999999999E-2</v>
      </c>
      <c r="Q9" s="1641">
        <f t="shared" ref="Q9" si="54">L9/100</f>
        <v>5.5000000000000005E-3</v>
      </c>
      <c r="R9" s="1652"/>
      <c r="S9" s="1651"/>
      <c r="T9" s="1641"/>
      <c r="U9" s="1641"/>
      <c r="V9" s="1641"/>
      <c r="W9" s="1640"/>
      <c r="X9" s="3054">
        <f>ROUND(IF(项目基本情况!B2="出让",SUMPRODUCT(PRODUCT(1+N9:N$40)),SUMPRODUCT(PRODUCT(1+N9:N$39))),4)</f>
        <v>1.6585000000000001</v>
      </c>
      <c r="Y9" s="3054">
        <f>ROUND(IF(项目基本情况!B2="出让",SUMPRODUCT(PRODUCT(1+O9:O$40)),SUMPRODUCT(PRODUCT(1+O9:O$39))),4)</f>
        <v>1.3676999999999999</v>
      </c>
      <c r="Z9" s="3054">
        <f t="shared" ref="Z9" si="55">Y9</f>
        <v>1.3676999999999999</v>
      </c>
      <c r="AA9" s="3054">
        <f>ROUND(IF(项目基本情况!B2="出让",SUMPRODUCT(PRODUCT(1+P9:P$40)),SUMPRODUCT(PRODUCT(1+P9:P$39))),4)</f>
        <v>1.7434000000000001</v>
      </c>
      <c r="AB9" s="3054">
        <f>ROUND(IF(项目基本情况!B2="出让",SUMPRODUCT(PRODUCT(1+Q9:Q$40)),SUMPRODUCT(PRODUCT(1+Q9:Q$39))),4)</f>
        <v>1.4609000000000001</v>
      </c>
      <c r="AC9" s="1640"/>
      <c r="AD9" s="1641">
        <f>ROUND(AVERAGE(I9:I$40)/100,4)</f>
        <v>1.6899999999999998E-2</v>
      </c>
      <c r="AE9" s="1641">
        <f>ROUND(AVERAGE(J9:J$40)/100,4)</f>
        <v>1.06E-2</v>
      </c>
      <c r="AF9" s="1641">
        <f t="shared" ref="AF9" si="56">AE9</f>
        <v>1.06E-2</v>
      </c>
      <c r="AG9" s="1641">
        <f>ROUND(AVERAGE(K9:K$40)/100,4)</f>
        <v>1.8700000000000001E-2</v>
      </c>
      <c r="AH9" s="1641">
        <f>ROUND(AVERAGE(L9:L$40)/100,4)</f>
        <v>1.24E-2</v>
      </c>
    </row>
    <row r="10" spans="1:34" s="1653" customFormat="1">
      <c r="A10" s="1649" t="s">
        <v>2204</v>
      </c>
      <c r="B10" s="1650">
        <f t="shared" ref="B10" si="57">B11*(1+N10)</f>
        <v>504.87072809615569</v>
      </c>
      <c r="C10" s="1650">
        <f t="shared" ref="C10" si="58">C11*(1+O10)</f>
        <v>351.71182348101968</v>
      </c>
      <c r="D10" s="1650">
        <f t="shared" ref="D10" si="59">C10</f>
        <v>351.71182348101968</v>
      </c>
      <c r="E10" s="1650">
        <f t="shared" ref="E10" si="60">E11*(1+P10)</f>
        <v>728.75350858360832</v>
      </c>
      <c r="F10" s="1650">
        <f t="shared" ref="F10" si="61">F11*(1+Q10)</f>
        <v>334.04593931673656</v>
      </c>
      <c r="G10" s="3036">
        <v>2021</v>
      </c>
      <c r="H10" s="3037">
        <v>3</v>
      </c>
      <c r="I10" s="3043">
        <v>0.47</v>
      </c>
      <c r="J10" s="3043">
        <v>0.41</v>
      </c>
      <c r="K10" s="3043">
        <v>0.48</v>
      </c>
      <c r="L10" s="3044">
        <v>0.48</v>
      </c>
      <c r="M10" s="1640"/>
      <c r="N10" s="1651">
        <f t="shared" ref="N10" si="62">I10/100</f>
        <v>4.6999999999999993E-3</v>
      </c>
      <c r="O10" s="1641">
        <f t="shared" ref="O10" si="63">J10/100</f>
        <v>4.0999999999999995E-3</v>
      </c>
      <c r="P10" s="1641">
        <f t="shared" ref="P10" si="64">K10/100</f>
        <v>4.7999999999999996E-3</v>
      </c>
      <c r="Q10" s="1641">
        <f t="shared" ref="Q10" si="65">L10/100</f>
        <v>4.7999999999999996E-3</v>
      </c>
      <c r="R10" s="1652"/>
      <c r="S10" s="1651"/>
      <c r="T10" s="1641"/>
      <c r="U10" s="1641"/>
      <c r="V10" s="1641"/>
      <c r="W10" s="1640"/>
      <c r="X10" s="3054">
        <f>ROUND(IF(项目基本情况!B3="出让",SUMPRODUCT(PRODUCT(1+N10:N$40)),SUMPRODUCT(PRODUCT(1+N10:N$39))),4)</f>
        <v>1.6415999999999999</v>
      </c>
      <c r="Y10" s="3054">
        <f>ROUND(IF(项目基本情况!B3="出让",SUMPRODUCT(PRODUCT(1+O10:O$40)),SUMPRODUCT(PRODUCT(1+O10:O$39))),4)</f>
        <v>1.3644000000000001</v>
      </c>
      <c r="Z10" s="3054">
        <f t="shared" ref="Z10" si="66">Y10</f>
        <v>1.3644000000000001</v>
      </c>
      <c r="AA10" s="3054">
        <f>ROUND(IF(项目基本情况!B3="出让",SUMPRODUCT(PRODUCT(1+P10:P$40)),SUMPRODUCT(PRODUCT(1+P10:P$39))),4)</f>
        <v>1.7232000000000001</v>
      </c>
      <c r="AB10" s="3054">
        <f>ROUND(IF(项目基本情况!B3="出让",SUMPRODUCT(PRODUCT(1+Q10:Q$40)),SUMPRODUCT(PRODUCT(1+Q10:Q$39))),4)</f>
        <v>1.4529000000000001</v>
      </c>
      <c r="AC10" s="1640"/>
      <c r="AD10" s="1641">
        <f>ROUND(AVERAGE(I10:I$40)/100,4)</f>
        <v>1.72E-2</v>
      </c>
      <c r="AE10" s="1641">
        <f>ROUND(AVERAGE(J10:J$40)/100,4)</f>
        <v>1.09E-2</v>
      </c>
      <c r="AF10" s="1641">
        <f t="shared" ref="AF10" si="67">AE10</f>
        <v>1.09E-2</v>
      </c>
      <c r="AG10" s="1641">
        <f>ROUND(AVERAGE(K10:K$40)/100,4)</f>
        <v>1.89E-2</v>
      </c>
      <c r="AH10" s="1641">
        <f>ROUND(AVERAGE(L10:L$40)/100,4)</f>
        <v>1.26E-2</v>
      </c>
    </row>
    <row r="11" spans="1:34" s="1653" customFormat="1">
      <c r="A11" s="1649" t="s">
        <v>2203</v>
      </c>
      <c r="B11" s="1650">
        <f t="shared" ref="B11" si="68">B12*(1+N11)</f>
        <v>502.50893609650217</v>
      </c>
      <c r="C11" s="1650">
        <f t="shared" ref="C11" si="69">C12*(1+O11)</f>
        <v>350.27569313914915</v>
      </c>
      <c r="D11" s="1650">
        <f t="shared" ref="D11" si="70">C11</f>
        <v>350.27569313914915</v>
      </c>
      <c r="E11" s="1650">
        <f t="shared" ref="E11" si="71">E12*(1+P11)</f>
        <v>725.27220201394141</v>
      </c>
      <c r="F11" s="1650">
        <f t="shared" ref="F11" si="72">F12*(1+Q11)</f>
        <v>332.45017846012797</v>
      </c>
      <c r="G11" s="3036">
        <v>2021</v>
      </c>
      <c r="H11" s="3037">
        <v>2</v>
      </c>
      <c r="I11" s="3043">
        <v>0.92</v>
      </c>
      <c r="J11" s="3043">
        <v>0.72</v>
      </c>
      <c r="K11" s="3043">
        <v>0.95</v>
      </c>
      <c r="L11" s="3044">
        <v>1.01</v>
      </c>
      <c r="M11" s="1640"/>
      <c r="N11" s="1651">
        <f t="shared" ref="N11" si="73">I11/100</f>
        <v>9.1999999999999998E-3</v>
      </c>
      <c r="O11" s="1641">
        <f t="shared" ref="O11" si="74">J11/100</f>
        <v>7.1999999999999998E-3</v>
      </c>
      <c r="P11" s="1641">
        <f t="shared" ref="P11" si="75">K11/100</f>
        <v>9.4999999999999998E-3</v>
      </c>
      <c r="Q11" s="1641">
        <f t="shared" ref="Q11" si="76">L11/100</f>
        <v>1.01E-2</v>
      </c>
      <c r="R11" s="1652"/>
      <c r="S11" s="1651"/>
      <c r="T11" s="1641"/>
      <c r="U11" s="1641"/>
      <c r="V11" s="1641"/>
      <c r="W11" s="1640"/>
      <c r="X11" s="3054">
        <f>ROUND(IF(项目基本情况!B4="出让",SUMPRODUCT(PRODUCT(1+N11:N$40)),SUMPRODUCT(PRODUCT(1+N11:N$39))),4)</f>
        <v>1.6338999999999999</v>
      </c>
      <c r="Y11" s="3054">
        <f>ROUND(IF(项目基本情况!B4="出让",SUMPRODUCT(PRODUCT(1+O11:O$40)),SUMPRODUCT(PRODUCT(1+O11:O$39))),4)</f>
        <v>1.3588</v>
      </c>
      <c r="Z11" s="3054">
        <f t="shared" ref="Z11" si="77">Y11</f>
        <v>1.3588</v>
      </c>
      <c r="AA11" s="3054">
        <f>ROUND(IF(项目基本情况!B4="出让",SUMPRODUCT(PRODUCT(1+P11:P$40)),SUMPRODUCT(PRODUCT(1+P11:P$39))),4)</f>
        <v>1.7150000000000001</v>
      </c>
      <c r="AB11" s="3054">
        <f>ROUND(IF(项目基本情况!B4="出让",SUMPRODUCT(PRODUCT(1+Q11:Q$40)),SUMPRODUCT(PRODUCT(1+Q11:Q$39))),4)</f>
        <v>1.446</v>
      </c>
      <c r="AC11" s="1640"/>
      <c r="AD11" s="1641">
        <f>ROUND(AVERAGE(I11:I$40)/100,4)</f>
        <v>1.7600000000000001E-2</v>
      </c>
      <c r="AE11" s="1641">
        <f>ROUND(AVERAGE(J11:J$40)/100,4)</f>
        <v>1.11E-2</v>
      </c>
      <c r="AF11" s="1641">
        <f t="shared" ref="AF11" si="78">AE11</f>
        <v>1.11E-2</v>
      </c>
      <c r="AG11" s="1641">
        <f>ROUND(AVERAGE(K11:K$40)/100,4)</f>
        <v>1.9400000000000001E-2</v>
      </c>
      <c r="AH11" s="1641">
        <f>ROUND(AVERAGE(L11:L$40)/100,4)</f>
        <v>1.2800000000000001E-2</v>
      </c>
    </row>
    <row r="12" spans="1:34" s="1653" customFormat="1">
      <c r="A12" s="1649" t="s">
        <v>2202</v>
      </c>
      <c r="B12" s="1650">
        <f t="shared" ref="B12" si="79">B13*(1+N12)</f>
        <v>497.92799851020823</v>
      </c>
      <c r="C12" s="1650">
        <f t="shared" ref="C12" si="80">C13*(1+O12)</f>
        <v>347.77173663537445</v>
      </c>
      <c r="D12" s="1650">
        <f t="shared" ref="D12" si="81">C12</f>
        <v>347.77173663537445</v>
      </c>
      <c r="E12" s="1650">
        <f t="shared" ref="E12" si="82">E13*(1+P12)</f>
        <v>718.44695593258189</v>
      </c>
      <c r="F12" s="1650">
        <f t="shared" ref="F12" si="83">F13*(1+Q12)</f>
        <v>329.12600580153247</v>
      </c>
      <c r="G12" s="3036">
        <v>2021</v>
      </c>
      <c r="H12" s="3037">
        <v>1</v>
      </c>
      <c r="I12" s="3043">
        <v>0.97</v>
      </c>
      <c r="J12" s="3043">
        <v>0.16</v>
      </c>
      <c r="K12" s="3043">
        <v>1.1100000000000001</v>
      </c>
      <c r="L12" s="3044">
        <v>0.36</v>
      </c>
      <c r="M12" s="1640"/>
      <c r="N12" s="1651">
        <f t="shared" ref="N12" si="84">I12/100</f>
        <v>9.7000000000000003E-3</v>
      </c>
      <c r="O12" s="1641">
        <f t="shared" ref="O12" si="85">J12/100</f>
        <v>1.6000000000000001E-3</v>
      </c>
      <c r="P12" s="1641">
        <f t="shared" ref="P12" si="86">K12/100</f>
        <v>1.11E-2</v>
      </c>
      <c r="Q12" s="1641">
        <f t="shared" ref="Q12" si="87">L12/100</f>
        <v>3.5999999999999999E-3</v>
      </c>
      <c r="R12" s="1652"/>
      <c r="S12" s="1651">
        <f>B12/B13-1</f>
        <v>9.7000000000000419E-3</v>
      </c>
      <c r="T12" s="1641">
        <f t="shared" ref="T12" si="88">C12/C13-1</f>
        <v>1.6000000000000458E-3</v>
      </c>
      <c r="U12" s="1641">
        <f t="shared" ref="U12" si="89">D12/D13-1</f>
        <v>1.6000000000000458E-3</v>
      </c>
      <c r="V12" s="1641">
        <f t="shared" ref="V12" si="90">E12/E13-1</f>
        <v>1.110000000000011E-2</v>
      </c>
      <c r="W12" s="1640"/>
      <c r="X12" s="3054">
        <f>ROUND(IF(项目基本情况!B5="出让",SUMPRODUCT(PRODUCT(1+N12:N$40)),SUMPRODUCT(PRODUCT(1+N12:N$39))),4)</f>
        <v>1.619</v>
      </c>
      <c r="Y12" s="3054">
        <f>ROUND(IF(项目基本情况!B5="出让",SUMPRODUCT(PRODUCT(1+O12:O$40)),SUMPRODUCT(PRODUCT(1+O12:O$39))),4)</f>
        <v>1.3491</v>
      </c>
      <c r="Z12" s="3054">
        <f t="shared" ref="Z12" si="91">Y12</f>
        <v>1.3491</v>
      </c>
      <c r="AA12" s="3054">
        <f>ROUND(IF(项目基本情况!B5="出让",SUMPRODUCT(PRODUCT(1+P12:P$40)),SUMPRODUCT(PRODUCT(1+P12:P$39))),4)</f>
        <v>1.6988000000000001</v>
      </c>
      <c r="AB12" s="3054">
        <f>ROUND(IF(项目基本情况!B5="出让",SUMPRODUCT(PRODUCT(1+Q12:Q$40)),SUMPRODUCT(PRODUCT(1+Q12:Q$39))),4)</f>
        <v>1.4315</v>
      </c>
      <c r="AC12" s="1640"/>
      <c r="AD12" s="1641">
        <f>ROUND(AVERAGE(I12:I$40)/100,4)</f>
        <v>1.7899999999999999E-2</v>
      </c>
      <c r="AE12" s="1641">
        <f>ROUND(AVERAGE(J12:J$40)/100,4)</f>
        <v>1.12E-2</v>
      </c>
      <c r="AF12" s="1641">
        <f t="shared" ref="AF12" si="92">AE12</f>
        <v>1.12E-2</v>
      </c>
      <c r="AG12" s="1641">
        <f>ROUND(AVERAGE(K12:K$40)/100,4)</f>
        <v>1.9699999999999999E-2</v>
      </c>
      <c r="AH12" s="1641">
        <f>ROUND(AVERAGE(L12:L$40)/100,4)</f>
        <v>1.29E-2</v>
      </c>
    </row>
    <row r="13" spans="1:34" s="1653" customFormat="1">
      <c r="A13" s="1649" t="s">
        <v>2199</v>
      </c>
      <c r="B13" s="1650">
        <f t="shared" ref="B13" si="93">B14*(1+N13)</f>
        <v>493.14449689037161</v>
      </c>
      <c r="C13" s="1650">
        <f t="shared" ref="C13" si="94">C14*(1+O13)</f>
        <v>347.21619073020611</v>
      </c>
      <c r="D13" s="1650">
        <f t="shared" ref="D13" si="95">C13</f>
        <v>347.21619073020611</v>
      </c>
      <c r="E13" s="1650">
        <f t="shared" ref="E13" si="96">E14*(1+P13)</f>
        <v>710.55974278763904</v>
      </c>
      <c r="F13" s="1650">
        <f t="shared" ref="F13" si="97">F14*(1+Q13)</f>
        <v>327.94540235306141</v>
      </c>
      <c r="G13" s="3036">
        <v>2020</v>
      </c>
      <c r="H13" s="3037">
        <v>4</v>
      </c>
      <c r="I13" s="3043">
        <v>2.0699999999999998</v>
      </c>
      <c r="J13" s="3043">
        <v>0.37</v>
      </c>
      <c r="K13" s="3043">
        <v>2.35</v>
      </c>
      <c r="L13" s="3044">
        <v>2.69</v>
      </c>
      <c r="M13" s="1640"/>
      <c r="N13" s="1651">
        <f t="shared" ref="N13" si="98">I13/100</f>
        <v>2.07E-2</v>
      </c>
      <c r="O13" s="1641">
        <f t="shared" ref="O13" si="99">J13/100</f>
        <v>3.7000000000000002E-3</v>
      </c>
      <c r="P13" s="1641">
        <f t="shared" ref="P13" si="100">K13/100</f>
        <v>2.35E-2</v>
      </c>
      <c r="Q13" s="1641">
        <f t="shared" ref="Q13" si="101">L13/100</f>
        <v>2.69E-2</v>
      </c>
      <c r="R13" s="1652"/>
      <c r="S13" s="1651"/>
      <c r="T13" s="1641"/>
      <c r="U13" s="1641"/>
      <c r="V13" s="1641"/>
      <c r="W13" s="1640"/>
      <c r="X13" s="3054">
        <f>ROUND(IF(项目基本情况!B6="出让",SUMPRODUCT(PRODUCT(1+N13:N$40)),SUMPRODUCT(PRODUCT(1+N13:N$39))),4)</f>
        <v>1.6034999999999999</v>
      </c>
      <c r="Y13" s="3054">
        <f>ROUND(IF(项目基本情况!B6="出让",SUMPRODUCT(PRODUCT(1+O13:O$40)),SUMPRODUCT(PRODUCT(1+O13:O$39))),4)</f>
        <v>1.3469</v>
      </c>
      <c r="Z13" s="3054">
        <f t="shared" ref="Z13" si="102">Y13</f>
        <v>1.3469</v>
      </c>
      <c r="AA13" s="3054">
        <f>ROUND(IF(项目基本情况!B6="出让",SUMPRODUCT(PRODUCT(1+P13:P$40)),SUMPRODUCT(PRODUCT(1+P13:P$39))),4)</f>
        <v>1.6801999999999999</v>
      </c>
      <c r="AB13" s="3054">
        <f>ROUND(IF(项目基本情况!B6="出让",SUMPRODUCT(PRODUCT(1+Q13:Q$40)),SUMPRODUCT(PRODUCT(1+Q13:Q$39))),4)</f>
        <v>1.4263999999999999</v>
      </c>
      <c r="AC13" s="1640"/>
      <c r="AD13" s="1641">
        <f>ROUND(AVERAGE(I13:I$40)/100,4)</f>
        <v>1.8200000000000001E-2</v>
      </c>
      <c r="AE13" s="1641">
        <f>ROUND(AVERAGE(J13:J$40)/100,4)</f>
        <v>1.1599999999999999E-2</v>
      </c>
      <c r="AF13" s="1641">
        <f t="shared" ref="AF13" si="103">AE13</f>
        <v>1.1599999999999999E-2</v>
      </c>
      <c r="AG13" s="1641">
        <f>ROUND(AVERAGE(K13:K$40)/100,4)</f>
        <v>0.02</v>
      </c>
      <c r="AH13" s="1641">
        <f>ROUND(AVERAGE(L13:L$40)/100,4)</f>
        <v>1.3299999999999999E-2</v>
      </c>
    </row>
    <row r="14" spans="1:34" s="1653" customFormat="1">
      <c r="A14" s="1649" t="s">
        <v>2198</v>
      </c>
      <c r="B14" s="1650">
        <f t="shared" ref="B14" si="104">B15*(1+N14)</f>
        <v>483.1434279321756</v>
      </c>
      <c r="C14" s="1650">
        <f t="shared" ref="C14" si="105">C15*(1+O14)</f>
        <v>345.93622669144776</v>
      </c>
      <c r="D14" s="1650">
        <f t="shared" ref="D14" si="106">C14</f>
        <v>345.93622669144776</v>
      </c>
      <c r="E14" s="1650">
        <f t="shared" ref="E14" si="107">E15*(1+P14)</f>
        <v>694.24498562544113</v>
      </c>
      <c r="F14" s="1650">
        <f t="shared" ref="F14" si="108">F15*(1+Q14)</f>
        <v>319.35475932716082</v>
      </c>
      <c r="G14" s="3036">
        <v>2020</v>
      </c>
      <c r="H14" s="3037">
        <v>3</v>
      </c>
      <c r="I14" s="3043">
        <v>0.36</v>
      </c>
      <c r="J14" s="3043">
        <v>-0.39</v>
      </c>
      <c r="K14" s="3043">
        <v>0.49</v>
      </c>
      <c r="L14" s="3044">
        <v>7.0000000000000007E-2</v>
      </c>
      <c r="M14" s="1640"/>
      <c r="N14" s="1651">
        <f t="shared" ref="N14" si="109">I14/100</f>
        <v>3.5999999999999999E-3</v>
      </c>
      <c r="O14" s="1641">
        <f t="shared" ref="O14" si="110">J14/100</f>
        <v>-3.9000000000000003E-3</v>
      </c>
      <c r="P14" s="1641">
        <f t="shared" ref="P14" si="111">K14/100</f>
        <v>4.8999999999999998E-3</v>
      </c>
      <c r="Q14" s="1641">
        <f t="shared" ref="Q14" si="112">L14/100</f>
        <v>7.000000000000001E-4</v>
      </c>
      <c r="R14" s="1652"/>
      <c r="S14" s="1651"/>
      <c r="T14" s="1641"/>
      <c r="U14" s="1641"/>
      <c r="V14" s="1641"/>
      <c r="W14" s="1640"/>
      <c r="X14" s="3054">
        <f>ROUND(IF(项目基本情况!B7="出让",SUMPRODUCT(PRODUCT(1+N14:N$40)),SUMPRODUCT(PRODUCT(1+N14:N$39))),4)</f>
        <v>1.571</v>
      </c>
      <c r="Y14" s="3054">
        <f>ROUND(IF(项目基本情况!B7="出让",SUMPRODUCT(PRODUCT(1+O14:O$40)),SUMPRODUCT(PRODUCT(1+O14:O$39))),4)</f>
        <v>1.3420000000000001</v>
      </c>
      <c r="Z14" s="3054">
        <f t="shared" ref="Z14" si="113">Y14</f>
        <v>1.3420000000000001</v>
      </c>
      <c r="AA14" s="3054">
        <f>ROUND(IF(项目基本情况!B7="出让",SUMPRODUCT(PRODUCT(1+P14:P$40)),SUMPRODUCT(PRODUCT(1+P14:P$39))),4)</f>
        <v>1.6415999999999999</v>
      </c>
      <c r="AB14" s="3054">
        <f>ROUND(IF(项目基本情况!B7="出让",SUMPRODUCT(PRODUCT(1+Q14:Q$40)),SUMPRODUCT(PRODUCT(1+Q14:Q$39))),4)</f>
        <v>1.389</v>
      </c>
      <c r="AC14" s="1640"/>
      <c r="AD14" s="1641">
        <f>ROUND(AVERAGE(I14:I$40)/100,4)</f>
        <v>1.8100000000000002E-2</v>
      </c>
      <c r="AE14" s="1641">
        <f>ROUND(AVERAGE(J14:J$40)/100,4)</f>
        <v>1.1900000000000001E-2</v>
      </c>
      <c r="AF14" s="1641">
        <f t="shared" ref="AF14" si="114">AE14</f>
        <v>1.1900000000000001E-2</v>
      </c>
      <c r="AG14" s="1641">
        <f>ROUND(AVERAGE(K14:K$40)/100,4)</f>
        <v>1.9900000000000001E-2</v>
      </c>
      <c r="AH14" s="1641">
        <f>ROUND(AVERAGE(L14:L$40)/100,4)</f>
        <v>1.2800000000000001E-2</v>
      </c>
    </row>
    <row r="15" spans="1:34" s="1653" customFormat="1">
      <c r="A15" s="1649" t="s">
        <v>2039</v>
      </c>
      <c r="B15" s="1650">
        <f t="shared" ref="B15" si="115">B16*(1+N15)</f>
        <v>481.4103506697644</v>
      </c>
      <c r="C15" s="1650">
        <f t="shared" ref="C15" si="116">C16*(1+O15)</f>
        <v>347.29066026648707</v>
      </c>
      <c r="D15" s="1650">
        <f t="shared" ref="D15" si="117">C15</f>
        <v>347.29066026648707</v>
      </c>
      <c r="E15" s="1650">
        <f t="shared" ref="E15" si="118">E16*(1+P15)</f>
        <v>690.85977273901995</v>
      </c>
      <c r="F15" s="1650">
        <f t="shared" ref="F15" si="119">F16*(1+Q15)</f>
        <v>319.13136737000184</v>
      </c>
      <c r="G15" s="3036">
        <v>2020</v>
      </c>
      <c r="H15" s="3037">
        <v>2</v>
      </c>
      <c r="I15" s="3043">
        <v>0.31</v>
      </c>
      <c r="J15" s="3043">
        <v>-0.78</v>
      </c>
      <c r="K15" s="3043">
        <v>0.5</v>
      </c>
      <c r="L15" s="3044">
        <v>0.47</v>
      </c>
      <c r="M15" s="1640"/>
      <c r="N15" s="1651">
        <f t="shared" ref="N15" si="120">I15/100</f>
        <v>3.0999999999999999E-3</v>
      </c>
      <c r="O15" s="1641">
        <f t="shared" ref="O15" si="121">J15/100</f>
        <v>-7.8000000000000005E-3</v>
      </c>
      <c r="P15" s="1641">
        <f t="shared" ref="P15" si="122">K15/100</f>
        <v>5.0000000000000001E-3</v>
      </c>
      <c r="Q15" s="1641">
        <f t="shared" ref="Q15" si="123">L15/100</f>
        <v>4.6999999999999993E-3</v>
      </c>
      <c r="R15" s="1652"/>
      <c r="S15" s="1651"/>
      <c r="T15" s="1641"/>
      <c r="U15" s="1641"/>
      <c r="V15" s="1641"/>
      <c r="W15" s="1640"/>
      <c r="X15" s="3054">
        <f>ROUND(IF(项目基本情况!B8="出让",SUMPRODUCT(PRODUCT(1+N15:N$40)),SUMPRODUCT(PRODUCT(1+N15:N$39))),4)</f>
        <v>1.5652999999999999</v>
      </c>
      <c r="Y15" s="3054">
        <f>ROUND(IF(项目基本情况!B8="出让",SUMPRODUCT(PRODUCT(1+O15:O$40)),SUMPRODUCT(PRODUCT(1+O15:O$39))),4)</f>
        <v>1.3472</v>
      </c>
      <c r="Z15" s="3054">
        <f t="shared" ref="Z15" si="124">Y15</f>
        <v>1.3472</v>
      </c>
      <c r="AA15" s="3054">
        <f>ROUND(IF(项目基本情况!B8="出让",SUMPRODUCT(PRODUCT(1+P15:P$40)),SUMPRODUCT(PRODUCT(1+P15:P$39))),4)</f>
        <v>1.6335999999999999</v>
      </c>
      <c r="AB15" s="3054">
        <f>ROUND(IF(项目基本情况!B8="出让",SUMPRODUCT(PRODUCT(1+Q15:Q$40)),SUMPRODUCT(PRODUCT(1+Q15:Q$39))),4)</f>
        <v>1.3880999999999999</v>
      </c>
      <c r="AC15" s="1640"/>
      <c r="AD15" s="1641">
        <f>ROUND(AVERAGE(I15:I$40)/100,4)</f>
        <v>1.8599999999999998E-2</v>
      </c>
      <c r="AE15" s="1641">
        <f>ROUND(AVERAGE(J15:J$40)/100,4)</f>
        <v>1.2500000000000001E-2</v>
      </c>
      <c r="AF15" s="1641">
        <f t="shared" ref="AF15" si="125">AE15</f>
        <v>1.2500000000000001E-2</v>
      </c>
      <c r="AG15" s="1641">
        <f>ROUND(AVERAGE(K15:K$40)/100,4)</f>
        <v>2.0400000000000001E-2</v>
      </c>
      <c r="AH15" s="1641">
        <f>ROUND(AVERAGE(L15:L$40)/100,4)</f>
        <v>1.32E-2</v>
      </c>
    </row>
    <row r="16" spans="1:34" s="1653" customFormat="1">
      <c r="A16" s="1649" t="s">
        <v>2037</v>
      </c>
      <c r="B16" s="1650">
        <f t="shared" ref="B16" si="126">B17*(1+N16)</f>
        <v>479.92259063878413</v>
      </c>
      <c r="C16" s="1650">
        <f t="shared" ref="C16" si="127">C17*(1+O16)</f>
        <v>350.02082268341775</v>
      </c>
      <c r="D16" s="1650">
        <f t="shared" ref="D16" si="128">C16</f>
        <v>350.02082268341775</v>
      </c>
      <c r="E16" s="1650">
        <f t="shared" ref="E16" si="129">E17*(1+P16)</f>
        <v>687.42265944181099</v>
      </c>
      <c r="F16" s="1650">
        <f t="shared" ref="F16" si="130">F17*(1+Q16)</f>
        <v>317.63846657708956</v>
      </c>
      <c r="G16" s="3036">
        <v>2020</v>
      </c>
      <c r="H16" s="3037">
        <v>1</v>
      </c>
      <c r="I16" s="3043">
        <v>0.12</v>
      </c>
      <c r="J16" s="3043">
        <v>-0.4</v>
      </c>
      <c r="K16" s="3043">
        <v>0.21</v>
      </c>
      <c r="L16" s="3044">
        <v>0.27</v>
      </c>
      <c r="M16" s="1640"/>
      <c r="N16" s="1651">
        <f t="shared" ref="N16" si="131">I16/100</f>
        <v>1.1999999999999999E-3</v>
      </c>
      <c r="O16" s="1641">
        <f t="shared" ref="O16" si="132">J16/100</f>
        <v>-4.0000000000000001E-3</v>
      </c>
      <c r="P16" s="1641">
        <f t="shared" ref="P16" si="133">K16/100</f>
        <v>2.0999999999999999E-3</v>
      </c>
      <c r="Q16" s="1641">
        <f t="shared" ref="Q16" si="134">L16/100</f>
        <v>2.7000000000000001E-3</v>
      </c>
      <c r="R16" s="1652"/>
      <c r="S16" s="1651">
        <f>B16/B17-1</f>
        <v>1.2000000000000899E-3</v>
      </c>
      <c r="T16" s="1641">
        <f t="shared" ref="T16" si="135">C16/C17-1</f>
        <v>-4.0000000000000036E-3</v>
      </c>
      <c r="U16" s="1641">
        <f t="shared" ref="U16" si="136">D16/D17-1</f>
        <v>-4.0000000000000036E-3</v>
      </c>
      <c r="V16" s="1641">
        <f t="shared" ref="V16" si="137">E16/E17-1</f>
        <v>2.0999999999999908E-3</v>
      </c>
      <c r="W16" s="1640"/>
      <c r="X16" s="3054">
        <f>ROUND(IF(项目基本情况!B8="出让",SUMPRODUCT(PRODUCT(1+N16:N$40)),SUMPRODUCT(PRODUCT(1+N16:N$39))),4)</f>
        <v>1.5605</v>
      </c>
      <c r="Y16" s="3054">
        <f>ROUND(IF(项目基本情况!B8="出让",SUMPRODUCT(PRODUCT(1+O16:O$40)),SUMPRODUCT(PRODUCT(1+O16:O$39))),4)</f>
        <v>1.3577999999999999</v>
      </c>
      <c r="Z16" s="3054">
        <f t="shared" ref="Z16" si="138">Y16</f>
        <v>1.3577999999999999</v>
      </c>
      <c r="AA16" s="3054">
        <f>ROUND(IF(项目基本情况!B8="出让",SUMPRODUCT(PRODUCT(1+P16:P$40)),SUMPRODUCT(PRODUCT(1+P16:P$39))),4)</f>
        <v>1.6254999999999999</v>
      </c>
      <c r="AB16" s="3054">
        <f>ROUND(IF(项目基本情况!B8="出让",SUMPRODUCT(PRODUCT(1+Q16:Q$40)),SUMPRODUCT(PRODUCT(1+Q16:Q$39))),4)</f>
        <v>1.3815999999999999</v>
      </c>
      <c r="AC16" s="1640"/>
      <c r="AD16" s="1641">
        <f>ROUND(AVERAGE(I16:I$40)/100,4)</f>
        <v>1.9199999999999998E-2</v>
      </c>
      <c r="AE16" s="1641">
        <f>ROUND(AVERAGE(J16:J$40)/100,4)</f>
        <v>1.3299999999999999E-2</v>
      </c>
      <c r="AF16" s="1641">
        <f t="shared" ref="AF16" si="139">AE16</f>
        <v>1.3299999999999999E-2</v>
      </c>
      <c r="AG16" s="1641">
        <f>ROUND(AVERAGE(K16:K$40)/100,4)</f>
        <v>2.1100000000000001E-2</v>
      </c>
      <c r="AH16" s="1641">
        <f>ROUND(AVERAGE(L16:L$40)/100,4)</f>
        <v>1.3599999999999999E-2</v>
      </c>
    </row>
    <row r="17" spans="1:34" s="1653" customFormat="1">
      <c r="A17" s="1649" t="s">
        <v>2036</v>
      </c>
      <c r="B17" s="1650">
        <f t="shared" ref="B17" si="140">B18*(1+N17)</f>
        <v>479.34737379023579</v>
      </c>
      <c r="C17" s="1650">
        <f t="shared" ref="C17" si="141">C18*(1+O17)</f>
        <v>351.4265287986122</v>
      </c>
      <c r="D17" s="1650">
        <f t="shared" ref="D17" si="142">C17</f>
        <v>351.4265287986122</v>
      </c>
      <c r="E17" s="1650">
        <f t="shared" ref="E17" si="143">E18*(1+P17)</f>
        <v>685.98209703803116</v>
      </c>
      <c r="F17" s="1650">
        <f t="shared" ref="F17" si="144">F18*(1+Q17)</f>
        <v>316.78315206651001</v>
      </c>
      <c r="G17" s="3036">
        <v>2019</v>
      </c>
      <c r="H17" s="3037">
        <v>4</v>
      </c>
      <c r="I17" s="3035">
        <v>0.45</v>
      </c>
      <c r="J17" s="3035">
        <v>-0.12</v>
      </c>
      <c r="K17" s="3035">
        <v>0.54</v>
      </c>
      <c r="L17" s="3085">
        <v>0.48</v>
      </c>
      <c r="M17" s="1640"/>
      <c r="N17" s="1651">
        <f t="shared" ref="N17:N22" si="145">I17/100</f>
        <v>4.5000000000000005E-3</v>
      </c>
      <c r="O17" s="1641">
        <f t="shared" ref="O17" si="146">J17/100</f>
        <v>-1.1999999999999999E-3</v>
      </c>
      <c r="P17" s="1641">
        <f t="shared" ref="P17" si="147">K17/100</f>
        <v>5.4000000000000003E-3</v>
      </c>
      <c r="Q17" s="1641">
        <f t="shared" ref="Q17" si="148">L17/100</f>
        <v>4.7999999999999996E-3</v>
      </c>
      <c r="R17" s="1652"/>
      <c r="S17" s="1651"/>
      <c r="T17" s="1641"/>
      <c r="U17" s="1641"/>
      <c r="V17" s="1641"/>
      <c r="W17" s="1640"/>
      <c r="X17" s="3054">
        <f>ROUND(IF(项目基本情况!B8="出让",SUMPRODUCT(PRODUCT(1+N17:N$40)),SUMPRODUCT(PRODUCT(1+N17:N$39))),4)</f>
        <v>1.5586</v>
      </c>
      <c r="Y17" s="3054">
        <f>ROUND(IF(项目基本情况!B8="出让",SUMPRODUCT(PRODUCT(1+O17:O$40)),SUMPRODUCT(PRODUCT(1+O17:O$39))),4)</f>
        <v>1.3633</v>
      </c>
      <c r="Z17" s="3054">
        <f t="shared" ref="Z17" si="149">Y17</f>
        <v>1.3633</v>
      </c>
      <c r="AA17" s="3054">
        <f>ROUND(IF(项目基本情况!B8="出让",SUMPRODUCT(PRODUCT(1+P17:P$40)),SUMPRODUCT(PRODUCT(1+P17:P$39))),4)</f>
        <v>1.6221000000000001</v>
      </c>
      <c r="AB17" s="3054">
        <f>ROUND(IF(项目基本情况!B8="出让",SUMPRODUCT(PRODUCT(1+Q17:Q$40)),SUMPRODUCT(PRODUCT(1+Q17:Q$39))),4)</f>
        <v>1.3777999999999999</v>
      </c>
      <c r="AC17" s="1640"/>
      <c r="AD17" s="1641">
        <f>ROUND(AVERAGE(I17:I$40)/100,4)</f>
        <v>0.02</v>
      </c>
      <c r="AE17" s="1641">
        <f>ROUND(AVERAGE(J17:J$40)/100,4)</f>
        <v>1.4E-2</v>
      </c>
      <c r="AF17" s="1641">
        <f t="shared" ref="AF17" si="150">AE17</f>
        <v>1.4E-2</v>
      </c>
      <c r="AG17" s="1641">
        <f>ROUND(AVERAGE(K17:K$40)/100,4)</f>
        <v>2.1899999999999999E-2</v>
      </c>
      <c r="AH17" s="1641">
        <f>ROUND(AVERAGE(L17:L$40)/100,4)</f>
        <v>1.4E-2</v>
      </c>
    </row>
    <row r="18" spans="1:34" s="1653" customFormat="1" ht="13.5" thickBot="1">
      <c r="A18" s="1649" t="s">
        <v>2035</v>
      </c>
      <c r="B18" s="1650">
        <f t="shared" ref="B18" si="151">B19*(1+N18)</f>
        <v>477.19997390765138</v>
      </c>
      <c r="C18" s="1650">
        <f t="shared" ref="C18" si="152">C19*(1+O18)</f>
        <v>351.84874729536665</v>
      </c>
      <c r="D18" s="1650">
        <f t="shared" ref="D18" si="153">C18</f>
        <v>351.84874729536665</v>
      </c>
      <c r="E18" s="1650">
        <f t="shared" ref="E18" si="154">E19*(1+P18)</f>
        <v>682.29768951465201</v>
      </c>
      <c r="F18" s="1650">
        <f t="shared" ref="F18" si="155">F19*(1+Q18)</f>
        <v>315.26985675409043</v>
      </c>
      <c r="G18" s="3036">
        <v>2019</v>
      </c>
      <c r="H18" s="3037">
        <v>3</v>
      </c>
      <c r="I18" s="3035">
        <v>0.61</v>
      </c>
      <c r="J18" s="3035">
        <v>0.67</v>
      </c>
      <c r="K18" s="3035">
        <v>0.6</v>
      </c>
      <c r="L18" s="3085">
        <v>1.03</v>
      </c>
      <c r="M18" s="1640"/>
      <c r="N18" s="1651">
        <f t="shared" si="145"/>
        <v>6.0999999999999995E-3</v>
      </c>
      <c r="O18" s="1641">
        <f t="shared" ref="O18" si="156">J18/100</f>
        <v>6.7000000000000002E-3</v>
      </c>
      <c r="P18" s="1641">
        <f t="shared" ref="P18" si="157">K18/100</f>
        <v>6.0000000000000001E-3</v>
      </c>
      <c r="Q18" s="1641">
        <f t="shared" ref="Q18" si="158">L18/100</f>
        <v>1.03E-2</v>
      </c>
      <c r="R18" s="1652"/>
      <c r="S18" s="1651"/>
      <c r="T18" s="1641"/>
      <c r="U18" s="1641"/>
      <c r="V18" s="1641"/>
      <c r="W18" s="1640"/>
      <c r="X18" s="3054">
        <f>ROUND(IF(项目基本情况!B8="出让",SUMPRODUCT(PRODUCT(1+N18:N$40)),SUMPRODUCT(PRODUCT(1+N18:N$39))),4)</f>
        <v>1.5516000000000001</v>
      </c>
      <c r="Y18" s="3054">
        <f>ROUND(IF(项目基本情况!B8="出让",SUMPRODUCT(PRODUCT(1+O18:O$40)),SUMPRODUCT(PRODUCT(1+O18:O$39))),4)</f>
        <v>1.3649</v>
      </c>
      <c r="Z18" s="3054">
        <f t="shared" ref="Z18" si="159">Y18</f>
        <v>1.3649</v>
      </c>
      <c r="AA18" s="3054">
        <f>ROUND(IF(项目基本情况!B8="出让",SUMPRODUCT(PRODUCT(1+P18:P$40)),SUMPRODUCT(PRODUCT(1+P18:P$39))),4)</f>
        <v>1.6133999999999999</v>
      </c>
      <c r="AB18" s="3054">
        <f>ROUND(IF(项目基本情况!B8="出让",SUMPRODUCT(PRODUCT(1+Q18:Q$40)),SUMPRODUCT(PRODUCT(1+Q18:Q$39))),4)</f>
        <v>1.3713</v>
      </c>
      <c r="AC18" s="1640"/>
      <c r="AD18" s="1641">
        <f>ROUND(AVERAGE(I18:I$40)/100,4)</f>
        <v>2.07E-2</v>
      </c>
      <c r="AE18" s="1641">
        <f>ROUND(AVERAGE(J18:J$40)/100,4)</f>
        <v>1.47E-2</v>
      </c>
      <c r="AF18" s="1641">
        <f t="shared" ref="AF18" si="160">AE18</f>
        <v>1.47E-2</v>
      </c>
      <c r="AG18" s="1641">
        <f>ROUND(AVERAGE(K18:K$40)/100,4)</f>
        <v>2.2599999999999999E-2</v>
      </c>
      <c r="AH18" s="1641">
        <f>ROUND(AVERAGE(L18:L$40)/100,4)</f>
        <v>1.44E-2</v>
      </c>
    </row>
    <row r="19" spans="1:34" s="1653" customFormat="1">
      <c r="A19" s="1649" t="s">
        <v>2033</v>
      </c>
      <c r="B19" s="1650">
        <f t="shared" ref="B19" si="161">B20*(1+N19)</f>
        <v>474.30670301923408</v>
      </c>
      <c r="C19" s="1650">
        <f t="shared" ref="C19" si="162">C20*(1+O19)</f>
        <v>349.50705005996491</v>
      </c>
      <c r="D19" s="1650">
        <f t="shared" ref="D19" si="163">C19</f>
        <v>349.50705005996491</v>
      </c>
      <c r="E19" s="1650">
        <f t="shared" ref="E19" si="164">E20*(1+P19)</f>
        <v>678.22831959706957</v>
      </c>
      <c r="F19" s="1650">
        <f t="shared" ref="F19" si="165">F20*(1+Q19)</f>
        <v>312.0556832169558</v>
      </c>
      <c r="G19" s="3036">
        <v>2019</v>
      </c>
      <c r="H19" s="3072">
        <v>2</v>
      </c>
      <c r="I19" s="3062">
        <v>1.53</v>
      </c>
      <c r="J19" s="3062">
        <v>1.01</v>
      </c>
      <c r="K19" s="3062">
        <v>1.62</v>
      </c>
      <c r="L19" s="3086">
        <v>1.25</v>
      </c>
      <c r="M19" s="1640"/>
      <c r="N19" s="1651">
        <f t="shared" si="145"/>
        <v>1.5300000000000001E-2</v>
      </c>
      <c r="O19" s="1641">
        <f t="shared" ref="O19" si="166">J19/100</f>
        <v>1.01E-2</v>
      </c>
      <c r="P19" s="1641">
        <f t="shared" ref="P19" si="167">K19/100</f>
        <v>1.6200000000000003E-2</v>
      </c>
      <c r="Q19" s="1641">
        <f t="shared" ref="Q19" si="168">L19/100</f>
        <v>1.2500000000000001E-2</v>
      </c>
      <c r="R19" s="1652"/>
      <c r="S19" s="1651"/>
      <c r="T19" s="1641"/>
      <c r="U19" s="1641"/>
      <c r="V19" s="1641"/>
      <c r="W19" s="1640"/>
      <c r="X19" s="3054">
        <f>ROUND(IF(项目基本情况!B8="出让",SUMPRODUCT(PRODUCT(1+N19:N$40)),SUMPRODUCT(PRODUCT(1+N19:N$39))),4)</f>
        <v>1.5422</v>
      </c>
      <c r="Y19" s="3054">
        <f>ROUND(IF(项目基本情况!B8="出让",SUMPRODUCT(PRODUCT(1+O19:O$40)),SUMPRODUCT(PRODUCT(1+O19:O$39))),4)</f>
        <v>1.3557999999999999</v>
      </c>
      <c r="Z19" s="3054">
        <f t="shared" ref="Z19" si="169">Y19</f>
        <v>1.3557999999999999</v>
      </c>
      <c r="AA19" s="3054">
        <f>ROUND(IF(项目基本情况!B8="出让",SUMPRODUCT(PRODUCT(1+P19:P$40)),SUMPRODUCT(PRODUCT(1+P19:P$39))),4)</f>
        <v>1.6036999999999999</v>
      </c>
      <c r="AB19" s="3054">
        <f>ROUND(IF(项目基本情况!B8="出让",SUMPRODUCT(PRODUCT(1+Q19:Q$40)),SUMPRODUCT(PRODUCT(1+Q19:Q$39))),4)</f>
        <v>1.3573</v>
      </c>
      <c r="AC19" s="1640"/>
      <c r="AD19" s="1641">
        <f>ROUND(AVERAGE(I19:I$40)/100,4)</f>
        <v>2.1299999999999999E-2</v>
      </c>
      <c r="AE19" s="1641">
        <f>ROUND(AVERAGE(J19:J$40)/100,4)</f>
        <v>1.4999999999999999E-2</v>
      </c>
      <c r="AF19" s="1641">
        <f t="shared" ref="AF19" si="170">AE19</f>
        <v>1.4999999999999999E-2</v>
      </c>
      <c r="AG19" s="1641">
        <f>ROUND(AVERAGE(K19:K$40)/100,4)</f>
        <v>2.3300000000000001E-2</v>
      </c>
      <c r="AH19" s="1641">
        <f>ROUND(AVERAGE(L19:L$40)/100,4)</f>
        <v>1.46E-2</v>
      </c>
    </row>
    <row r="20" spans="1:34" s="1653" customFormat="1" ht="13.5" thickBot="1">
      <c r="A20" s="1649" t="s">
        <v>2032</v>
      </c>
      <c r="B20" s="1650">
        <f t="shared" ref="B20" si="171">B21*(1+N20)</f>
        <v>467.15916775261894</v>
      </c>
      <c r="C20" s="1650">
        <f t="shared" ref="C20" si="172">C21*(1+O20)</f>
        <v>346.01232557169084</v>
      </c>
      <c r="D20" s="1650">
        <f t="shared" ref="D20" si="173">C20</f>
        <v>346.01232557169084</v>
      </c>
      <c r="E20" s="1650">
        <f t="shared" ref="E20" si="174">E21*(1+P20)</f>
        <v>667.41617752122568</v>
      </c>
      <c r="F20" s="1650">
        <f t="shared" ref="F20" si="175">F21*(1+Q20)</f>
        <v>308.20314391798104</v>
      </c>
      <c r="G20" s="3036">
        <v>2019</v>
      </c>
      <c r="H20" s="3037">
        <v>1</v>
      </c>
      <c r="I20" s="3035">
        <v>0.6</v>
      </c>
      <c r="J20" s="3035">
        <v>0.37</v>
      </c>
      <c r="K20" s="3035">
        <v>0.63</v>
      </c>
      <c r="L20" s="3085">
        <v>1.1299999999999999</v>
      </c>
      <c r="M20" s="1640"/>
      <c r="N20" s="1651">
        <f t="shared" si="145"/>
        <v>6.0000000000000001E-3</v>
      </c>
      <c r="O20" s="1641">
        <f t="shared" ref="O20" si="176">J20/100</f>
        <v>3.7000000000000002E-3</v>
      </c>
      <c r="P20" s="1641">
        <f t="shared" ref="P20" si="177">K20/100</f>
        <v>6.3E-3</v>
      </c>
      <c r="Q20" s="1641">
        <f t="shared" ref="Q20" si="178">L20/100</f>
        <v>1.1299999999999999E-2</v>
      </c>
      <c r="R20" s="1652"/>
      <c r="S20" s="1651">
        <f>B20/B21-1</f>
        <v>6.0000000000000053E-3</v>
      </c>
      <c r="T20" s="1641">
        <f t="shared" ref="T20" si="179">C20/C21-1</f>
        <v>3.7000000000000366E-3</v>
      </c>
      <c r="U20" s="1641">
        <f t="shared" ref="U20" si="180">D20/D21-1</f>
        <v>3.7000000000000366E-3</v>
      </c>
      <c r="V20" s="1641">
        <f t="shared" ref="V20" si="181">E20/E21-1</f>
        <v>6.2999999999999723E-3</v>
      </c>
      <c r="W20" s="1640"/>
      <c r="X20" s="3054">
        <f>ROUND(IF(项目基本情况!B8="出让",SUMPRODUCT(PRODUCT(1+N20:N$40)),SUMPRODUCT(PRODUCT(1+N20:N$39))),4)</f>
        <v>1.5189999999999999</v>
      </c>
      <c r="Y20" s="3054">
        <f>ROUND(IF(项目基本情况!B8="出让",SUMPRODUCT(PRODUCT(1+O20:O$40)),SUMPRODUCT(PRODUCT(1+O20:O$39))),4)</f>
        <v>1.3423</v>
      </c>
      <c r="Z20" s="3054">
        <f t="shared" ref="Z20" si="182">Y20</f>
        <v>1.3423</v>
      </c>
      <c r="AA20" s="3054">
        <f>ROUND(IF(项目基本情况!B8="出让",SUMPRODUCT(PRODUCT(1+P20:P$40)),SUMPRODUCT(PRODUCT(1+P20:P$39))),4)</f>
        <v>1.5782</v>
      </c>
      <c r="AB20" s="3054">
        <f>ROUND(IF(项目基本情况!B8="出让",SUMPRODUCT(PRODUCT(1+Q20:Q$40)),SUMPRODUCT(PRODUCT(1+Q20:Q$39))),4)</f>
        <v>1.3405</v>
      </c>
      <c r="AC20" s="1640"/>
      <c r="AD20" s="1641">
        <f>ROUND(AVERAGE(I20:I$40)/100,4)</f>
        <v>2.1600000000000001E-2</v>
      </c>
      <c r="AE20" s="1641">
        <f>ROUND(AVERAGE(J20:J$40)/100,4)</f>
        <v>1.5299999999999999E-2</v>
      </c>
      <c r="AF20" s="1641">
        <f t="shared" ref="AF20" si="183">AE20</f>
        <v>1.5299999999999999E-2</v>
      </c>
      <c r="AG20" s="1641">
        <f>ROUND(AVERAGE(K20:K$40)/100,4)</f>
        <v>2.3699999999999999E-2</v>
      </c>
      <c r="AH20" s="1641">
        <f>ROUND(AVERAGE(L20:L$40)/100,4)</f>
        <v>1.47E-2</v>
      </c>
    </row>
    <row r="21" spans="1:34" s="1653" customFormat="1">
      <c r="A21" s="1649" t="s">
        <v>2034</v>
      </c>
      <c r="B21" s="1654">
        <f t="shared" ref="B21" si="184">B22*(1+N21)</f>
        <v>464.37293017158942</v>
      </c>
      <c r="C21" s="1654">
        <f t="shared" ref="C21" si="185">C22*(1+O21)</f>
        <v>344.73679941385956</v>
      </c>
      <c r="D21" s="1654">
        <f t="shared" ref="D21" si="186">C21</f>
        <v>344.73679941385956</v>
      </c>
      <c r="E21" s="1654">
        <f t="shared" ref="E21" si="187">E22*(1+P21)</f>
        <v>663.2377795103107</v>
      </c>
      <c r="F21" s="1655">
        <f t="shared" ref="F21" si="188">F22*(1+Q21)</f>
        <v>304.75936311478398</v>
      </c>
      <c r="G21" s="4762">
        <v>2018</v>
      </c>
      <c r="H21" s="3072">
        <v>4</v>
      </c>
      <c r="I21" s="3062">
        <v>0.96</v>
      </c>
      <c r="J21" s="3062">
        <v>1.03</v>
      </c>
      <c r="K21" s="3062">
        <v>0.92</v>
      </c>
      <c r="L21" s="3086">
        <v>1.29</v>
      </c>
      <c r="M21" s="1640"/>
      <c r="N21" s="1651">
        <f t="shared" si="145"/>
        <v>9.5999999999999992E-3</v>
      </c>
      <c r="O21" s="1641">
        <f t="shared" ref="O21" si="189">J21/100</f>
        <v>1.03E-2</v>
      </c>
      <c r="P21" s="1641">
        <f t="shared" ref="P21" si="190">K21/100</f>
        <v>9.1999999999999998E-3</v>
      </c>
      <c r="Q21" s="1641">
        <f t="shared" ref="Q21" si="191">L21/100</f>
        <v>1.29E-2</v>
      </c>
      <c r="R21" s="1652"/>
      <c r="S21" s="1651"/>
      <c r="T21" s="1641"/>
      <c r="U21" s="1641"/>
      <c r="V21" s="1641"/>
      <c r="W21" s="1640"/>
      <c r="X21" s="3054">
        <f>ROUND(SUMPRODUCT(PRODUCT(1+N21:N$39)),4)</f>
        <v>1.5099</v>
      </c>
      <c r="Y21" s="3054">
        <f>ROUND(SUMPRODUCT(PRODUCT(1+O21:O$39)),4)</f>
        <v>1.3372999999999999</v>
      </c>
      <c r="Z21" s="3054">
        <f t="shared" ref="Z21" si="192">Y21</f>
        <v>1.3372999999999999</v>
      </c>
      <c r="AA21" s="3054">
        <f>ROUND(SUMPRODUCT(PRODUCT(1+P21:P$39)),4)</f>
        <v>1.5683</v>
      </c>
      <c r="AB21" s="3054">
        <f>ROUND(SUMPRODUCT(PRODUCT(1+Q21:Q$39)),4)</f>
        <v>1.3255999999999999</v>
      </c>
      <c r="AC21" s="1640"/>
      <c r="AD21" s="1641">
        <f>ROUND(AVERAGE(I21:I$40)/100,4)</f>
        <v>2.24E-2</v>
      </c>
      <c r="AE21" s="1641">
        <f>ROUND(AVERAGE(J21:J$40)/100,4)</f>
        <v>1.5800000000000002E-2</v>
      </c>
      <c r="AF21" s="1641">
        <f t="shared" ref="AF21" si="193">AE21</f>
        <v>1.5800000000000002E-2</v>
      </c>
      <c r="AG21" s="1641">
        <f>ROUND(AVERAGE(K21:K$40)/100,4)</f>
        <v>2.4500000000000001E-2</v>
      </c>
      <c r="AH21" s="1641">
        <f>ROUND(AVERAGE(L21:L$40)/100,4)</f>
        <v>1.49E-2</v>
      </c>
    </row>
    <row r="22" spans="1:34" s="1653" customFormat="1" ht="14.45" customHeight="1">
      <c r="A22" s="1649" t="s">
        <v>2030</v>
      </c>
      <c r="B22" s="1650">
        <f t="shared" ref="B22" si="194">B23*(1+N22)</f>
        <v>459.95733971036987</v>
      </c>
      <c r="C22" s="1650">
        <f t="shared" ref="C22" si="195">C23*(1+O22)</f>
        <v>341.22221064422405</v>
      </c>
      <c r="D22" s="1650">
        <f t="shared" ref="D22" si="196">C22</f>
        <v>341.22221064422405</v>
      </c>
      <c r="E22" s="1650">
        <f t="shared" ref="E22" si="197">E23*(1+P22)</f>
        <v>657.19161663724799</v>
      </c>
      <c r="F22" s="1650">
        <f t="shared" ref="F22" si="198">F23*(1+Q22)</f>
        <v>300.87803644464805</v>
      </c>
      <c r="G22" s="4762"/>
      <c r="H22" s="3037">
        <v>3</v>
      </c>
      <c r="I22" s="3035">
        <v>1.51</v>
      </c>
      <c r="J22" s="3035">
        <v>1.41</v>
      </c>
      <c r="K22" s="3035">
        <v>1.52</v>
      </c>
      <c r="L22" s="3085">
        <v>1.74</v>
      </c>
      <c r="M22" s="1640"/>
      <c r="N22" s="1651">
        <f t="shared" si="145"/>
        <v>1.5100000000000001E-2</v>
      </c>
      <c r="O22" s="1641">
        <f t="shared" ref="O22" si="199">J22/100</f>
        <v>1.41E-2</v>
      </c>
      <c r="P22" s="1641">
        <f t="shared" ref="P22" si="200">K22/100</f>
        <v>1.52E-2</v>
      </c>
      <c r="Q22" s="1641">
        <f t="shared" ref="Q22" si="201">L22/100</f>
        <v>1.7399999999999999E-2</v>
      </c>
      <c r="R22" s="1652"/>
      <c r="S22" s="1651"/>
      <c r="T22" s="1641"/>
      <c r="U22" s="1641"/>
      <c r="V22" s="1641"/>
      <c r="W22" s="1640"/>
      <c r="X22" s="3054">
        <f>ROUND(SUMPRODUCT(PRODUCT(1+N22:N$39)),4)</f>
        <v>1.4956</v>
      </c>
      <c r="Y22" s="3054">
        <f>ROUND(SUMPRODUCT(PRODUCT(1+O22:O$39)),4)</f>
        <v>1.3237000000000001</v>
      </c>
      <c r="Z22" s="3054">
        <f t="shared" ref="Z22" si="202">Y22</f>
        <v>1.3237000000000001</v>
      </c>
      <c r="AA22" s="3054">
        <f>ROUND(SUMPRODUCT(PRODUCT(1+P22:P$39)),4)</f>
        <v>1.554</v>
      </c>
      <c r="AB22" s="3054">
        <f>ROUND(SUMPRODUCT(PRODUCT(1+Q22:Q$39)),4)</f>
        <v>1.3087</v>
      </c>
      <c r="AC22" s="1640"/>
      <c r="AD22" s="1641">
        <f>ROUND(AVERAGE(I22:I$40)/100,4)</f>
        <v>2.3099999999999999E-2</v>
      </c>
      <c r="AE22" s="1641">
        <f>ROUND(AVERAGE(J22:J$40)/100,4)</f>
        <v>1.61E-2</v>
      </c>
      <c r="AF22" s="1641">
        <f t="shared" ref="AF22" si="203">AE22</f>
        <v>1.61E-2</v>
      </c>
      <c r="AG22" s="1641">
        <f>ROUND(AVERAGE(K22:K$40)/100,4)</f>
        <v>2.53E-2</v>
      </c>
      <c r="AH22" s="1641">
        <f>ROUND(AVERAGE(L22:L$40)/100,4)</f>
        <v>1.4999999999999999E-2</v>
      </c>
    </row>
    <row r="23" spans="1:34" s="1653" customFormat="1" ht="14.45" customHeight="1">
      <c r="A23" s="1649" t="s">
        <v>2029</v>
      </c>
      <c r="B23" s="1650">
        <f t="shared" ref="B23" si="204">B24*(1+N23)</f>
        <v>453.11529869999993</v>
      </c>
      <c r="C23" s="1650">
        <f t="shared" ref="C23" si="205">C24*(1+O23)</f>
        <v>336.47787264000004</v>
      </c>
      <c r="D23" s="1650">
        <f t="shared" ref="D23" si="206">C23</f>
        <v>336.47787264000004</v>
      </c>
      <c r="E23" s="1650">
        <f t="shared" ref="E23" si="207">E24*(1+P23)</f>
        <v>647.35186823999993</v>
      </c>
      <c r="F23" s="1650">
        <f t="shared" ref="F23" si="208">F24*(1+Q23)</f>
        <v>295.73229452000004</v>
      </c>
      <c r="G23" s="4762"/>
      <c r="H23" s="3073">
        <v>2</v>
      </c>
      <c r="I23" s="3063">
        <v>1.49</v>
      </c>
      <c r="J23" s="3063">
        <v>0.96</v>
      </c>
      <c r="K23" s="3063">
        <v>1.58</v>
      </c>
      <c r="L23" s="3087">
        <v>2.44</v>
      </c>
      <c r="M23" s="1640"/>
      <c r="N23" s="1651">
        <f t="shared" ref="N23" si="209">I23/100</f>
        <v>1.49E-2</v>
      </c>
      <c r="O23" s="1641">
        <f t="shared" ref="O23" si="210">J23/100</f>
        <v>9.5999999999999992E-3</v>
      </c>
      <c r="P23" s="1641">
        <f t="shared" ref="P23" si="211">K23/100</f>
        <v>1.5800000000000002E-2</v>
      </c>
      <c r="Q23" s="1641">
        <f t="shared" ref="Q23" si="212">L23/100</f>
        <v>2.4399999999999998E-2</v>
      </c>
      <c r="R23" s="1652"/>
      <c r="S23" s="1651"/>
      <c r="T23" s="1641"/>
      <c r="U23" s="1641"/>
      <c r="V23" s="1641"/>
      <c r="W23" s="1640"/>
      <c r="X23" s="3054">
        <f>ROUND(SUMPRODUCT(PRODUCT(1+N23:N$39)),4)</f>
        <v>1.4733000000000001</v>
      </c>
      <c r="Y23" s="3054">
        <f>ROUND(SUMPRODUCT(PRODUCT(1+O23:O$39)),4)</f>
        <v>1.3052999999999999</v>
      </c>
      <c r="Z23" s="3054">
        <f t="shared" ref="Z23" si="213">Y23</f>
        <v>1.3052999999999999</v>
      </c>
      <c r="AA23" s="3054">
        <f>ROUND(SUMPRODUCT(PRODUCT(1+P23:P$39)),4)</f>
        <v>1.5306999999999999</v>
      </c>
      <c r="AB23" s="3054">
        <f>ROUND(SUMPRODUCT(PRODUCT(1+Q23:Q$39)),4)</f>
        <v>1.2863</v>
      </c>
      <c r="AC23" s="1640"/>
      <c r="AD23" s="1641">
        <f>ROUND(AVERAGE(I23:I$40)/100,4)</f>
        <v>2.35E-2</v>
      </c>
      <c r="AE23" s="1641">
        <f>ROUND(AVERAGE(J23:J$40)/100,4)</f>
        <v>1.6199999999999999E-2</v>
      </c>
      <c r="AF23" s="1641">
        <f t="shared" ref="AF23" si="214">AE23</f>
        <v>1.6199999999999999E-2</v>
      </c>
      <c r="AG23" s="1641">
        <f>ROUND(AVERAGE(K23:K$40)/100,4)</f>
        <v>2.5899999999999999E-2</v>
      </c>
      <c r="AH23" s="1641">
        <f>ROUND(AVERAGE(L23:L$40)/100,4)</f>
        <v>1.49E-2</v>
      </c>
    </row>
    <row r="24" spans="1:34" s="1653" customFormat="1" ht="15" customHeight="1" thickBot="1">
      <c r="A24" s="1649" t="s">
        <v>2022</v>
      </c>
      <c r="B24" s="1650">
        <f t="shared" ref="B24" si="215">B25*(1+N24)</f>
        <v>446.46299999999997</v>
      </c>
      <c r="C24" s="1650">
        <f t="shared" ref="C24" si="216">C25*(1+O24)</f>
        <v>333.27840000000003</v>
      </c>
      <c r="D24" s="1650">
        <f t="shared" ref="D24" si="217">C24</f>
        <v>333.27840000000003</v>
      </c>
      <c r="E24" s="1650">
        <f t="shared" ref="E24" si="218">E25*(1+P24)</f>
        <v>637.28279999999995</v>
      </c>
      <c r="F24" s="1650">
        <f t="shared" ref="F24" si="219">F25*(1+Q24)</f>
        <v>288.68830000000003</v>
      </c>
      <c r="G24" s="4769"/>
      <c r="H24" s="3037">
        <v>1</v>
      </c>
      <c r="I24" s="3035">
        <v>1.7</v>
      </c>
      <c r="J24" s="3035">
        <v>1.92</v>
      </c>
      <c r="K24" s="3035">
        <v>1.64</v>
      </c>
      <c r="L24" s="3085">
        <v>2.0099999999999998</v>
      </c>
      <c r="M24" s="1640"/>
      <c r="N24" s="1651">
        <f t="shared" ref="N24:N29" si="220">I24/100</f>
        <v>1.7000000000000001E-2</v>
      </c>
      <c r="O24" s="1641">
        <f t="shared" ref="O24" si="221">J24/100</f>
        <v>1.9199999999999998E-2</v>
      </c>
      <c r="P24" s="1641">
        <f t="shared" ref="P24" si="222">K24/100</f>
        <v>1.6399999999999998E-2</v>
      </c>
      <c r="Q24" s="1641">
        <f t="shared" ref="Q24" si="223">L24/100</f>
        <v>2.0099999999999996E-2</v>
      </c>
      <c r="R24" s="1652"/>
      <c r="S24" s="1651">
        <f>B24/B25-1</f>
        <v>1.6999999999999904E-2</v>
      </c>
      <c r="T24" s="1641">
        <f t="shared" ref="T24" si="224">C24/C25-1</f>
        <v>1.9200000000000106E-2</v>
      </c>
      <c r="U24" s="1641">
        <f t="shared" ref="U24" si="225">D24/D25-1</f>
        <v>1.9200000000000106E-2</v>
      </c>
      <c r="V24" s="1641">
        <f t="shared" ref="V24" si="226">E24/E25-1</f>
        <v>1.639999999999997E-2</v>
      </c>
      <c r="W24" s="1640"/>
      <c r="X24" s="3054">
        <f>ROUND(SUMPRODUCT(PRODUCT(1+N24:N$39)),4)</f>
        <v>1.4517</v>
      </c>
      <c r="Y24" s="3054">
        <f>ROUND(SUMPRODUCT(PRODUCT(1+O24:O$39)),4)</f>
        <v>1.2928999999999999</v>
      </c>
      <c r="Z24" s="3054">
        <f t="shared" ref="Z24" si="227">Y24</f>
        <v>1.2928999999999999</v>
      </c>
      <c r="AA24" s="3054">
        <f>ROUND(SUMPRODUCT(PRODUCT(1+P24:P$39)),4)</f>
        <v>1.5068999999999999</v>
      </c>
      <c r="AB24" s="3054">
        <f>ROUND(SUMPRODUCT(PRODUCT(1+Q24:Q$39)),4)</f>
        <v>1.2557</v>
      </c>
      <c r="AC24" s="1640"/>
      <c r="AD24" s="1641">
        <f>ROUND(AVERAGE(I24:I$40)/100,4)</f>
        <v>2.4E-2</v>
      </c>
      <c r="AE24" s="1641">
        <f>ROUND(AVERAGE(J24:J$40)/100,4)</f>
        <v>1.66E-2</v>
      </c>
      <c r="AF24" s="1641">
        <f t="shared" ref="AF24" si="228">AE24</f>
        <v>1.66E-2</v>
      </c>
      <c r="AG24" s="1641">
        <f>ROUND(AVERAGE(K24:K$40)/100,4)</f>
        <v>2.6499999999999999E-2</v>
      </c>
      <c r="AH24" s="1641">
        <f>ROUND(AVERAGE(L24:L$40)/100,4)</f>
        <v>1.43E-2</v>
      </c>
    </row>
    <row r="25" spans="1:34">
      <c r="A25" s="1649" t="s">
        <v>2020</v>
      </c>
      <c r="B25" s="1654">
        <v>439</v>
      </c>
      <c r="C25" s="1654">
        <v>327</v>
      </c>
      <c r="D25" s="1654">
        <f>C25</f>
        <v>327</v>
      </c>
      <c r="E25" s="1654">
        <v>627</v>
      </c>
      <c r="F25" s="1655">
        <v>283</v>
      </c>
      <c r="G25" s="4765">
        <v>2017</v>
      </c>
      <c r="H25" s="3072">
        <v>4</v>
      </c>
      <c r="I25" s="3062">
        <v>1.71</v>
      </c>
      <c r="J25" s="3062">
        <v>1.78</v>
      </c>
      <c r="K25" s="3062">
        <v>1.71</v>
      </c>
      <c r="L25" s="3086">
        <v>1.43</v>
      </c>
      <c r="N25" s="1651">
        <f t="shared" si="220"/>
        <v>1.7100000000000001E-2</v>
      </c>
      <c r="O25" s="1641">
        <f t="shared" ref="O25" si="229">J25/100</f>
        <v>1.78E-2</v>
      </c>
      <c r="P25" s="1641">
        <f t="shared" ref="P25" si="230">K25/100</f>
        <v>1.7100000000000001E-2</v>
      </c>
      <c r="Q25" s="1641">
        <f t="shared" ref="Q25" si="231">L25/100</f>
        <v>1.43E-2</v>
      </c>
      <c r="R25" s="1652"/>
      <c r="S25" s="1656"/>
      <c r="T25" s="1657"/>
      <c r="U25" s="1657"/>
      <c r="V25" s="1657"/>
      <c r="X25" s="3054">
        <f>ROUND(SUMPRODUCT(PRODUCT(1+N25:N$39)),4)</f>
        <v>1.4274</v>
      </c>
      <c r="Y25" s="3054">
        <f>ROUND(SUMPRODUCT(PRODUCT(1+O25:O$39)),4)</f>
        <v>1.2685</v>
      </c>
      <c r="Z25" s="3054">
        <f t="shared" si="0"/>
        <v>1.2685</v>
      </c>
      <c r="AA25" s="3054">
        <f>ROUND(SUMPRODUCT(PRODUCT(1+P25:P$39)),4)</f>
        <v>1.4825999999999999</v>
      </c>
      <c r="AB25" s="3054">
        <f>ROUND(SUMPRODUCT(PRODUCT(1+Q25:Q$39)),4)</f>
        <v>1.2309000000000001</v>
      </c>
      <c r="AD25" s="1641">
        <f>ROUND(AVERAGE(I25:I$40)/100,4)</f>
        <v>2.4500000000000001E-2</v>
      </c>
      <c r="AE25" s="1641">
        <f>ROUND(AVERAGE(J25:J$40)/100,4)</f>
        <v>1.6500000000000001E-2</v>
      </c>
      <c r="AF25" s="1641">
        <f t="shared" si="1"/>
        <v>1.6500000000000001E-2</v>
      </c>
      <c r="AG25" s="1641">
        <f>ROUND(AVERAGE(K25:K$40)/100,4)</f>
        <v>2.7099999999999999E-2</v>
      </c>
      <c r="AH25" s="1641">
        <f>ROUND(AVERAGE(L25:L$40)/100,4)</f>
        <v>1.3899999999999999E-2</v>
      </c>
    </row>
    <row r="26" spans="1:34" s="1653" customFormat="1" ht="14.45" customHeight="1">
      <c r="A26" s="1649" t="s">
        <v>2021</v>
      </c>
      <c r="B26" s="1650">
        <f t="shared" ref="B26:B27" si="232">B27*(1+N26)</f>
        <v>431.80730811680002</v>
      </c>
      <c r="C26" s="1650">
        <f t="shared" ref="C26:C27" si="233">C27*(1+O26)</f>
        <v>320.57880516480003</v>
      </c>
      <c r="D26" s="1650">
        <f t="shared" ref="D26:D27" si="234">C26</f>
        <v>320.57880516480003</v>
      </c>
      <c r="E26" s="1650">
        <f t="shared" ref="E26:E27" si="235">E27*(1+P26)</f>
        <v>615.96110553196797</v>
      </c>
      <c r="F26" s="1650">
        <f t="shared" ref="F26:F27" si="236">F27*(1+Q26)</f>
        <v>279.46777300108801</v>
      </c>
      <c r="G26" s="4762"/>
      <c r="H26" s="3037">
        <v>3</v>
      </c>
      <c r="I26" s="3035">
        <v>2.98</v>
      </c>
      <c r="J26" s="3035">
        <v>2.11</v>
      </c>
      <c r="K26" s="3035">
        <v>3.24</v>
      </c>
      <c r="L26" s="3085">
        <v>1.72</v>
      </c>
      <c r="M26" s="1640"/>
      <c r="N26" s="1651">
        <f t="shared" si="220"/>
        <v>2.98E-2</v>
      </c>
      <c r="O26" s="1641">
        <f t="shared" ref="O26" si="237">J26/100</f>
        <v>2.1099999999999997E-2</v>
      </c>
      <c r="P26" s="1641">
        <f t="shared" ref="P26" si="238">K26/100</f>
        <v>3.2400000000000005E-2</v>
      </c>
      <c r="Q26" s="1641">
        <f t="shared" ref="Q26" si="239">L26/100</f>
        <v>1.72E-2</v>
      </c>
      <c r="R26" s="1652"/>
      <c r="S26" s="1651"/>
      <c r="T26" s="1641"/>
      <c r="U26" s="1641"/>
      <c r="V26" s="1641"/>
      <c r="W26" s="1640"/>
      <c r="X26" s="3054">
        <f>ROUND(SUMPRODUCT(PRODUCT(1+N26:N$39)),4)</f>
        <v>1.4034</v>
      </c>
      <c r="Y26" s="3054">
        <f>ROUND(SUMPRODUCT(PRODUCT(1+O26:O$39)),4)</f>
        <v>1.2463</v>
      </c>
      <c r="Z26" s="3054">
        <f t="shared" si="0"/>
        <v>1.2463</v>
      </c>
      <c r="AA26" s="3054">
        <f>ROUND(SUMPRODUCT(PRODUCT(1+P26:P$39)),4)</f>
        <v>1.4577</v>
      </c>
      <c r="AB26" s="3054">
        <f>ROUND(SUMPRODUCT(PRODUCT(1+Q26:Q$39)),4)</f>
        <v>1.2136</v>
      </c>
      <c r="AC26" s="1640"/>
      <c r="AD26" s="1641">
        <f>ROUND(AVERAGE(I26:I$40)/100,4)</f>
        <v>2.4899999999999999E-2</v>
      </c>
      <c r="AE26" s="1641">
        <f>ROUND(AVERAGE(J26:J$40)/100,4)</f>
        <v>1.6400000000000001E-2</v>
      </c>
      <c r="AF26" s="1641">
        <f t="shared" si="1"/>
        <v>1.6400000000000001E-2</v>
      </c>
      <c r="AG26" s="1641">
        <f>ROUND(AVERAGE(K26:K$40)/100,4)</f>
        <v>2.7799999999999998E-2</v>
      </c>
      <c r="AH26" s="1641">
        <f>ROUND(AVERAGE(L26:L$40)/100,4)</f>
        <v>1.3899999999999999E-2</v>
      </c>
    </row>
    <row r="27" spans="1:34" s="1644" customFormat="1" ht="14.45" customHeight="1">
      <c r="A27" s="1649" t="s">
        <v>664</v>
      </c>
      <c r="B27" s="1650">
        <f t="shared" si="232"/>
        <v>419.31181600000002</v>
      </c>
      <c r="C27" s="1650">
        <f t="shared" si="233"/>
        <v>313.95436800000004</v>
      </c>
      <c r="D27" s="1650">
        <f t="shared" si="234"/>
        <v>313.95436800000004</v>
      </c>
      <c r="E27" s="1650">
        <f t="shared" si="235"/>
        <v>596.63028431999999</v>
      </c>
      <c r="F27" s="1650">
        <f t="shared" si="236"/>
        <v>274.74220703999998</v>
      </c>
      <c r="G27" s="4762"/>
      <c r="H27" s="3073">
        <v>2</v>
      </c>
      <c r="I27" s="3063">
        <v>3.4</v>
      </c>
      <c r="J27" s="3063">
        <v>2</v>
      </c>
      <c r="K27" s="3063">
        <v>3.82</v>
      </c>
      <c r="L27" s="3087">
        <v>1.68</v>
      </c>
      <c r="M27" s="1640"/>
      <c r="N27" s="1651">
        <f t="shared" si="220"/>
        <v>3.4000000000000002E-2</v>
      </c>
      <c r="O27" s="1641">
        <f t="shared" ref="O27" si="240">J27/100</f>
        <v>0.02</v>
      </c>
      <c r="P27" s="1641">
        <f t="shared" ref="P27" si="241">K27/100</f>
        <v>3.8199999999999998E-2</v>
      </c>
      <c r="Q27" s="1641">
        <f t="shared" ref="Q27" si="242">L27/100</f>
        <v>1.6799999999999999E-2</v>
      </c>
      <c r="R27" s="1652"/>
      <c r="S27" s="1656"/>
      <c r="T27" s="1657"/>
      <c r="U27" s="1657"/>
      <c r="V27" s="1657"/>
      <c r="W27" s="1624"/>
      <c r="X27" s="3054">
        <f>ROUND(SUMPRODUCT(PRODUCT(1+N27:N$39)),4)</f>
        <v>1.3628</v>
      </c>
      <c r="Y27" s="3054">
        <f>ROUND(SUMPRODUCT(PRODUCT(1+O27:O$39)),4)</f>
        <v>1.2205999999999999</v>
      </c>
      <c r="Z27" s="3054">
        <f t="shared" si="0"/>
        <v>1.2205999999999999</v>
      </c>
      <c r="AA27" s="3054">
        <f>ROUND(SUMPRODUCT(PRODUCT(1+P27:P$39)),4)</f>
        <v>1.4118999999999999</v>
      </c>
      <c r="AB27" s="3054">
        <f>ROUND(SUMPRODUCT(PRODUCT(1+Q27:Q$39)),4)</f>
        <v>1.1930000000000001</v>
      </c>
      <c r="AC27" s="1624"/>
      <c r="AD27" s="1641">
        <f>ROUND(AVERAGE(I27:I$40)/100,4)</f>
        <v>2.46E-2</v>
      </c>
      <c r="AE27" s="1641">
        <f>ROUND(AVERAGE(J27:J$40)/100,4)</f>
        <v>1.6E-2</v>
      </c>
      <c r="AF27" s="1641">
        <f t="shared" si="1"/>
        <v>1.6E-2</v>
      </c>
      <c r="AG27" s="1641">
        <f>ROUND(AVERAGE(K27:K$40)/100,4)</f>
        <v>2.75E-2</v>
      </c>
      <c r="AH27" s="1641">
        <f>ROUND(AVERAGE(L27:L$40)/100,4)</f>
        <v>1.37E-2</v>
      </c>
    </row>
    <row r="28" spans="1:34" s="1653" customFormat="1" ht="15" customHeight="1" thickBot="1">
      <c r="A28" s="1649" t="s">
        <v>457</v>
      </c>
      <c r="B28" s="1650">
        <f>B29*(1+N28)</f>
        <v>405.524</v>
      </c>
      <c r="C28" s="1650">
        <f>C29*(1+O28)</f>
        <v>307.79840000000002</v>
      </c>
      <c r="D28" s="1650">
        <f>C28</f>
        <v>307.79840000000002</v>
      </c>
      <c r="E28" s="1650">
        <f>E29*(1+P28)</f>
        <v>574.67759999999998</v>
      </c>
      <c r="F28" s="1650">
        <f>F29*(1+Q28)</f>
        <v>270.20280000000002</v>
      </c>
      <c r="G28" s="4769"/>
      <c r="H28" s="3037">
        <v>1</v>
      </c>
      <c r="I28" s="3035">
        <v>3.45</v>
      </c>
      <c r="J28" s="3035">
        <v>1.92</v>
      </c>
      <c r="K28" s="3035">
        <v>3.92</v>
      </c>
      <c r="L28" s="3085">
        <v>1.58</v>
      </c>
      <c r="M28" s="1640"/>
      <c r="N28" s="1651">
        <f t="shared" si="220"/>
        <v>3.4500000000000003E-2</v>
      </c>
      <c r="O28" s="1641">
        <f t="shared" ref="O28:Q43" si="243">J28/100</f>
        <v>1.9199999999999998E-2</v>
      </c>
      <c r="P28" s="1641">
        <f t="shared" si="243"/>
        <v>3.9199999999999999E-2</v>
      </c>
      <c r="Q28" s="1641">
        <f t="shared" si="243"/>
        <v>1.5800000000000002E-2</v>
      </c>
      <c r="R28" s="1652"/>
      <c r="S28" s="1651">
        <f>B28/B29-1</f>
        <v>3.4499999999999975E-2</v>
      </c>
      <c r="T28" s="1641">
        <f t="shared" ref="T28:V28" si="244">C28/C29-1</f>
        <v>1.9200000000000106E-2</v>
      </c>
      <c r="U28" s="1641">
        <f t="shared" si="244"/>
        <v>1.9200000000000106E-2</v>
      </c>
      <c r="V28" s="1641">
        <f t="shared" si="244"/>
        <v>3.9199999999999902E-2</v>
      </c>
      <c r="W28" s="1640"/>
      <c r="X28" s="3054">
        <f>ROUND(SUMPRODUCT(PRODUCT(1+N28:N$39)),4)</f>
        <v>1.3180000000000001</v>
      </c>
      <c r="Y28" s="3054">
        <f>ROUND(SUMPRODUCT(PRODUCT(1+O28:O$39)),4)</f>
        <v>1.1966000000000001</v>
      </c>
      <c r="Z28" s="3054">
        <f t="shared" si="0"/>
        <v>1.1966000000000001</v>
      </c>
      <c r="AA28" s="3054">
        <f>ROUND(SUMPRODUCT(PRODUCT(1+P28:P$39)),4)</f>
        <v>1.36</v>
      </c>
      <c r="AB28" s="3054">
        <f>ROUND(SUMPRODUCT(PRODUCT(1+Q28:Q$39)),4)</f>
        <v>1.1733</v>
      </c>
      <c r="AC28" s="1640"/>
      <c r="AD28" s="1641">
        <f>ROUND(AVERAGE(I28:I$40)/100,4)</f>
        <v>2.3900000000000001E-2</v>
      </c>
      <c r="AE28" s="1641">
        <f>ROUND(AVERAGE(J28:J$40)/100,4)</f>
        <v>1.5699999999999999E-2</v>
      </c>
      <c r="AF28" s="1641">
        <f t="shared" si="1"/>
        <v>1.5699999999999999E-2</v>
      </c>
      <c r="AG28" s="1641">
        <f>ROUND(AVERAGE(K28:K$40)/100,4)</f>
        <v>2.6599999999999999E-2</v>
      </c>
      <c r="AH28" s="1641">
        <f>ROUND(AVERAGE(L28:L$40)/100,4)</f>
        <v>1.34E-2</v>
      </c>
    </row>
    <row r="29" spans="1:34">
      <c r="A29" s="1649" t="s">
        <v>125</v>
      </c>
      <c r="B29" s="1654">
        <v>392</v>
      </c>
      <c r="C29" s="1654">
        <v>302</v>
      </c>
      <c r="D29" s="1654">
        <f>C29</f>
        <v>302</v>
      </c>
      <c r="E29" s="1654">
        <v>553</v>
      </c>
      <c r="F29" s="1655">
        <v>266</v>
      </c>
      <c r="G29" s="4765">
        <v>2016</v>
      </c>
      <c r="H29" s="3072">
        <v>4</v>
      </c>
      <c r="I29" s="3062">
        <v>4.5599999999999996</v>
      </c>
      <c r="J29" s="3062">
        <v>2.15</v>
      </c>
      <c r="K29" s="3062">
        <v>5.32</v>
      </c>
      <c r="L29" s="3086">
        <v>1.57</v>
      </c>
      <c r="N29" s="1651">
        <f t="shared" si="220"/>
        <v>4.5599999999999995E-2</v>
      </c>
      <c r="O29" s="1641">
        <f t="shared" si="243"/>
        <v>2.1499999999999998E-2</v>
      </c>
      <c r="P29" s="1641">
        <f t="shared" si="243"/>
        <v>5.3200000000000004E-2</v>
      </c>
      <c r="Q29" s="1641">
        <f t="shared" si="243"/>
        <v>1.5700000000000002E-2</v>
      </c>
      <c r="R29" s="1652"/>
      <c r="S29" s="1656"/>
      <c r="T29" s="1657"/>
      <c r="U29" s="1657"/>
      <c r="V29" s="1657"/>
      <c r="X29" s="3054">
        <f>ROUND(SUMPRODUCT(PRODUCT(1+N29:N$39)),4)</f>
        <v>1.274</v>
      </c>
      <c r="Y29" s="3054">
        <f>ROUND(SUMPRODUCT(PRODUCT(1+O29:O$39)),4)</f>
        <v>1.1740999999999999</v>
      </c>
      <c r="Z29" s="3054">
        <f t="shared" si="0"/>
        <v>1.1740999999999999</v>
      </c>
      <c r="AA29" s="3054">
        <f>ROUND(SUMPRODUCT(PRODUCT(1+P29:P$39)),4)</f>
        <v>1.3087</v>
      </c>
      <c r="AB29" s="3054">
        <f>ROUND(SUMPRODUCT(PRODUCT(1+Q29:Q$39)),4)</f>
        <v>1.1551</v>
      </c>
      <c r="AD29" s="1641">
        <f>ROUND(AVERAGE(I29:I$40)/100,4)</f>
        <v>2.3E-2</v>
      </c>
      <c r="AE29" s="1641">
        <f>ROUND(AVERAGE(J29:J$40)/100,4)</f>
        <v>1.55E-2</v>
      </c>
      <c r="AF29" s="1641">
        <f t="shared" si="1"/>
        <v>1.55E-2</v>
      </c>
      <c r="AG29" s="1641">
        <f>ROUND(AVERAGE(K29:K$40)/100,4)</f>
        <v>2.5600000000000001E-2</v>
      </c>
      <c r="AH29" s="1641">
        <f>ROUND(AVERAGE(L29:L$40)/100,4)</f>
        <v>1.32E-2</v>
      </c>
    </row>
    <row r="30" spans="1:34">
      <c r="A30" s="1649" t="s">
        <v>124</v>
      </c>
      <c r="B30" s="1650">
        <f t="shared" ref="B30:C32" si="245">B29/(1+N29)</f>
        <v>374.90436113236416</v>
      </c>
      <c r="C30" s="1650">
        <f t="shared" si="245"/>
        <v>295.64366128242779</v>
      </c>
      <c r="D30" s="1650">
        <f t="shared" ref="D30:D89" si="246">C30</f>
        <v>295.64366128242779</v>
      </c>
      <c r="E30" s="1650">
        <f t="shared" ref="E30:F32" si="247">E29/(1+P29)</f>
        <v>525.06646410938095</v>
      </c>
      <c r="F30" s="1650">
        <f t="shared" si="247"/>
        <v>261.88835286009646</v>
      </c>
      <c r="G30" s="4762"/>
      <c r="H30" s="3037">
        <v>3</v>
      </c>
      <c r="I30" s="3035">
        <v>4.12</v>
      </c>
      <c r="J30" s="3035">
        <v>2</v>
      </c>
      <c r="K30" s="3035">
        <v>4.79</v>
      </c>
      <c r="L30" s="3085">
        <v>1.97</v>
      </c>
      <c r="N30" s="1651">
        <f t="shared" ref="N30:Q64" si="248">I30/100</f>
        <v>4.1200000000000001E-2</v>
      </c>
      <c r="O30" s="1641">
        <f t="shared" si="243"/>
        <v>0.02</v>
      </c>
      <c r="P30" s="1641">
        <f t="shared" si="243"/>
        <v>4.7899999999999998E-2</v>
      </c>
      <c r="Q30" s="1641">
        <f t="shared" si="243"/>
        <v>1.9699999999999999E-2</v>
      </c>
      <c r="R30" s="1652"/>
      <c r="S30" s="1651"/>
      <c r="T30" s="1641"/>
      <c r="U30" s="1641"/>
      <c r="V30" s="1641"/>
      <c r="X30" s="3054">
        <f>ROUND(SUMPRODUCT(PRODUCT(1+N30:N$39)),4)</f>
        <v>1.2184999999999999</v>
      </c>
      <c r="Y30" s="3054">
        <f>ROUND(SUMPRODUCT(PRODUCT(1+O30:O$39)),4)</f>
        <v>1.1494</v>
      </c>
      <c r="Z30" s="3054">
        <f t="shared" si="0"/>
        <v>1.1494</v>
      </c>
      <c r="AA30" s="3054">
        <f>ROUND(SUMPRODUCT(PRODUCT(1+P30:P$39)),4)</f>
        <v>1.2425999999999999</v>
      </c>
      <c r="AB30" s="3054">
        <f>ROUND(SUMPRODUCT(PRODUCT(1+Q30:Q$39)),4)</f>
        <v>1.1372</v>
      </c>
      <c r="AD30" s="1641">
        <f>ROUND(AVERAGE(I30:I$40)/100,4)</f>
        <v>2.0899999999999998E-2</v>
      </c>
      <c r="AE30" s="1641">
        <f>ROUND(AVERAGE(J30:J$40)/100,4)</f>
        <v>1.49E-2</v>
      </c>
      <c r="AF30" s="1641">
        <f t="shared" si="1"/>
        <v>1.49E-2</v>
      </c>
      <c r="AG30" s="1641">
        <f>ROUND(AVERAGE(K30:K$40)/100,4)</f>
        <v>2.3099999999999999E-2</v>
      </c>
      <c r="AH30" s="1641">
        <f>ROUND(AVERAGE(L30:L$40)/100,4)</f>
        <v>1.2999999999999999E-2</v>
      </c>
    </row>
    <row r="31" spans="1:34">
      <c r="A31" s="1649" t="s">
        <v>114</v>
      </c>
      <c r="B31" s="1650">
        <f t="shared" si="245"/>
        <v>360.06949782209392</v>
      </c>
      <c r="C31" s="1650">
        <f t="shared" si="245"/>
        <v>289.84672674747821</v>
      </c>
      <c r="D31" s="1650">
        <f t="shared" si="246"/>
        <v>289.84672674747821</v>
      </c>
      <c r="E31" s="1650">
        <f t="shared" si="247"/>
        <v>501.06543001181495</v>
      </c>
      <c r="F31" s="1650">
        <f t="shared" si="247"/>
        <v>256.82882500744967</v>
      </c>
      <c r="G31" s="4762"/>
      <c r="H31" s="3073">
        <v>2</v>
      </c>
      <c r="I31" s="3063">
        <v>3.85</v>
      </c>
      <c r="J31" s="3063">
        <v>1.95</v>
      </c>
      <c r="K31" s="3063">
        <v>4.4800000000000004</v>
      </c>
      <c r="L31" s="3087">
        <v>1.41</v>
      </c>
      <c r="N31" s="1651">
        <f t="shared" si="248"/>
        <v>3.85E-2</v>
      </c>
      <c r="O31" s="1641">
        <f t="shared" si="243"/>
        <v>1.95E-2</v>
      </c>
      <c r="P31" s="1641">
        <f t="shared" si="243"/>
        <v>4.4800000000000006E-2</v>
      </c>
      <c r="Q31" s="1641">
        <f t="shared" si="243"/>
        <v>1.41E-2</v>
      </c>
      <c r="R31" s="1652"/>
      <c r="S31" s="1651"/>
      <c r="T31" s="1641"/>
      <c r="U31" s="1641"/>
      <c r="V31" s="1641"/>
      <c r="X31" s="3054">
        <f>ROUND(SUMPRODUCT(PRODUCT(1+N31:N$39)),4)</f>
        <v>1.1702999999999999</v>
      </c>
      <c r="Y31" s="3054">
        <f>ROUND(SUMPRODUCT(PRODUCT(1+O31:O$39)),4)</f>
        <v>1.1269</v>
      </c>
      <c r="Z31" s="3054">
        <f t="shared" si="0"/>
        <v>1.1269</v>
      </c>
      <c r="AA31" s="3054">
        <f>ROUND(SUMPRODUCT(PRODUCT(1+P31:P$39)),4)</f>
        <v>1.1858</v>
      </c>
      <c r="AB31" s="3054">
        <f>ROUND(SUMPRODUCT(PRODUCT(1+Q31:Q$39)),4)</f>
        <v>1.1152</v>
      </c>
      <c r="AD31" s="1641">
        <f>ROUND(AVERAGE(I31:I$40)/100,4)</f>
        <v>1.89E-2</v>
      </c>
      <c r="AE31" s="1641">
        <f>ROUND(AVERAGE(J31:J$40)/100,4)</f>
        <v>1.44E-2</v>
      </c>
      <c r="AF31" s="1641">
        <f t="shared" si="1"/>
        <v>1.44E-2</v>
      </c>
      <c r="AG31" s="1641">
        <f>ROUND(AVERAGE(K31:K$40)/100,4)</f>
        <v>2.06E-2</v>
      </c>
      <c r="AH31" s="1641">
        <f>ROUND(AVERAGE(L31:L$40)/100,4)</f>
        <v>1.23E-2</v>
      </c>
    </row>
    <row r="32" spans="1:34" ht="13.5" thickBot="1">
      <c r="A32" s="1649" t="s">
        <v>123</v>
      </c>
      <c r="B32" s="1650">
        <f t="shared" si="245"/>
        <v>346.720748986128</v>
      </c>
      <c r="C32" s="1650">
        <f t="shared" si="245"/>
        <v>284.30282172386285</v>
      </c>
      <c r="D32" s="1650">
        <f t="shared" si="246"/>
        <v>284.30282172386285</v>
      </c>
      <c r="E32" s="1650">
        <f t="shared" si="247"/>
        <v>479.58023546306947</v>
      </c>
      <c r="F32" s="1650">
        <f t="shared" si="247"/>
        <v>253.25788877571213</v>
      </c>
      <c r="G32" s="4763"/>
      <c r="H32" s="3037">
        <v>1</v>
      </c>
      <c r="I32" s="3035">
        <v>4.09</v>
      </c>
      <c r="J32" s="3035">
        <v>2.93</v>
      </c>
      <c r="K32" s="3035">
        <v>4.54</v>
      </c>
      <c r="L32" s="3085">
        <v>1.48</v>
      </c>
      <c r="N32" s="1651">
        <f t="shared" si="248"/>
        <v>4.0899999999999999E-2</v>
      </c>
      <c r="O32" s="1641">
        <f t="shared" si="243"/>
        <v>2.9300000000000003E-2</v>
      </c>
      <c r="P32" s="1641">
        <f t="shared" si="243"/>
        <v>4.5400000000000003E-2</v>
      </c>
      <c r="Q32" s="1641">
        <f t="shared" si="243"/>
        <v>1.4800000000000001E-2</v>
      </c>
      <c r="R32" s="1652"/>
      <c r="S32" s="1658">
        <f>B32/B33-1</f>
        <v>4.1203450408792808E-2</v>
      </c>
      <c r="T32" s="1659">
        <f>C32/C33-1</f>
        <v>2.6363977342465095E-2</v>
      </c>
      <c r="U32" s="1659">
        <f>E32/E33-1</f>
        <v>4.4837114298626357E-2</v>
      </c>
      <c r="V32" s="1659">
        <f>F32/F33-1</f>
        <v>1.7099954922538574E-2</v>
      </c>
      <c r="X32" s="3054">
        <f>ROUND(SUMPRODUCT(PRODUCT(1+N32:N$39)),4)</f>
        <v>1.1269</v>
      </c>
      <c r="Y32" s="3054">
        <f>ROUND(SUMPRODUCT(PRODUCT(1+O32:O$39)),4)</f>
        <v>1.1052999999999999</v>
      </c>
      <c r="Z32" s="3054">
        <f t="shared" si="0"/>
        <v>1.1052999999999999</v>
      </c>
      <c r="AA32" s="3054">
        <f>ROUND(SUMPRODUCT(PRODUCT(1+P32:P$39)),4)</f>
        <v>1.1349</v>
      </c>
      <c r="AB32" s="3054">
        <f>ROUND(SUMPRODUCT(PRODUCT(1+Q32:Q$39)),4)</f>
        <v>1.0996999999999999</v>
      </c>
      <c r="AD32" s="1641">
        <f>ROUND(AVERAGE(I32:I$40)/100,4)</f>
        <v>1.67E-2</v>
      </c>
      <c r="AE32" s="1641">
        <f>ROUND(AVERAGE(J32:J$40)/100,4)</f>
        <v>1.38E-2</v>
      </c>
      <c r="AF32" s="1641">
        <f t="shared" si="1"/>
        <v>1.38E-2</v>
      </c>
      <c r="AG32" s="1641">
        <f>ROUND(AVERAGE(K32:K$40)/100,4)</f>
        <v>1.7899999999999999E-2</v>
      </c>
      <c r="AH32" s="1641">
        <f>ROUND(AVERAGE(L32:L$40)/100,4)</f>
        <v>1.21E-2</v>
      </c>
    </row>
    <row r="33" spans="1:34" ht="13.5" thickBot="1">
      <c r="A33" s="1649" t="s">
        <v>122</v>
      </c>
      <c r="B33" s="1654">
        <v>333</v>
      </c>
      <c r="C33" s="1654">
        <v>277</v>
      </c>
      <c r="D33" s="1654">
        <f t="shared" si="246"/>
        <v>277</v>
      </c>
      <c r="E33" s="1654">
        <v>459</v>
      </c>
      <c r="F33" s="1655">
        <v>249</v>
      </c>
      <c r="G33" s="4761">
        <v>2015</v>
      </c>
      <c r="H33" s="3074">
        <v>4</v>
      </c>
      <c r="I33" s="3064">
        <v>1.63</v>
      </c>
      <c r="J33" s="3064">
        <v>1.1100000000000001</v>
      </c>
      <c r="K33" s="3064">
        <v>1.77</v>
      </c>
      <c r="L33" s="3088">
        <v>1.89</v>
      </c>
      <c r="N33" s="1660">
        <f t="shared" si="248"/>
        <v>1.6299999999999999E-2</v>
      </c>
      <c r="O33" s="1661">
        <f t="shared" si="243"/>
        <v>1.11E-2</v>
      </c>
      <c r="P33" s="1661">
        <f t="shared" si="243"/>
        <v>1.77E-2</v>
      </c>
      <c r="Q33" s="1661">
        <f t="shared" si="243"/>
        <v>1.89E-2</v>
      </c>
      <c r="R33" s="1652"/>
      <c r="X33" s="3054">
        <f>ROUND(SUMPRODUCT(PRODUCT(1+N33:N$39)),4)</f>
        <v>1.0826</v>
      </c>
      <c r="Y33" s="3054">
        <f>ROUND(SUMPRODUCT(PRODUCT(1+O33:O$39)),4)</f>
        <v>1.0738000000000001</v>
      </c>
      <c r="Z33" s="3054">
        <f t="shared" si="0"/>
        <v>1.0738000000000001</v>
      </c>
      <c r="AA33" s="3054">
        <f>ROUND(SUMPRODUCT(PRODUCT(1+P33:P$39)),4)</f>
        <v>1.0855999999999999</v>
      </c>
      <c r="AB33" s="3054">
        <f>ROUND(SUMPRODUCT(PRODUCT(1+Q33:Q$39)),4)</f>
        <v>1.0837000000000001</v>
      </c>
      <c r="AD33" s="1641">
        <f>ROUND(AVERAGE(I33:I$40)/100,4)</f>
        <v>1.37E-2</v>
      </c>
      <c r="AE33" s="1641">
        <f>ROUND(AVERAGE(J33:J$40)/100,4)</f>
        <v>1.1900000000000001E-2</v>
      </c>
      <c r="AF33" s="1641">
        <f t="shared" si="1"/>
        <v>1.1900000000000001E-2</v>
      </c>
      <c r="AG33" s="1641">
        <f>ROUND(AVERAGE(K33:K$40)/100,4)</f>
        <v>1.4500000000000001E-2</v>
      </c>
      <c r="AH33" s="1641">
        <f>ROUND(AVERAGE(L33:L$40)/100,4)</f>
        <v>1.18E-2</v>
      </c>
    </row>
    <row r="34" spans="1:34">
      <c r="A34" s="1649" t="s">
        <v>121</v>
      </c>
      <c r="B34" s="1650">
        <f t="shared" ref="B34:C36" si="249">B33/(1+N33)</f>
        <v>327.65915576109415</v>
      </c>
      <c r="C34" s="1650">
        <f t="shared" si="249"/>
        <v>273.95905449510434</v>
      </c>
      <c r="D34" s="1650">
        <f t="shared" si="246"/>
        <v>273.95905449510434</v>
      </c>
      <c r="E34" s="1650">
        <f t="shared" ref="E34:F36" si="250">E33/(1+P33)</f>
        <v>451.01699911565294</v>
      </c>
      <c r="F34" s="1650">
        <f t="shared" si="250"/>
        <v>244.38119540681129</v>
      </c>
      <c r="G34" s="4762"/>
      <c r="H34" s="3075">
        <v>3</v>
      </c>
      <c r="I34" s="3065">
        <v>1.65</v>
      </c>
      <c r="J34" s="3065">
        <v>0.92</v>
      </c>
      <c r="K34" s="3065">
        <v>1.88</v>
      </c>
      <c r="L34" s="3089">
        <v>1.26</v>
      </c>
      <c r="N34" s="1651">
        <f t="shared" si="248"/>
        <v>1.6500000000000001E-2</v>
      </c>
      <c r="O34" s="1641">
        <f t="shared" si="243"/>
        <v>9.1999999999999998E-3</v>
      </c>
      <c r="P34" s="1641">
        <f t="shared" si="243"/>
        <v>1.8799999999999997E-2</v>
      </c>
      <c r="Q34" s="1641">
        <f t="shared" si="243"/>
        <v>1.26E-2</v>
      </c>
      <c r="R34" s="1652"/>
      <c r="S34" s="1651"/>
      <c r="T34" s="1641"/>
      <c r="U34" s="1641"/>
      <c r="V34" s="1641"/>
      <c r="X34" s="3054">
        <f>ROUND(SUMPRODUCT(PRODUCT(1+N34:N$39)),4)</f>
        <v>1.0651999999999999</v>
      </c>
      <c r="Y34" s="3054">
        <f>ROUND(SUMPRODUCT(PRODUCT(1+O34:O$39)),4)</f>
        <v>1.0621</v>
      </c>
      <c r="Z34" s="3054">
        <f t="shared" si="0"/>
        <v>1.0621</v>
      </c>
      <c r="AA34" s="3054">
        <f>ROUND(SUMPRODUCT(PRODUCT(1+P34:P$39)),4)</f>
        <v>1.0668</v>
      </c>
      <c r="AB34" s="3054">
        <f>ROUND(SUMPRODUCT(PRODUCT(1+Q34:Q$39)),4)</f>
        <v>1.0636000000000001</v>
      </c>
      <c r="AD34" s="1641">
        <f>ROUND(AVERAGE(I34:I$40)/100,4)</f>
        <v>1.3299999999999999E-2</v>
      </c>
      <c r="AE34" s="1641">
        <f>ROUND(AVERAGE(J34:J$40)/100,4)</f>
        <v>1.2E-2</v>
      </c>
      <c r="AF34" s="1641">
        <f t="shared" si="1"/>
        <v>1.2E-2</v>
      </c>
      <c r="AG34" s="1641">
        <f>ROUND(AVERAGE(K34:K$40)/100,4)</f>
        <v>1.4E-2</v>
      </c>
      <c r="AH34" s="1641">
        <f>ROUND(AVERAGE(L34:L$40)/100,4)</f>
        <v>1.0800000000000001E-2</v>
      </c>
    </row>
    <row r="35" spans="1:34">
      <c r="A35" s="1649" t="s">
        <v>120</v>
      </c>
      <c r="B35" s="1650">
        <f t="shared" si="249"/>
        <v>322.34053690220776</v>
      </c>
      <c r="C35" s="1650">
        <f t="shared" si="249"/>
        <v>271.46160770422546</v>
      </c>
      <c r="D35" s="1650">
        <f t="shared" si="246"/>
        <v>271.46160770422546</v>
      </c>
      <c r="E35" s="1650">
        <f t="shared" si="250"/>
        <v>442.69434542172456</v>
      </c>
      <c r="F35" s="1650">
        <f t="shared" si="250"/>
        <v>241.34030753190925</v>
      </c>
      <c r="G35" s="4762"/>
      <c r="H35" s="3073">
        <v>2</v>
      </c>
      <c r="I35" s="3063">
        <v>0.77</v>
      </c>
      <c r="J35" s="3063">
        <v>0.69</v>
      </c>
      <c r="K35" s="3063">
        <v>0.8</v>
      </c>
      <c r="L35" s="3087">
        <v>0.88</v>
      </c>
      <c r="N35" s="1651">
        <f t="shared" si="248"/>
        <v>7.7000000000000002E-3</v>
      </c>
      <c r="O35" s="1641">
        <f t="shared" si="243"/>
        <v>6.8999999999999999E-3</v>
      </c>
      <c r="P35" s="1641">
        <f t="shared" si="243"/>
        <v>8.0000000000000002E-3</v>
      </c>
      <c r="Q35" s="1641">
        <f t="shared" si="243"/>
        <v>8.8000000000000005E-3</v>
      </c>
      <c r="R35" s="1652"/>
      <c r="S35" s="1651"/>
      <c r="T35" s="1641"/>
      <c r="U35" s="1641"/>
      <c r="V35" s="1641"/>
      <c r="X35" s="3054">
        <f>ROUND(SUMPRODUCT(PRODUCT(1+N35:N$39)),4)</f>
        <v>1.048</v>
      </c>
      <c r="Y35" s="3054">
        <f>ROUND(SUMPRODUCT(PRODUCT(1+O35:O$39)),4)</f>
        <v>1.0524</v>
      </c>
      <c r="Z35" s="3054">
        <f t="shared" si="0"/>
        <v>1.0524</v>
      </c>
      <c r="AA35" s="3054">
        <f>ROUND(SUMPRODUCT(PRODUCT(1+P35:P$39)),4)</f>
        <v>1.0470999999999999</v>
      </c>
      <c r="AB35" s="3054">
        <f>ROUND(SUMPRODUCT(PRODUCT(1+Q35:Q$39)),4)</f>
        <v>1.0504</v>
      </c>
      <c r="AD35" s="1641">
        <f>ROUND(AVERAGE(I35:I$40)/100,4)</f>
        <v>1.2800000000000001E-2</v>
      </c>
      <c r="AE35" s="1641">
        <f>ROUND(AVERAGE(J35:J$40)/100,4)</f>
        <v>1.2500000000000001E-2</v>
      </c>
      <c r="AF35" s="1641">
        <f t="shared" si="1"/>
        <v>1.2500000000000001E-2</v>
      </c>
      <c r="AG35" s="1641">
        <f>ROUND(AVERAGE(K35:K$40)/100,4)</f>
        <v>1.32E-2</v>
      </c>
      <c r="AH35" s="1641">
        <f>ROUND(AVERAGE(L35:L$40)/100,4)</f>
        <v>1.0500000000000001E-2</v>
      </c>
    </row>
    <row r="36" spans="1:34">
      <c r="A36" s="1649" t="s">
        <v>119</v>
      </c>
      <c r="B36" s="1650">
        <f t="shared" si="249"/>
        <v>319.87748030386797</v>
      </c>
      <c r="C36" s="1650">
        <f t="shared" si="249"/>
        <v>269.60135833173649</v>
      </c>
      <c r="D36" s="1650">
        <f t="shared" si="246"/>
        <v>269.60135833173649</v>
      </c>
      <c r="E36" s="1650">
        <f t="shared" si="250"/>
        <v>439.18089823583784</v>
      </c>
      <c r="F36" s="1650">
        <f t="shared" si="250"/>
        <v>239.23503918706311</v>
      </c>
      <c r="G36" s="4763"/>
      <c r="H36" s="3037">
        <v>1</v>
      </c>
      <c r="I36" s="3035">
        <v>0.51</v>
      </c>
      <c r="J36" s="3035">
        <v>0.54</v>
      </c>
      <c r="K36" s="3035">
        <v>0.48</v>
      </c>
      <c r="L36" s="3085">
        <v>0.93</v>
      </c>
      <c r="N36" s="1658">
        <f t="shared" si="248"/>
        <v>5.1000000000000004E-3</v>
      </c>
      <c r="O36" s="1659">
        <f t="shared" si="243"/>
        <v>5.4000000000000003E-3</v>
      </c>
      <c r="P36" s="1659">
        <f t="shared" si="243"/>
        <v>4.7999999999999996E-3</v>
      </c>
      <c r="Q36" s="1659">
        <f t="shared" si="243"/>
        <v>9.300000000000001E-3</v>
      </c>
      <c r="R36" s="1652"/>
      <c r="S36" s="1658">
        <f>B36/B37-1</f>
        <v>5.9040261127922822E-3</v>
      </c>
      <c r="T36" s="1659">
        <f>C36/C37-1</f>
        <v>5.9752176557332781E-3</v>
      </c>
      <c r="U36" s="1659">
        <f>E36/E37-1</f>
        <v>4.9906138119859556E-3</v>
      </c>
      <c r="V36" s="1659">
        <f>F36/F37-1</f>
        <v>9.4305450930933787E-3</v>
      </c>
      <c r="X36" s="3054">
        <f>ROUND(SUMPRODUCT(PRODUCT(1+N36:N$39)),4)</f>
        <v>1.0399</v>
      </c>
      <c r="Y36" s="3054">
        <f>ROUND(SUMPRODUCT(PRODUCT(1+O36:O$39)),4)</f>
        <v>1.0451999999999999</v>
      </c>
      <c r="Z36" s="3054">
        <f t="shared" si="0"/>
        <v>1.0451999999999999</v>
      </c>
      <c r="AA36" s="3054">
        <f>ROUND(SUMPRODUCT(PRODUCT(1+P36:P$39)),4)</f>
        <v>1.0387999999999999</v>
      </c>
      <c r="AB36" s="3054">
        <f>ROUND(SUMPRODUCT(PRODUCT(1+Q36:Q$39)),4)</f>
        <v>1.0411999999999999</v>
      </c>
      <c r="AD36" s="1641">
        <f>ROUND(AVERAGE(I36:I$40)/100,4)</f>
        <v>1.38E-2</v>
      </c>
      <c r="AE36" s="1641">
        <f>ROUND(AVERAGE(J36:J$40)/100,4)</f>
        <v>1.3599999999999999E-2</v>
      </c>
      <c r="AF36" s="1641">
        <f t="shared" si="1"/>
        <v>1.3599999999999999E-2</v>
      </c>
      <c r="AG36" s="1641">
        <f>ROUND(AVERAGE(K36:K$40)/100,4)</f>
        <v>1.4200000000000001E-2</v>
      </c>
      <c r="AH36" s="1641">
        <f>ROUND(AVERAGE(L36:L$40)/100,4)</f>
        <v>1.0800000000000001E-2</v>
      </c>
    </row>
    <row r="37" spans="1:34" ht="13.5" thickBot="1">
      <c r="A37" s="1649" t="s">
        <v>118</v>
      </c>
      <c r="B37" s="1663">
        <v>318</v>
      </c>
      <c r="C37" s="1663">
        <v>268</v>
      </c>
      <c r="D37" s="1663">
        <f t="shared" si="246"/>
        <v>268</v>
      </c>
      <c r="E37" s="1663">
        <v>437</v>
      </c>
      <c r="F37" s="1664">
        <v>237</v>
      </c>
      <c r="G37" s="4761">
        <v>2014</v>
      </c>
      <c r="H37" s="3074">
        <v>4</v>
      </c>
      <c r="I37" s="3064">
        <v>0.21</v>
      </c>
      <c r="J37" s="3064">
        <v>0.41</v>
      </c>
      <c r="K37" s="3064">
        <v>0.12</v>
      </c>
      <c r="L37" s="3088">
        <v>0.89</v>
      </c>
      <c r="N37" s="1651">
        <f t="shared" si="248"/>
        <v>2.0999999999999999E-3</v>
      </c>
      <c r="O37" s="1641">
        <f t="shared" si="243"/>
        <v>4.0999999999999995E-3</v>
      </c>
      <c r="P37" s="1641">
        <f t="shared" si="243"/>
        <v>1.1999999999999999E-3</v>
      </c>
      <c r="Q37" s="1641">
        <f t="shared" si="243"/>
        <v>8.8999999999999999E-3</v>
      </c>
      <c r="R37" s="1652"/>
      <c r="S37" s="1656"/>
      <c r="T37" s="1657"/>
      <c r="U37" s="1657"/>
      <c r="V37" s="1657"/>
      <c r="X37" s="3054">
        <f>ROUND(SUMPRODUCT(PRODUCT(1+N37:N$39)),4)</f>
        <v>1.0347</v>
      </c>
      <c r="Y37" s="3054">
        <f>ROUND(SUMPRODUCT(PRODUCT(1+O37:O$39)),4)</f>
        <v>1.0395000000000001</v>
      </c>
      <c r="Z37" s="3054">
        <f t="shared" si="0"/>
        <v>1.0395000000000001</v>
      </c>
      <c r="AA37" s="3054">
        <f>ROUND(SUMPRODUCT(PRODUCT(1+P37:P$39)),4)</f>
        <v>1.0338000000000001</v>
      </c>
      <c r="AB37" s="3054">
        <f>ROUND(SUMPRODUCT(PRODUCT(1+Q37:Q$39)),4)</f>
        <v>1.0316000000000001</v>
      </c>
      <c r="AD37" s="1641">
        <f>ROUND(AVERAGE(I37:I$40)/100,4)</f>
        <v>1.6E-2</v>
      </c>
      <c r="AE37" s="1641">
        <f>ROUND(AVERAGE(J37:J$40)/100,4)</f>
        <v>1.5599999999999999E-2</v>
      </c>
      <c r="AF37" s="1641">
        <f t="shared" si="1"/>
        <v>1.5599999999999999E-2</v>
      </c>
      <c r="AG37" s="1641">
        <f>ROUND(AVERAGE(K37:K$40)/100,4)</f>
        <v>1.66E-2</v>
      </c>
      <c r="AH37" s="1641">
        <f>ROUND(AVERAGE(L37:L$40)/100,4)</f>
        <v>1.12E-2</v>
      </c>
    </row>
    <row r="38" spans="1:34">
      <c r="A38" s="1649" t="s">
        <v>117</v>
      </c>
      <c r="B38" s="1650">
        <f t="shared" ref="B38:C40" si="251">B37/(1+N37)</f>
        <v>317.33359944117353</v>
      </c>
      <c r="C38" s="1650">
        <f t="shared" si="251"/>
        <v>266.90568668459315</v>
      </c>
      <c r="D38" s="1650">
        <f t="shared" si="246"/>
        <v>266.90568668459315</v>
      </c>
      <c r="E38" s="1650">
        <f t="shared" ref="E38:F40" si="252">E37/(1+P37)</f>
        <v>436.47622852576905</v>
      </c>
      <c r="F38" s="1650">
        <f t="shared" si="252"/>
        <v>234.90930716622066</v>
      </c>
      <c r="G38" s="4762"/>
      <c r="H38" s="3076">
        <v>3</v>
      </c>
      <c r="I38" s="3066">
        <v>0.83</v>
      </c>
      <c r="J38" s="3066">
        <v>1.47</v>
      </c>
      <c r="K38" s="3066">
        <v>0.65</v>
      </c>
      <c r="L38" s="3090">
        <v>0.72</v>
      </c>
      <c r="N38" s="1651">
        <f t="shared" si="248"/>
        <v>8.3000000000000001E-3</v>
      </c>
      <c r="O38" s="1641">
        <f t="shared" si="243"/>
        <v>1.47E-2</v>
      </c>
      <c r="P38" s="1641">
        <f t="shared" si="243"/>
        <v>6.5000000000000006E-3</v>
      </c>
      <c r="Q38" s="1641">
        <f t="shared" si="243"/>
        <v>7.1999999999999998E-3</v>
      </c>
      <c r="R38" s="1652"/>
      <c r="S38" s="1651"/>
      <c r="T38" s="1641"/>
      <c r="U38" s="1641"/>
      <c r="V38" s="1641"/>
      <c r="X38" s="3054">
        <f>ROUND(SUMPRODUCT(PRODUCT(1+N38:N$39)),4)</f>
        <v>1.0325</v>
      </c>
      <c r="Y38" s="3054">
        <f>ROUND(SUMPRODUCT(PRODUCT(1+O38:O$39)),4)</f>
        <v>1.0353000000000001</v>
      </c>
      <c r="Z38" s="3054">
        <f t="shared" ref="Z38:Z39" si="253">Y38</f>
        <v>1.0353000000000001</v>
      </c>
      <c r="AA38" s="3054">
        <f>ROUND(SUMPRODUCT(PRODUCT(1+P38:P$39)),4)</f>
        <v>1.0326</v>
      </c>
      <c r="AB38" s="3054">
        <f>ROUND(SUMPRODUCT(PRODUCT(1+Q38:Q$39)),4)</f>
        <v>1.0225</v>
      </c>
      <c r="AD38" s="1641">
        <f>ROUND(AVERAGE(I38:I$40)/100,4)</f>
        <v>2.07E-2</v>
      </c>
      <c r="AE38" s="1641">
        <f>ROUND(AVERAGE(J38:J$40)/100,4)</f>
        <v>1.95E-2</v>
      </c>
      <c r="AF38" s="1641">
        <f t="shared" si="1"/>
        <v>1.95E-2</v>
      </c>
      <c r="AG38" s="1641">
        <f>ROUND(AVERAGE(K38:K$40)/100,4)</f>
        <v>2.1700000000000001E-2</v>
      </c>
      <c r="AH38" s="1641">
        <f>ROUND(AVERAGE(L38:L$40)/100,4)</f>
        <v>1.2E-2</v>
      </c>
    </row>
    <row r="39" spans="1:34" ht="13.5" thickBot="1">
      <c r="A39" s="1649" t="s">
        <v>116</v>
      </c>
      <c r="B39" s="1650">
        <f t="shared" si="251"/>
        <v>314.72141172386546</v>
      </c>
      <c r="C39" s="1650">
        <f t="shared" si="251"/>
        <v>263.03901319069001</v>
      </c>
      <c r="D39" s="1650">
        <f t="shared" si="246"/>
        <v>263.03901319069001</v>
      </c>
      <c r="E39" s="1650">
        <f t="shared" si="252"/>
        <v>433.65745506782821</v>
      </c>
      <c r="F39" s="1650">
        <f t="shared" si="252"/>
        <v>233.23005080045735</v>
      </c>
      <c r="G39" s="4762"/>
      <c r="H39" s="3074">
        <v>2</v>
      </c>
      <c r="I39" s="3064">
        <v>2.4</v>
      </c>
      <c r="J39" s="3064">
        <v>2.0299999999999998</v>
      </c>
      <c r="K39" s="3064">
        <v>2.59</v>
      </c>
      <c r="L39" s="3088">
        <v>1.52</v>
      </c>
      <c r="N39" s="1651">
        <f t="shared" si="248"/>
        <v>2.4E-2</v>
      </c>
      <c r="O39" s="1641">
        <f t="shared" si="243"/>
        <v>2.0299999999999999E-2</v>
      </c>
      <c r="P39" s="1641">
        <f t="shared" si="243"/>
        <v>2.5899999999999999E-2</v>
      </c>
      <c r="Q39" s="1641">
        <f t="shared" si="243"/>
        <v>1.52E-2</v>
      </c>
      <c r="R39" s="1652"/>
      <c r="S39" s="1651"/>
      <c r="T39" s="1641"/>
      <c r="U39" s="1641"/>
      <c r="V39" s="1641"/>
      <c r="X39" s="3054">
        <f>1+N39</f>
        <v>1.024</v>
      </c>
      <c r="Y39" s="3054">
        <f>1+O39</f>
        <v>1.0203</v>
      </c>
      <c r="Z39" s="3054">
        <f t="shared" si="253"/>
        <v>1.0203</v>
      </c>
      <c r="AA39" s="3054">
        <f>1+P39</f>
        <v>1.0259</v>
      </c>
      <c r="AB39" s="3054">
        <f>1+Q39</f>
        <v>1.0152000000000001</v>
      </c>
      <c r="AD39" s="1641">
        <f>ROUND(AVERAGE(I39:I$40)/100,4)</f>
        <v>2.69E-2</v>
      </c>
      <c r="AE39" s="1641">
        <f>ROUND(AVERAGE(J39:J$40)/100,4)</f>
        <v>2.1899999999999999E-2</v>
      </c>
      <c r="AF39" s="1641">
        <f t="shared" ref="AF39" si="254">AE39</f>
        <v>2.1899999999999999E-2</v>
      </c>
      <c r="AG39" s="1641">
        <f>ROUND(AVERAGE(K39:K$40)/100,4)</f>
        <v>2.9399999999999999E-2</v>
      </c>
      <c r="AH39" s="1641">
        <f>ROUND(AVERAGE(L39:L$40)/100,4)</f>
        <v>1.44E-2</v>
      </c>
    </row>
    <row r="40" spans="1:34" s="1667" customFormat="1" ht="13.5" thickBot="1">
      <c r="A40" s="1665" t="s">
        <v>115</v>
      </c>
      <c r="B40" s="1666">
        <f t="shared" si="251"/>
        <v>307.34512863658733</v>
      </c>
      <c r="C40" s="1666">
        <f t="shared" si="251"/>
        <v>257.80556031626975</v>
      </c>
      <c r="D40" s="1666">
        <f t="shared" si="246"/>
        <v>257.80556031626975</v>
      </c>
      <c r="E40" s="1666">
        <f t="shared" si="252"/>
        <v>422.70928459677179</v>
      </c>
      <c r="F40" s="1666">
        <f t="shared" si="252"/>
        <v>229.73803270336617</v>
      </c>
      <c r="G40" s="4763"/>
      <c r="H40" s="3077">
        <v>1</v>
      </c>
      <c r="I40" s="3067">
        <v>2.97</v>
      </c>
      <c r="J40" s="3067">
        <v>2.34</v>
      </c>
      <c r="K40" s="3067">
        <v>3.28</v>
      </c>
      <c r="L40" s="3091">
        <v>1.36</v>
      </c>
      <c r="N40" s="1668">
        <f t="shared" si="248"/>
        <v>2.9700000000000001E-2</v>
      </c>
      <c r="O40" s="1669">
        <f t="shared" si="243"/>
        <v>2.3399999999999997E-2</v>
      </c>
      <c r="P40" s="1669">
        <f t="shared" si="243"/>
        <v>3.2799999999999996E-2</v>
      </c>
      <c r="Q40" s="1669">
        <f t="shared" si="243"/>
        <v>1.3600000000000001E-2</v>
      </c>
      <c r="R40" s="1670"/>
      <c r="S40" s="1671">
        <f>B40/B41-1</f>
        <v>2.7910129219355539E-2</v>
      </c>
      <c r="T40" s="1672">
        <f>C40/C41-1</f>
        <v>2.3037937762975247E-2</v>
      </c>
      <c r="U40" s="1672">
        <f>E40/E41-1</f>
        <v>3.3519033243940788E-2</v>
      </c>
      <c r="V40" s="1672">
        <f>F40/F41-1</f>
        <v>1.2061818076502862E-2</v>
      </c>
      <c r="W40" s="1673" t="s">
        <v>458</v>
      </c>
      <c r="X40" s="3097">
        <v>1</v>
      </c>
      <c r="Y40" s="3097">
        <v>1</v>
      </c>
      <c r="Z40" s="3097">
        <v>1</v>
      </c>
      <c r="AA40" s="3097">
        <v>1</v>
      </c>
      <c r="AB40" s="3097">
        <v>1</v>
      </c>
      <c r="AD40" s="1669">
        <f>I40/100</f>
        <v>2.9700000000000001E-2</v>
      </c>
      <c r="AE40" s="1669">
        <f>J40/100</f>
        <v>2.3399999999999997E-2</v>
      </c>
      <c r="AF40" s="1669">
        <f>AE40</f>
        <v>2.3399999999999997E-2</v>
      </c>
      <c r="AG40" s="1669">
        <f>K40/100</f>
        <v>3.2799999999999996E-2</v>
      </c>
      <c r="AH40" s="1669">
        <f>L40/100</f>
        <v>1.3600000000000001E-2</v>
      </c>
    </row>
    <row r="41" spans="1:34" ht="13.5" thickBot="1">
      <c r="A41" s="1649" t="s">
        <v>459</v>
      </c>
      <c r="B41" s="1654">
        <v>299</v>
      </c>
      <c r="C41" s="1654">
        <v>252</v>
      </c>
      <c r="D41" s="1654">
        <f t="shared" si="246"/>
        <v>252</v>
      </c>
      <c r="E41" s="1654">
        <v>409</v>
      </c>
      <c r="F41" s="1655">
        <v>227</v>
      </c>
      <c r="G41" s="4766">
        <v>2013</v>
      </c>
      <c r="H41" s="3078">
        <v>4</v>
      </c>
      <c r="I41" s="3068">
        <v>1.83</v>
      </c>
      <c r="J41" s="3068">
        <v>1.68</v>
      </c>
      <c r="K41" s="3068">
        <v>1.97</v>
      </c>
      <c r="L41" s="3092">
        <v>0.87</v>
      </c>
      <c r="N41" s="1660">
        <f t="shared" si="248"/>
        <v>1.83E-2</v>
      </c>
      <c r="O41" s="1661">
        <f t="shared" si="243"/>
        <v>1.6799999999999999E-2</v>
      </c>
      <c r="P41" s="1661">
        <f t="shared" si="243"/>
        <v>1.9699999999999999E-2</v>
      </c>
      <c r="Q41" s="1661">
        <f t="shared" si="243"/>
        <v>8.6999999999999994E-3</v>
      </c>
      <c r="R41" s="1652"/>
      <c r="S41" s="1656"/>
      <c r="T41" s="1657"/>
      <c r="U41" s="1657"/>
      <c r="V41" s="1657"/>
      <c r="X41" s="1657"/>
      <c r="Y41" s="1657"/>
      <c r="Z41" s="1657"/>
    </row>
    <row r="42" spans="1:34">
      <c r="A42" s="1649" t="s">
        <v>460</v>
      </c>
      <c r="B42" s="1650">
        <f t="shared" ref="B42:C44" si="255">B41/(1+N41)</f>
        <v>293.62663262299913</v>
      </c>
      <c r="C42" s="1650">
        <f t="shared" si="255"/>
        <v>247.83634933123525</v>
      </c>
      <c r="D42" s="1650">
        <f t="shared" si="246"/>
        <v>247.83634933123525</v>
      </c>
      <c r="E42" s="1650">
        <f t="shared" ref="E42:F44" si="256">E41/(1+P41)</f>
        <v>401.09836226341076</v>
      </c>
      <c r="F42" s="1650">
        <f t="shared" si="256"/>
        <v>225.04213343908003</v>
      </c>
      <c r="G42" s="4767"/>
      <c r="H42" s="3075">
        <v>3</v>
      </c>
      <c r="I42" s="3065">
        <v>1.86</v>
      </c>
      <c r="J42" s="3065">
        <v>1.72</v>
      </c>
      <c r="K42" s="3065">
        <v>1.98</v>
      </c>
      <c r="L42" s="3089">
        <v>0.88</v>
      </c>
      <c r="N42" s="1651">
        <f t="shared" si="248"/>
        <v>1.8600000000000002E-2</v>
      </c>
      <c r="O42" s="1641">
        <f t="shared" si="243"/>
        <v>1.72E-2</v>
      </c>
      <c r="P42" s="1641">
        <f t="shared" si="243"/>
        <v>1.9799999999999998E-2</v>
      </c>
      <c r="Q42" s="1641">
        <f t="shared" si="243"/>
        <v>8.8000000000000005E-3</v>
      </c>
      <c r="R42" s="1652"/>
      <c r="S42" s="1651"/>
      <c r="T42" s="1641"/>
      <c r="U42" s="1641"/>
      <c r="V42" s="1641"/>
    </row>
    <row r="43" spans="1:34">
      <c r="A43" s="1649" t="s">
        <v>461</v>
      </c>
      <c r="B43" s="1650">
        <f t="shared" si="255"/>
        <v>288.2649053828776</v>
      </c>
      <c r="C43" s="1650">
        <f t="shared" si="255"/>
        <v>243.64564425013293</v>
      </c>
      <c r="D43" s="1650">
        <f t="shared" si="246"/>
        <v>243.64564425013293</v>
      </c>
      <c r="E43" s="1650">
        <f t="shared" si="256"/>
        <v>393.31080825986544</v>
      </c>
      <c r="F43" s="1650">
        <f t="shared" si="256"/>
        <v>223.07903790551154</v>
      </c>
      <c r="G43" s="4767"/>
      <c r="H43" s="3073">
        <v>2</v>
      </c>
      <c r="I43" s="3063">
        <v>2.04</v>
      </c>
      <c r="J43" s="3063">
        <v>2.33</v>
      </c>
      <c r="K43" s="3063">
        <v>2.0699999999999998</v>
      </c>
      <c r="L43" s="3087">
        <v>0.69</v>
      </c>
      <c r="N43" s="1651">
        <f t="shared" si="248"/>
        <v>2.0400000000000001E-2</v>
      </c>
      <c r="O43" s="1641">
        <f t="shared" si="243"/>
        <v>2.3300000000000001E-2</v>
      </c>
      <c r="P43" s="1641">
        <f t="shared" si="243"/>
        <v>2.07E-2</v>
      </c>
      <c r="Q43" s="1641">
        <f t="shared" si="243"/>
        <v>6.8999999999999999E-3</v>
      </c>
      <c r="R43" s="1652"/>
      <c r="S43" s="1651"/>
      <c r="T43" s="1641"/>
      <c r="U43" s="1641"/>
      <c r="V43" s="1641"/>
      <c r="X43" s="1674"/>
      <c r="Y43" s="1675"/>
    </row>
    <row r="44" spans="1:34">
      <c r="A44" s="1649" t="s">
        <v>462</v>
      </c>
      <c r="B44" s="1650">
        <f t="shared" si="255"/>
        <v>282.50186729015837</v>
      </c>
      <c r="C44" s="1650">
        <f t="shared" si="255"/>
        <v>238.09796174155468</v>
      </c>
      <c r="D44" s="1650">
        <f t="shared" si="246"/>
        <v>238.09796174155468</v>
      </c>
      <c r="E44" s="1650">
        <f t="shared" si="256"/>
        <v>385.33438646014054</v>
      </c>
      <c r="F44" s="1650">
        <f t="shared" si="256"/>
        <v>221.55034055567739</v>
      </c>
      <c r="G44" s="4768"/>
      <c r="H44" s="3037">
        <v>1</v>
      </c>
      <c r="I44" s="3035">
        <v>1.67</v>
      </c>
      <c r="J44" s="3035">
        <v>1.31</v>
      </c>
      <c r="K44" s="3035">
        <v>1.85</v>
      </c>
      <c r="L44" s="3085">
        <v>0.96</v>
      </c>
      <c r="N44" s="1658">
        <f t="shared" si="248"/>
        <v>1.67E-2</v>
      </c>
      <c r="O44" s="1659">
        <f t="shared" si="248"/>
        <v>1.3100000000000001E-2</v>
      </c>
      <c r="P44" s="1659">
        <f t="shared" si="248"/>
        <v>1.8500000000000003E-2</v>
      </c>
      <c r="Q44" s="1659">
        <f t="shared" si="248"/>
        <v>9.5999999999999992E-3</v>
      </c>
      <c r="R44" s="1652"/>
      <c r="S44" s="1658">
        <f>B44/B45-1</f>
        <v>1.6193767230785472E-2</v>
      </c>
      <c r="T44" s="1659">
        <f>C44/C45-1</f>
        <v>1.7512657015190891E-2</v>
      </c>
      <c r="U44" s="1659">
        <f>E44/E45-1</f>
        <v>1.6713420739157048E-2</v>
      </c>
      <c r="V44" s="1659">
        <f>F44/F45-1</f>
        <v>7.0470025258062563E-3</v>
      </c>
      <c r="Y44" s="1641"/>
      <c r="Z44" s="1641"/>
    </row>
    <row r="45" spans="1:34" ht="13.5" thickBot="1">
      <c r="A45" s="1649" t="s">
        <v>463</v>
      </c>
      <c r="B45" s="1676">
        <v>278</v>
      </c>
      <c r="C45" s="1676">
        <v>234</v>
      </c>
      <c r="D45" s="1676">
        <f t="shared" si="246"/>
        <v>234</v>
      </c>
      <c r="E45" s="1676">
        <v>379</v>
      </c>
      <c r="F45" s="1677">
        <v>220</v>
      </c>
      <c r="G45" s="4761">
        <v>2012</v>
      </c>
      <c r="H45" s="3074">
        <v>4</v>
      </c>
      <c r="I45" s="3064">
        <v>0.91</v>
      </c>
      <c r="J45" s="3064">
        <v>0.68</v>
      </c>
      <c r="K45" s="3064">
        <v>0.98</v>
      </c>
      <c r="L45" s="3088">
        <v>0.9</v>
      </c>
      <c r="N45" s="1651">
        <f t="shared" si="248"/>
        <v>9.1000000000000004E-3</v>
      </c>
      <c r="O45" s="1641">
        <f t="shared" si="248"/>
        <v>6.8000000000000005E-3</v>
      </c>
      <c r="P45" s="1641">
        <f t="shared" si="248"/>
        <v>9.7999999999999997E-3</v>
      </c>
      <c r="Q45" s="1641">
        <f t="shared" si="248"/>
        <v>9.0000000000000011E-3</v>
      </c>
      <c r="R45" s="1652"/>
      <c r="S45" s="1656"/>
      <c r="T45" s="1657"/>
      <c r="U45" s="1657"/>
      <c r="V45" s="1657"/>
      <c r="X45" s="1657"/>
      <c r="Y45" s="1657"/>
      <c r="Z45" s="1657"/>
    </row>
    <row r="46" spans="1:34">
      <c r="A46" s="1649" t="s">
        <v>464</v>
      </c>
      <c r="B46" s="1650">
        <f>B45/(1+N45)</f>
        <v>275.49301357645425</v>
      </c>
      <c r="C46" s="1650">
        <f>C45/(1+O45)</f>
        <v>232.41954707985698</v>
      </c>
      <c r="D46" s="1650">
        <f t="shared" si="246"/>
        <v>232.41954707985698</v>
      </c>
      <c r="E46" s="1650">
        <f t="shared" ref="E46:F48" si="257">E45/(1+P45)</f>
        <v>375.32184591008121</v>
      </c>
      <c r="F46" s="1650">
        <f t="shared" si="257"/>
        <v>218.03766105054513</v>
      </c>
      <c r="G46" s="4762"/>
      <c r="H46" s="3075">
        <v>3</v>
      </c>
      <c r="I46" s="3065">
        <v>0.09</v>
      </c>
      <c r="J46" s="3065">
        <v>0.28999999999999998</v>
      </c>
      <c r="K46" s="3065">
        <v>-0.01</v>
      </c>
      <c r="L46" s="3089">
        <v>0.57999999999999996</v>
      </c>
      <c r="N46" s="1651">
        <f t="shared" si="248"/>
        <v>8.9999999999999998E-4</v>
      </c>
      <c r="O46" s="1641">
        <f t="shared" si="248"/>
        <v>2.8999999999999998E-3</v>
      </c>
      <c r="P46" s="1641">
        <f t="shared" si="248"/>
        <v>-1E-4</v>
      </c>
      <c r="Q46" s="1641">
        <f t="shared" si="248"/>
        <v>5.7999999999999996E-3</v>
      </c>
      <c r="R46" s="1652"/>
      <c r="S46" s="1651"/>
      <c r="T46" s="1641"/>
      <c r="U46" s="1641"/>
      <c r="V46" s="1641"/>
    </row>
    <row r="47" spans="1:34">
      <c r="A47" s="1649" t="s">
        <v>465</v>
      </c>
      <c r="B47" s="1650">
        <f>B46/(1+N46)</f>
        <v>275.24529281292263</v>
      </c>
      <c r="C47" s="1650">
        <f>C46/(1+O46)</f>
        <v>231.74747938962707</v>
      </c>
      <c r="D47" s="1650">
        <f t="shared" si="246"/>
        <v>231.74747938962707</v>
      </c>
      <c r="E47" s="1650">
        <f t="shared" si="257"/>
        <v>375.35938184826603</v>
      </c>
      <c r="F47" s="1650">
        <f t="shared" si="257"/>
        <v>216.78033510692495</v>
      </c>
      <c r="G47" s="4762"/>
      <c r="H47" s="3073">
        <v>2</v>
      </c>
      <c r="I47" s="3063">
        <v>0.02</v>
      </c>
      <c r="J47" s="3063">
        <v>0.12</v>
      </c>
      <c r="K47" s="3063">
        <v>-0.08</v>
      </c>
      <c r="L47" s="3087">
        <v>1.24</v>
      </c>
      <c r="N47" s="1651">
        <f t="shared" si="248"/>
        <v>2.0000000000000001E-4</v>
      </c>
      <c r="O47" s="1641">
        <f t="shared" si="248"/>
        <v>1.1999999999999999E-3</v>
      </c>
      <c r="P47" s="1641">
        <f t="shared" si="248"/>
        <v>-8.0000000000000004E-4</v>
      </c>
      <c r="Q47" s="1641">
        <f t="shared" si="248"/>
        <v>1.24E-2</v>
      </c>
      <c r="R47" s="1652"/>
      <c r="S47" s="1651"/>
      <c r="T47" s="1641"/>
      <c r="U47" s="1641"/>
      <c r="V47" s="1641"/>
    </row>
    <row r="48" spans="1:34" ht="13.5" thickBot="1">
      <c r="A48" s="1649" t="s">
        <v>466</v>
      </c>
      <c r="B48" s="1650">
        <f>B47/(1+N47)</f>
        <v>275.19025476197027</v>
      </c>
      <c r="C48" s="1678">
        <v>232</v>
      </c>
      <c r="D48" s="1678">
        <f t="shared" si="246"/>
        <v>232</v>
      </c>
      <c r="E48" s="1650">
        <f t="shared" si="257"/>
        <v>375.65990977608692</v>
      </c>
      <c r="F48" s="1650">
        <f t="shared" si="257"/>
        <v>214.12518283971252</v>
      </c>
      <c r="G48" s="4763"/>
      <c r="H48" s="3037">
        <v>1</v>
      </c>
      <c r="I48" s="3035">
        <v>0.02</v>
      </c>
      <c r="J48" s="3035">
        <v>0.13</v>
      </c>
      <c r="K48" s="3035">
        <v>-0.04</v>
      </c>
      <c r="L48" s="3085">
        <v>0.46</v>
      </c>
      <c r="N48" s="1651">
        <f t="shared" si="248"/>
        <v>2.0000000000000001E-4</v>
      </c>
      <c r="O48" s="1641">
        <f t="shared" si="248"/>
        <v>1.2999999999999999E-3</v>
      </c>
      <c r="P48" s="1641">
        <f t="shared" si="248"/>
        <v>-4.0000000000000002E-4</v>
      </c>
      <c r="Q48" s="1641">
        <f t="shared" si="248"/>
        <v>4.5999999999999999E-3</v>
      </c>
      <c r="R48" s="1652"/>
      <c r="S48" s="1658">
        <f>B48/B49-1</f>
        <v>6.9183549807361189E-4</v>
      </c>
      <c r="T48" s="1659">
        <f>C48/C49-1</f>
        <v>0</v>
      </c>
      <c r="U48" s="1659">
        <f>E48/E49-1</f>
        <v>-9.0449527636460303E-4</v>
      </c>
      <c r="V48" s="1659">
        <f>F48/F49-1</f>
        <v>5.2825485432512753E-3</v>
      </c>
      <c r="X48" s="1641"/>
      <c r="Y48" s="1641"/>
      <c r="Z48" s="1641"/>
    </row>
    <row r="49" spans="1:26" ht="13.5" thickBot="1">
      <c r="A49" s="1649" t="s">
        <v>467</v>
      </c>
      <c r="B49" s="1654">
        <v>275</v>
      </c>
      <c r="C49" s="1654">
        <v>232</v>
      </c>
      <c r="D49" s="1654">
        <f t="shared" si="246"/>
        <v>232</v>
      </c>
      <c r="E49" s="1654">
        <v>376</v>
      </c>
      <c r="F49" s="1655">
        <v>213</v>
      </c>
      <c r="G49" s="4761">
        <v>2011</v>
      </c>
      <c r="H49" s="3074">
        <v>4</v>
      </c>
      <c r="I49" s="3064">
        <v>-0.2</v>
      </c>
      <c r="J49" s="3064">
        <v>0.04</v>
      </c>
      <c r="K49" s="3064">
        <v>-0.34</v>
      </c>
      <c r="L49" s="3088">
        <v>0.46</v>
      </c>
      <c r="N49" s="1660">
        <f t="shared" si="248"/>
        <v>-2E-3</v>
      </c>
      <c r="O49" s="1661">
        <f t="shared" si="248"/>
        <v>4.0000000000000002E-4</v>
      </c>
      <c r="P49" s="1661">
        <f t="shared" si="248"/>
        <v>-3.4000000000000002E-3</v>
      </c>
      <c r="Q49" s="1661">
        <f t="shared" si="248"/>
        <v>4.5999999999999999E-3</v>
      </c>
      <c r="R49" s="1652"/>
      <c r="S49" s="1656"/>
      <c r="T49" s="1657"/>
      <c r="U49" s="1657"/>
      <c r="V49" s="1657"/>
      <c r="X49" s="1657"/>
      <c r="Y49" s="1657"/>
      <c r="Z49" s="1657"/>
    </row>
    <row r="50" spans="1:26">
      <c r="A50" s="1649" t="s">
        <v>468</v>
      </c>
      <c r="B50" s="1650">
        <f t="shared" ref="B50:C52" si="258">B49/(1+N49)</f>
        <v>275.55110220440883</v>
      </c>
      <c r="C50" s="1650">
        <f t="shared" si="258"/>
        <v>231.90723710515795</v>
      </c>
      <c r="D50" s="1650">
        <f t="shared" si="246"/>
        <v>231.90723710515795</v>
      </c>
      <c r="E50" s="1650">
        <f t="shared" ref="E50:F52" si="259">E49/(1+P49)</f>
        <v>377.28276138872161</v>
      </c>
      <c r="F50" s="1650">
        <f t="shared" si="259"/>
        <v>212.02468644236512</v>
      </c>
      <c r="G50" s="4762">
        <v>2011</v>
      </c>
      <c r="H50" s="3075">
        <v>3</v>
      </c>
      <c r="I50" s="3065">
        <v>0.13</v>
      </c>
      <c r="J50" s="3065">
        <v>0.75</v>
      </c>
      <c r="K50" s="3065">
        <v>-0.08</v>
      </c>
      <c r="L50" s="3089">
        <v>0.53</v>
      </c>
      <c r="N50" s="1651">
        <f t="shared" si="248"/>
        <v>1.2999999999999999E-3</v>
      </c>
      <c r="O50" s="1641">
        <f t="shared" si="248"/>
        <v>7.4999999999999997E-3</v>
      </c>
      <c r="P50" s="1641">
        <f t="shared" si="248"/>
        <v>-8.0000000000000004E-4</v>
      </c>
      <c r="Q50" s="1641">
        <f t="shared" si="248"/>
        <v>5.3E-3</v>
      </c>
      <c r="R50" s="1652"/>
      <c r="S50" s="1651"/>
      <c r="T50" s="1641"/>
      <c r="U50" s="1641"/>
      <c r="V50" s="1641"/>
    </row>
    <row r="51" spans="1:26">
      <c r="A51" s="1649" t="s">
        <v>469</v>
      </c>
      <c r="B51" s="1650">
        <f t="shared" si="258"/>
        <v>275.19335084830601</v>
      </c>
      <c r="C51" s="1650">
        <f t="shared" si="258"/>
        <v>230.18088050139744</v>
      </c>
      <c r="D51" s="1650">
        <f t="shared" si="246"/>
        <v>230.18088050139744</v>
      </c>
      <c r="E51" s="1650">
        <f t="shared" si="259"/>
        <v>377.58482925212331</v>
      </c>
      <c r="F51" s="1650">
        <f t="shared" si="259"/>
        <v>210.90687997847917</v>
      </c>
      <c r="G51" s="4762">
        <v>2011</v>
      </c>
      <c r="H51" s="3073">
        <v>2</v>
      </c>
      <c r="I51" s="3063">
        <v>-0.4</v>
      </c>
      <c r="J51" s="3063">
        <v>0.17</v>
      </c>
      <c r="K51" s="3063">
        <v>-0.57999999999999996</v>
      </c>
      <c r="L51" s="3087">
        <v>-0.2</v>
      </c>
      <c r="N51" s="1651">
        <f t="shared" si="248"/>
        <v>-4.0000000000000001E-3</v>
      </c>
      <c r="O51" s="1641">
        <f t="shared" si="248"/>
        <v>1.7000000000000001E-3</v>
      </c>
      <c r="P51" s="1641">
        <f t="shared" si="248"/>
        <v>-5.7999999999999996E-3</v>
      </c>
      <c r="Q51" s="1641">
        <f t="shared" si="248"/>
        <v>-2E-3</v>
      </c>
      <c r="R51" s="1652"/>
      <c r="S51" s="1651"/>
      <c r="T51" s="1641"/>
      <c r="U51" s="1641"/>
      <c r="V51" s="1641"/>
    </row>
    <row r="52" spans="1:26" ht="13.5" thickBot="1">
      <c r="A52" s="1649" t="s">
        <v>470</v>
      </c>
      <c r="B52" s="1650">
        <f t="shared" si="258"/>
        <v>276.29854502841971</v>
      </c>
      <c r="C52" s="1650">
        <f t="shared" si="258"/>
        <v>229.79023709833027</v>
      </c>
      <c r="D52" s="1650">
        <f t="shared" si="246"/>
        <v>229.79023709833027</v>
      </c>
      <c r="E52" s="1650">
        <f t="shared" si="259"/>
        <v>379.78759731655936</v>
      </c>
      <c r="F52" s="1650">
        <f t="shared" si="259"/>
        <v>211.32953905659235</v>
      </c>
      <c r="G52" s="4763">
        <v>2011</v>
      </c>
      <c r="H52" s="3037">
        <v>1</v>
      </c>
      <c r="I52" s="3035">
        <v>2.65</v>
      </c>
      <c r="J52" s="3035">
        <v>3.76</v>
      </c>
      <c r="K52" s="3035">
        <v>1.89</v>
      </c>
      <c r="L52" s="3085">
        <v>7.95</v>
      </c>
      <c r="N52" s="1658">
        <f t="shared" si="248"/>
        <v>2.6499999999999999E-2</v>
      </c>
      <c r="O52" s="1659">
        <f t="shared" si="248"/>
        <v>3.7599999999999995E-2</v>
      </c>
      <c r="P52" s="1659">
        <f t="shared" si="248"/>
        <v>1.89E-2</v>
      </c>
      <c r="Q52" s="1659">
        <f t="shared" si="248"/>
        <v>7.9500000000000001E-2</v>
      </c>
      <c r="R52" s="1652"/>
      <c r="S52" s="1658">
        <f>B52/B53-1</f>
        <v>2.713213765211786E-2</v>
      </c>
      <c r="T52" s="1659">
        <f>C52/C53-1</f>
        <v>3.9774828499231862E-2</v>
      </c>
      <c r="U52" s="1659">
        <f>E52/E53-1</f>
        <v>1.8197311840641772E-2</v>
      </c>
      <c r="V52" s="1659">
        <f>F52/F53-1</f>
        <v>7.8211933962205826E-2</v>
      </c>
      <c r="X52" s="1641"/>
      <c r="Y52" s="1641"/>
      <c r="Z52" s="1641"/>
    </row>
    <row r="53" spans="1:26" ht="13.5" thickBot="1">
      <c r="A53" s="1649" t="s">
        <v>471</v>
      </c>
      <c r="B53" s="1654">
        <v>269</v>
      </c>
      <c r="C53" s="1654">
        <v>221</v>
      </c>
      <c r="D53" s="1654">
        <f t="shared" si="246"/>
        <v>221</v>
      </c>
      <c r="E53" s="1654">
        <v>373</v>
      </c>
      <c r="F53" s="1655">
        <v>196</v>
      </c>
      <c r="G53" s="4761">
        <v>2010</v>
      </c>
      <c r="H53" s="3074">
        <v>4</v>
      </c>
      <c r="I53" s="3064">
        <v>5.72</v>
      </c>
      <c r="J53" s="3064">
        <v>6.57</v>
      </c>
      <c r="K53" s="3064">
        <v>5.72</v>
      </c>
      <c r="L53" s="3088">
        <v>2.72</v>
      </c>
      <c r="N53" s="1651">
        <f t="shared" si="248"/>
        <v>5.7200000000000001E-2</v>
      </c>
      <c r="O53" s="1641">
        <f t="shared" si="248"/>
        <v>6.5700000000000008E-2</v>
      </c>
      <c r="P53" s="1641">
        <f t="shared" si="248"/>
        <v>5.7200000000000001E-2</v>
      </c>
      <c r="Q53" s="1641">
        <f t="shared" si="248"/>
        <v>2.7200000000000002E-2</v>
      </c>
      <c r="R53" s="1652"/>
      <c r="S53" s="1656"/>
      <c r="T53" s="1657"/>
      <c r="U53" s="1657"/>
      <c r="V53" s="1657"/>
      <c r="X53" s="1657"/>
      <c r="Y53" s="1657"/>
      <c r="Z53" s="1657"/>
    </row>
    <row r="54" spans="1:26">
      <c r="A54" s="1649" t="s">
        <v>472</v>
      </c>
      <c r="B54" s="1650">
        <f t="shared" ref="B54:C56" si="260">B53/(1+N53)</f>
        <v>254.44570563753314</v>
      </c>
      <c r="C54" s="1650">
        <f t="shared" si="260"/>
        <v>207.37543398705074</v>
      </c>
      <c r="D54" s="1650">
        <f t="shared" si="246"/>
        <v>207.37543398705074</v>
      </c>
      <c r="E54" s="1650">
        <f t="shared" ref="E54:F56" si="261">E53/(1+P53)</f>
        <v>352.81876655315932</v>
      </c>
      <c r="F54" s="1650">
        <f t="shared" si="261"/>
        <v>190.809968847352</v>
      </c>
      <c r="G54" s="4762">
        <v>2010</v>
      </c>
      <c r="H54" s="3075">
        <v>3</v>
      </c>
      <c r="I54" s="3065">
        <v>4.7300000000000004</v>
      </c>
      <c r="J54" s="3065">
        <v>3.9</v>
      </c>
      <c r="K54" s="3065">
        <v>5.03</v>
      </c>
      <c r="L54" s="3089">
        <v>4.21</v>
      </c>
      <c r="N54" s="1651">
        <f t="shared" si="248"/>
        <v>4.7300000000000002E-2</v>
      </c>
      <c r="O54" s="1641">
        <f t="shared" si="248"/>
        <v>3.9E-2</v>
      </c>
      <c r="P54" s="1641">
        <f t="shared" si="248"/>
        <v>5.0300000000000004E-2</v>
      </c>
      <c r="Q54" s="1641">
        <f t="shared" si="248"/>
        <v>4.2099999999999999E-2</v>
      </c>
      <c r="R54" s="1652"/>
      <c r="S54" s="1651"/>
      <c r="T54" s="1641"/>
      <c r="U54" s="1641"/>
      <c r="V54" s="1641"/>
    </row>
    <row r="55" spans="1:26">
      <c r="A55" s="1649" t="s">
        <v>473</v>
      </c>
      <c r="B55" s="1650">
        <f t="shared" si="260"/>
        <v>242.95398227588385</v>
      </c>
      <c r="C55" s="1650">
        <f t="shared" si="260"/>
        <v>199.59137053614126</v>
      </c>
      <c r="D55" s="1650">
        <f t="shared" si="246"/>
        <v>199.59137053614126</v>
      </c>
      <c r="E55" s="1650">
        <f t="shared" si="261"/>
        <v>335.92189522342125</v>
      </c>
      <c r="F55" s="1650">
        <f t="shared" si="261"/>
        <v>183.10139991109489</v>
      </c>
      <c r="G55" s="4762">
        <v>2010</v>
      </c>
      <c r="H55" s="3073">
        <v>2</v>
      </c>
      <c r="I55" s="3063">
        <v>4.6900000000000004</v>
      </c>
      <c r="J55" s="3063">
        <v>3.55</v>
      </c>
      <c r="K55" s="3063">
        <v>5.07</v>
      </c>
      <c r="L55" s="3087">
        <v>4.2300000000000004</v>
      </c>
      <c r="N55" s="1651">
        <f t="shared" si="248"/>
        <v>4.6900000000000004E-2</v>
      </c>
      <c r="O55" s="1641">
        <f t="shared" si="248"/>
        <v>3.5499999999999997E-2</v>
      </c>
      <c r="P55" s="1641">
        <f t="shared" si="248"/>
        <v>5.0700000000000002E-2</v>
      </c>
      <c r="Q55" s="1641">
        <f t="shared" si="248"/>
        <v>4.2300000000000004E-2</v>
      </c>
      <c r="R55" s="1652"/>
      <c r="S55" s="1651"/>
      <c r="T55" s="1641"/>
      <c r="U55" s="1641"/>
      <c r="V55" s="1641"/>
    </row>
    <row r="56" spans="1:26" ht="13.5" thickBot="1">
      <c r="A56" s="1649" t="s">
        <v>474</v>
      </c>
      <c r="B56" s="1650">
        <f t="shared" si="260"/>
        <v>232.06990378821649</v>
      </c>
      <c r="C56" s="1650">
        <f t="shared" si="260"/>
        <v>192.74878854286936</v>
      </c>
      <c r="D56" s="1650">
        <f t="shared" si="246"/>
        <v>192.74878854286936</v>
      </c>
      <c r="E56" s="1650">
        <f t="shared" si="261"/>
        <v>319.71247284992984</v>
      </c>
      <c r="F56" s="1650">
        <f t="shared" si="261"/>
        <v>175.67053622862409</v>
      </c>
      <c r="G56" s="4763">
        <v>2010</v>
      </c>
      <c r="H56" s="3037">
        <v>1</v>
      </c>
      <c r="I56" s="3035">
        <v>5.4</v>
      </c>
      <c r="J56" s="3035">
        <v>3.2</v>
      </c>
      <c r="K56" s="3035">
        <v>6.16</v>
      </c>
      <c r="L56" s="3085">
        <v>4.51</v>
      </c>
      <c r="N56" s="1651">
        <f t="shared" si="248"/>
        <v>5.4000000000000006E-2</v>
      </c>
      <c r="O56" s="1641">
        <f t="shared" si="248"/>
        <v>3.2000000000000001E-2</v>
      </c>
      <c r="P56" s="1641">
        <f t="shared" si="248"/>
        <v>6.1600000000000002E-2</v>
      </c>
      <c r="Q56" s="1641">
        <f t="shared" si="248"/>
        <v>4.5100000000000001E-2</v>
      </c>
      <c r="R56" s="1652"/>
      <c r="S56" s="1658">
        <f>B56/B57-1</f>
        <v>5.4863199037347599E-2</v>
      </c>
      <c r="T56" s="1659">
        <f>C56/C57-1</f>
        <v>3.0742184721226584E-2</v>
      </c>
      <c r="U56" s="1659">
        <f>E56/E57-1</f>
        <v>6.2167683886810154E-2</v>
      </c>
      <c r="V56" s="1659">
        <f>F56/F57-1</f>
        <v>4.5657953741810031E-2</v>
      </c>
      <c r="X56" s="1641"/>
      <c r="Y56" s="1641"/>
      <c r="Z56" s="1641"/>
    </row>
    <row r="57" spans="1:26" ht="13.5" thickBot="1">
      <c r="A57" s="1649" t="s">
        <v>475</v>
      </c>
      <c r="B57" s="1654">
        <v>220</v>
      </c>
      <c r="C57" s="1654">
        <v>187</v>
      </c>
      <c r="D57" s="1654">
        <f t="shared" si="246"/>
        <v>187</v>
      </c>
      <c r="E57" s="1654">
        <v>301</v>
      </c>
      <c r="F57" s="1655">
        <v>168</v>
      </c>
      <c r="G57" s="4761">
        <v>2009</v>
      </c>
      <c r="H57" s="3074">
        <v>4</v>
      </c>
      <c r="I57" s="3064">
        <v>2.2999999999999998</v>
      </c>
      <c r="J57" s="3064">
        <v>1.04</v>
      </c>
      <c r="K57" s="3064">
        <v>2.84</v>
      </c>
      <c r="L57" s="3088">
        <v>0.67</v>
      </c>
      <c r="N57" s="1660">
        <f t="shared" si="248"/>
        <v>2.3E-2</v>
      </c>
      <c r="O57" s="1661">
        <f t="shared" si="248"/>
        <v>1.04E-2</v>
      </c>
      <c r="P57" s="1661">
        <f t="shared" si="248"/>
        <v>2.8399999999999998E-2</v>
      </c>
      <c r="Q57" s="1661">
        <f t="shared" si="248"/>
        <v>6.7000000000000002E-3</v>
      </c>
      <c r="R57" s="1652"/>
      <c r="S57" s="1656"/>
      <c r="T57" s="1657"/>
      <c r="U57" s="1657"/>
      <c r="V57" s="1657"/>
      <c r="X57" s="1657"/>
      <c r="Y57" s="1657"/>
      <c r="Z57" s="1657"/>
    </row>
    <row r="58" spans="1:26">
      <c r="A58" s="1649" t="s">
        <v>476</v>
      </c>
      <c r="B58" s="1650">
        <f t="shared" ref="B58:C60" si="262">B57/(1+N57)</f>
        <v>215.05376344086022</v>
      </c>
      <c r="C58" s="1650">
        <f t="shared" si="262"/>
        <v>185.0752177355503</v>
      </c>
      <c r="D58" s="1650">
        <f t="shared" si="246"/>
        <v>185.0752177355503</v>
      </c>
      <c r="E58" s="1650">
        <f t="shared" ref="E58:F60" si="263">E57/(1+P57)</f>
        <v>292.68767016725008</v>
      </c>
      <c r="F58" s="1650">
        <f t="shared" si="263"/>
        <v>166.88189132810174</v>
      </c>
      <c r="G58" s="4762">
        <v>2009</v>
      </c>
      <c r="H58" s="3075">
        <v>3</v>
      </c>
      <c r="I58" s="3065">
        <v>2.1</v>
      </c>
      <c r="J58" s="3065">
        <v>1.86</v>
      </c>
      <c r="K58" s="3065">
        <v>2.29</v>
      </c>
      <c r="L58" s="3089">
        <v>0.85</v>
      </c>
      <c r="N58" s="1651">
        <f t="shared" si="248"/>
        <v>2.1000000000000001E-2</v>
      </c>
      <c r="O58" s="1641">
        <f t="shared" si="248"/>
        <v>1.8600000000000002E-2</v>
      </c>
      <c r="P58" s="1641">
        <f t="shared" si="248"/>
        <v>2.29E-2</v>
      </c>
      <c r="Q58" s="1641">
        <f t="shared" si="248"/>
        <v>8.5000000000000006E-3</v>
      </c>
      <c r="R58" s="1652"/>
      <c r="S58" s="1651"/>
      <c r="T58" s="1641"/>
      <c r="U58" s="1641"/>
      <c r="V58" s="1641"/>
    </row>
    <row r="59" spans="1:26">
      <c r="A59" s="1649" t="s">
        <v>477</v>
      </c>
      <c r="B59" s="1650">
        <f t="shared" si="262"/>
        <v>210.630522469011</v>
      </c>
      <c r="C59" s="1650">
        <f t="shared" si="262"/>
        <v>181.69567812247232</v>
      </c>
      <c r="D59" s="1650">
        <f t="shared" si="246"/>
        <v>181.69567812247232</v>
      </c>
      <c r="E59" s="1650">
        <f t="shared" si="263"/>
        <v>286.13517466736738</v>
      </c>
      <c r="F59" s="1650">
        <f t="shared" si="263"/>
        <v>165.47535084591149</v>
      </c>
      <c r="G59" s="4762">
        <v>2009</v>
      </c>
      <c r="H59" s="3073">
        <v>2</v>
      </c>
      <c r="I59" s="3063">
        <v>0.86</v>
      </c>
      <c r="J59" s="3063">
        <v>-1.1299999999999999</v>
      </c>
      <c r="K59" s="3063">
        <v>1.79</v>
      </c>
      <c r="L59" s="3087">
        <v>-2.0699999999999998</v>
      </c>
      <c r="N59" s="1651">
        <f t="shared" si="248"/>
        <v>8.6E-3</v>
      </c>
      <c r="O59" s="1641">
        <f t="shared" si="248"/>
        <v>-1.1299999999999999E-2</v>
      </c>
      <c r="P59" s="1641">
        <f t="shared" si="248"/>
        <v>1.7899999999999999E-2</v>
      </c>
      <c r="Q59" s="1641">
        <f t="shared" si="248"/>
        <v>-2.07E-2</v>
      </c>
      <c r="R59" s="1652"/>
      <c r="S59" s="1651"/>
      <c r="T59" s="1641"/>
      <c r="U59" s="1641"/>
      <c r="V59" s="1641"/>
    </row>
    <row r="60" spans="1:26">
      <c r="A60" s="1649" t="s">
        <v>478</v>
      </c>
      <c r="B60" s="1650">
        <f t="shared" si="262"/>
        <v>208.83454537875372</v>
      </c>
      <c r="C60" s="1650">
        <f t="shared" si="262"/>
        <v>183.77230517090351</v>
      </c>
      <c r="D60" s="1650">
        <f t="shared" si="246"/>
        <v>183.77230517090351</v>
      </c>
      <c r="E60" s="1650">
        <f t="shared" si="263"/>
        <v>281.10342338870947</v>
      </c>
      <c r="F60" s="1650">
        <f t="shared" si="263"/>
        <v>168.97309388942256</v>
      </c>
      <c r="G60" s="4763">
        <v>2009</v>
      </c>
      <c r="H60" s="3037">
        <v>1</v>
      </c>
      <c r="I60" s="3035">
        <v>-2.64</v>
      </c>
      <c r="J60" s="3035">
        <v>-2.5299999999999998</v>
      </c>
      <c r="K60" s="3035">
        <v>-3.02</v>
      </c>
      <c r="L60" s="3085">
        <v>1.52</v>
      </c>
      <c r="N60" s="1658">
        <f t="shared" si="248"/>
        <v>-2.64E-2</v>
      </c>
      <c r="O60" s="1659">
        <f t="shared" si="248"/>
        <v>-2.53E-2</v>
      </c>
      <c r="P60" s="1659">
        <f t="shared" si="248"/>
        <v>-3.0200000000000001E-2</v>
      </c>
      <c r="Q60" s="1659">
        <f t="shared" si="248"/>
        <v>1.52E-2</v>
      </c>
      <c r="R60" s="1652"/>
      <c r="S60" s="1658">
        <f>B60/B61-1</f>
        <v>-2.4137638417038754E-2</v>
      </c>
      <c r="T60" s="1659">
        <f>C60/C61-1</f>
        <v>-2.248773845264096E-2</v>
      </c>
      <c r="U60" s="1659">
        <f>E60/E61-1</f>
        <v>-2.7323794502735366E-2</v>
      </c>
      <c r="V60" s="1659">
        <f>F60/F61-1</f>
        <v>1.7910204153148035E-2</v>
      </c>
      <c r="X60" s="1641"/>
      <c r="Y60" s="1641"/>
      <c r="Z60" s="1641"/>
    </row>
    <row r="61" spans="1:26" ht="13.5" thickBot="1">
      <c r="A61" s="1649" t="s">
        <v>479</v>
      </c>
      <c r="B61" s="1676">
        <v>214</v>
      </c>
      <c r="C61" s="1676">
        <v>188</v>
      </c>
      <c r="D61" s="1676">
        <f t="shared" si="246"/>
        <v>188</v>
      </c>
      <c r="E61" s="1676">
        <v>289</v>
      </c>
      <c r="F61" s="1677">
        <v>166</v>
      </c>
      <c r="G61" s="4761">
        <v>2008</v>
      </c>
      <c r="H61" s="3074">
        <v>4</v>
      </c>
      <c r="I61" s="3064">
        <v>1.73</v>
      </c>
      <c r="J61" s="3064">
        <v>0.03</v>
      </c>
      <c r="K61" s="3064">
        <v>2.59</v>
      </c>
      <c r="L61" s="3088">
        <v>-1.66</v>
      </c>
      <c r="N61" s="1651">
        <f t="shared" si="248"/>
        <v>1.7299999999999999E-2</v>
      </c>
      <c r="O61" s="1641">
        <f t="shared" si="248"/>
        <v>2.9999999999999997E-4</v>
      </c>
      <c r="P61" s="1641">
        <f t="shared" si="248"/>
        <v>2.5899999999999999E-2</v>
      </c>
      <c r="Q61" s="1641">
        <f t="shared" si="248"/>
        <v>-1.66E-2</v>
      </c>
      <c r="R61" s="1652"/>
      <c r="S61" s="1656"/>
      <c r="T61" s="1657"/>
      <c r="U61" s="1657"/>
      <c r="V61" s="1657"/>
      <c r="X61" s="1657"/>
      <c r="Y61" s="1657"/>
      <c r="Z61" s="1657"/>
    </row>
    <row r="62" spans="1:26">
      <c r="A62" s="1649" t="s">
        <v>480</v>
      </c>
      <c r="B62" s="1650">
        <f t="shared" ref="B62:C64" si="264">B61/(1+N61)</f>
        <v>210.36075887152265</v>
      </c>
      <c r="C62" s="1650">
        <f t="shared" si="264"/>
        <v>187.94361691492554</v>
      </c>
      <c r="D62" s="1650">
        <f t="shared" si="246"/>
        <v>187.94361691492554</v>
      </c>
      <c r="E62" s="1650">
        <f t="shared" ref="E62:F64" si="265">E61/(1+P61)</f>
        <v>281.70386977288234</v>
      </c>
      <c r="F62" s="1650">
        <f t="shared" si="265"/>
        <v>168.80211511083994</v>
      </c>
      <c r="G62" s="4762">
        <v>2008</v>
      </c>
      <c r="H62" s="3075">
        <v>3</v>
      </c>
      <c r="I62" s="3065">
        <v>1.96</v>
      </c>
      <c r="J62" s="3065">
        <v>2.36</v>
      </c>
      <c r="K62" s="3065">
        <v>1.82</v>
      </c>
      <c r="L62" s="3089">
        <v>2.2200000000000002</v>
      </c>
      <c r="N62" s="1651">
        <f t="shared" si="248"/>
        <v>1.9599999999999999E-2</v>
      </c>
      <c r="O62" s="1641">
        <f t="shared" si="248"/>
        <v>2.3599999999999999E-2</v>
      </c>
      <c r="P62" s="1641">
        <f t="shared" si="248"/>
        <v>1.8200000000000001E-2</v>
      </c>
      <c r="Q62" s="1641">
        <f t="shared" si="248"/>
        <v>2.2200000000000001E-2</v>
      </c>
      <c r="R62" s="1652"/>
      <c r="S62" s="1651"/>
      <c r="T62" s="1641"/>
      <c r="U62" s="1641"/>
      <c r="V62" s="1641"/>
    </row>
    <row r="63" spans="1:26">
      <c r="A63" s="1649" t="s">
        <v>481</v>
      </c>
      <c r="B63" s="1650">
        <f t="shared" si="264"/>
        <v>206.31694671589116</v>
      </c>
      <c r="C63" s="1650">
        <f t="shared" si="264"/>
        <v>183.61041121036101</v>
      </c>
      <c r="D63" s="1650">
        <f t="shared" si="246"/>
        <v>183.61041121036101</v>
      </c>
      <c r="E63" s="1650">
        <f t="shared" si="265"/>
        <v>276.66850301795557</v>
      </c>
      <c r="F63" s="1650">
        <f t="shared" si="265"/>
        <v>165.1360938278614</v>
      </c>
      <c r="G63" s="4762">
        <v>2008</v>
      </c>
      <c r="H63" s="3073">
        <v>2</v>
      </c>
      <c r="I63" s="3063">
        <v>4.93</v>
      </c>
      <c r="J63" s="3063">
        <v>7.38</v>
      </c>
      <c r="K63" s="3063">
        <v>3.98</v>
      </c>
      <c r="L63" s="3087">
        <v>6.86</v>
      </c>
      <c r="N63" s="1651">
        <f t="shared" si="248"/>
        <v>4.9299999999999997E-2</v>
      </c>
      <c r="O63" s="1641">
        <f t="shared" si="248"/>
        <v>7.3800000000000004E-2</v>
      </c>
      <c r="P63" s="1641">
        <f t="shared" si="248"/>
        <v>3.9800000000000002E-2</v>
      </c>
      <c r="Q63" s="1641">
        <f t="shared" si="248"/>
        <v>6.8600000000000008E-2</v>
      </c>
      <c r="R63" s="1652"/>
      <c r="S63" s="1651"/>
      <c r="T63" s="1641"/>
      <c r="U63" s="1641"/>
      <c r="V63" s="1641"/>
    </row>
    <row r="64" spans="1:26" s="1680" customFormat="1" ht="13.5" thickBot="1">
      <c r="A64" s="1649" t="s">
        <v>482</v>
      </c>
      <c r="B64" s="1679">
        <f t="shared" si="264"/>
        <v>196.62341248059772</v>
      </c>
      <c r="C64" s="1679">
        <f t="shared" si="264"/>
        <v>170.99125648199012</v>
      </c>
      <c r="D64" s="1679">
        <f t="shared" si="246"/>
        <v>170.99125648199012</v>
      </c>
      <c r="E64" s="1679">
        <f t="shared" si="265"/>
        <v>266.07857570490052</v>
      </c>
      <c r="F64" s="1679">
        <f t="shared" si="265"/>
        <v>154.53499328828505</v>
      </c>
      <c r="G64" s="4763">
        <v>2008</v>
      </c>
      <c r="H64" s="3079">
        <v>1</v>
      </c>
      <c r="I64" s="3069">
        <v>4.1399999999999997</v>
      </c>
      <c r="J64" s="3069">
        <v>3.45</v>
      </c>
      <c r="K64" s="3069">
        <v>4.95</v>
      </c>
      <c r="L64" s="3093">
        <v>4.82</v>
      </c>
      <c r="N64" s="1681">
        <f t="shared" si="248"/>
        <v>4.1399999999999999E-2</v>
      </c>
      <c r="O64" s="1682">
        <f t="shared" si="248"/>
        <v>3.4500000000000003E-2</v>
      </c>
      <c r="P64" s="1682">
        <f t="shared" si="248"/>
        <v>4.9500000000000002E-2</v>
      </c>
      <c r="Q64" s="1682">
        <f t="shared" si="248"/>
        <v>4.82E-2</v>
      </c>
      <c r="R64" s="1683"/>
      <c r="S64" s="1681">
        <f>B64/B65-1</f>
        <v>4.5869215322328349E-2</v>
      </c>
      <c r="T64" s="1682">
        <f>C64/C65-1</f>
        <v>3.6310645345394743E-2</v>
      </c>
      <c r="U64" s="1682">
        <f>E64/E65-1</f>
        <v>4.7553447657088688E-2</v>
      </c>
      <c r="V64" s="1682">
        <f>F64/F65-1</f>
        <v>4.4155360055980086E-2</v>
      </c>
      <c r="X64" s="1682"/>
      <c r="Y64" s="1682"/>
      <c r="Z64" s="1682"/>
    </row>
    <row r="65" spans="1:26" ht="13.5" thickBot="1">
      <c r="A65" s="1649" t="s">
        <v>483</v>
      </c>
      <c r="B65" s="1654">
        <v>188</v>
      </c>
      <c r="C65" s="1654">
        <v>165</v>
      </c>
      <c r="D65" s="1654">
        <f t="shared" si="246"/>
        <v>165</v>
      </c>
      <c r="E65" s="1654">
        <v>254</v>
      </c>
      <c r="F65" s="1655">
        <v>148</v>
      </c>
      <c r="G65" s="4761">
        <v>2007</v>
      </c>
      <c r="H65" s="3080">
        <v>4</v>
      </c>
      <c r="I65" s="3070">
        <v>5.51</v>
      </c>
      <c r="J65" s="3070">
        <v>4.8899999999999997</v>
      </c>
      <c r="K65" s="3070">
        <v>6.43</v>
      </c>
      <c r="L65" s="3094">
        <v>5.36</v>
      </c>
      <c r="N65" s="1684">
        <f t="shared" ref="N65:O68" si="266">B65/B66-1</f>
        <v>4.1339718365245526E-2</v>
      </c>
      <c r="O65" s="1685">
        <f t="shared" si="266"/>
        <v>4.0324492593776018E-2</v>
      </c>
      <c r="P65" s="1685">
        <f t="shared" ref="P65:Q68" si="267">E65/E66-1</f>
        <v>6.1625555347990968E-2</v>
      </c>
      <c r="Q65" s="1685">
        <f t="shared" si="267"/>
        <v>4.6757569250590603E-2</v>
      </c>
      <c r="R65" s="1652"/>
      <c r="S65" s="1656"/>
      <c r="T65" s="1657"/>
      <c r="U65" s="1657"/>
      <c r="V65" s="1657"/>
      <c r="X65" s="1657"/>
      <c r="Y65" s="1657"/>
      <c r="Z65" s="1657"/>
    </row>
    <row r="66" spans="1:26">
      <c r="A66" s="1649" t="s">
        <v>484</v>
      </c>
      <c r="B66" s="1650">
        <f t="shared" ref="B66:C68" si="268">B67+(B$65-B$69)*I66/SUM(I$65:I$68)</f>
        <v>180.5366651097618</v>
      </c>
      <c r="C66" s="1650">
        <f t="shared" si="268"/>
        <v>158.60435967302453</v>
      </c>
      <c r="D66" s="1650">
        <f t="shared" si="246"/>
        <v>158.60435967302453</v>
      </c>
      <c r="E66" s="1650">
        <f t="shared" ref="E66:F68" si="269">E67+(E$65-E$69)*K66/SUM(K$65:K$68)</f>
        <v>239.25573260785075</v>
      </c>
      <c r="F66" s="1650">
        <f t="shared" si="269"/>
        <v>141.38899430740037</v>
      </c>
      <c r="G66" s="4762">
        <v>2007</v>
      </c>
      <c r="H66" s="3075">
        <v>3</v>
      </c>
      <c r="I66" s="3065">
        <v>8.65</v>
      </c>
      <c r="J66" s="3065">
        <v>8.06</v>
      </c>
      <c r="K66" s="3065">
        <v>9.94</v>
      </c>
      <c r="L66" s="3089">
        <v>5.8</v>
      </c>
      <c r="N66" s="1684">
        <f t="shared" si="266"/>
        <v>6.940217571740015E-2</v>
      </c>
      <c r="O66" s="1685">
        <f t="shared" si="266"/>
        <v>7.1197482471153428E-2</v>
      </c>
      <c r="P66" s="1685">
        <f t="shared" si="267"/>
        <v>0.10529679922579582</v>
      </c>
      <c r="Q66" s="1685">
        <f t="shared" si="267"/>
        <v>5.3292245059512133E-2</v>
      </c>
      <c r="R66" s="1652"/>
      <c r="S66" s="1651"/>
      <c r="T66" s="1641"/>
      <c r="U66" s="1641"/>
      <c r="V66" s="1641"/>
      <c r="X66" s="1686"/>
      <c r="Y66" s="1686"/>
      <c r="Z66" s="1686"/>
    </row>
    <row r="67" spans="1:26">
      <c r="A67" s="1649" t="s">
        <v>485</v>
      </c>
      <c r="B67" s="1650">
        <f t="shared" si="268"/>
        <v>168.82017748715555</v>
      </c>
      <c r="C67" s="1650">
        <f t="shared" si="268"/>
        <v>148.06267029972753</v>
      </c>
      <c r="D67" s="1650">
        <f t="shared" si="246"/>
        <v>148.06267029972753</v>
      </c>
      <c r="E67" s="1650">
        <f t="shared" si="269"/>
        <v>216.46288379323747</v>
      </c>
      <c r="F67" s="1650">
        <f t="shared" si="269"/>
        <v>134.23529411764704</v>
      </c>
      <c r="G67" s="4762">
        <v>2007</v>
      </c>
      <c r="H67" s="3073">
        <v>2</v>
      </c>
      <c r="I67" s="3063">
        <v>3.67</v>
      </c>
      <c r="J67" s="3063">
        <v>2.3199999999999998</v>
      </c>
      <c r="K67" s="3063">
        <v>5.0199999999999996</v>
      </c>
      <c r="L67" s="3087">
        <v>6.71</v>
      </c>
      <c r="N67" s="1684">
        <f t="shared" si="266"/>
        <v>3.0339138143848032E-2</v>
      </c>
      <c r="O67" s="1685">
        <f t="shared" si="266"/>
        <v>2.0922341588790472E-2</v>
      </c>
      <c r="P67" s="1685">
        <f t="shared" si="267"/>
        <v>5.6164796592717003E-2</v>
      </c>
      <c r="Q67" s="1685">
        <f t="shared" si="267"/>
        <v>6.5704536723887319E-2</v>
      </c>
      <c r="R67" s="1652"/>
      <c r="S67" s="1651"/>
      <c r="T67" s="1641"/>
      <c r="U67" s="1641"/>
      <c r="V67" s="1641"/>
      <c r="X67" s="1686"/>
      <c r="Y67" s="1686"/>
      <c r="Z67" s="1686"/>
    </row>
    <row r="68" spans="1:26">
      <c r="A68" s="1649" t="s">
        <v>486</v>
      </c>
      <c r="B68" s="1650">
        <f t="shared" si="268"/>
        <v>163.84913591779542</v>
      </c>
      <c r="C68" s="1650">
        <f t="shared" si="268"/>
        <v>145.0283378746594</v>
      </c>
      <c r="D68" s="1650">
        <f t="shared" si="246"/>
        <v>145.0283378746594</v>
      </c>
      <c r="E68" s="1650">
        <f t="shared" si="269"/>
        <v>204.95180722891567</v>
      </c>
      <c r="F68" s="1650">
        <f t="shared" si="269"/>
        <v>125.95920303605313</v>
      </c>
      <c r="G68" s="4763">
        <v>2007</v>
      </c>
      <c r="H68" s="3037">
        <v>1</v>
      </c>
      <c r="I68" s="3035">
        <v>3.58</v>
      </c>
      <c r="J68" s="3035">
        <v>3.08</v>
      </c>
      <c r="K68" s="3035">
        <v>4.34</v>
      </c>
      <c r="L68" s="3085">
        <v>3.21</v>
      </c>
      <c r="N68" s="1687">
        <f t="shared" si="266"/>
        <v>3.0497710174814063E-2</v>
      </c>
      <c r="O68" s="1688">
        <f t="shared" si="266"/>
        <v>2.8569772160704998E-2</v>
      </c>
      <c r="P68" s="1688">
        <f t="shared" si="267"/>
        <v>5.1034908866234296E-2</v>
      </c>
      <c r="Q68" s="1688">
        <f t="shared" si="267"/>
        <v>3.245248390207478E-2</v>
      </c>
      <c r="R68" s="1652"/>
      <c r="S68" s="1658">
        <f>B68/B69-1</f>
        <v>3.0497710174814063E-2</v>
      </c>
      <c r="T68" s="1659">
        <f>C68/C69-1</f>
        <v>2.8569772160704998E-2</v>
      </c>
      <c r="U68" s="1659">
        <f>E68/E69-1</f>
        <v>5.1034908866234296E-2</v>
      </c>
      <c r="V68" s="1659">
        <f>F68/F69-1</f>
        <v>3.245248390207478E-2</v>
      </c>
      <c r="X68" s="1686"/>
      <c r="Y68" s="1686"/>
      <c r="Z68" s="1686"/>
    </row>
    <row r="69" spans="1:26" ht="13.5" thickBot="1">
      <c r="A69" s="1649" t="s">
        <v>487</v>
      </c>
      <c r="B69" s="1663">
        <v>159</v>
      </c>
      <c r="C69" s="1663">
        <v>141</v>
      </c>
      <c r="D69" s="1663">
        <f t="shared" si="246"/>
        <v>141</v>
      </c>
      <c r="E69" s="1663">
        <v>195</v>
      </c>
      <c r="F69" s="1664">
        <v>122</v>
      </c>
      <c r="G69" s="4761">
        <v>2006</v>
      </c>
      <c r="H69" s="3074">
        <v>4</v>
      </c>
      <c r="I69" s="3064">
        <v>3.79</v>
      </c>
      <c r="J69" s="3064">
        <v>2.21</v>
      </c>
      <c r="K69" s="3064">
        <v>5.65</v>
      </c>
      <c r="L69" s="3088">
        <v>5.41</v>
      </c>
      <c r="N69" s="1684">
        <f t="shared" ref="N69:O72" si="270">I69/SUM(I$69:I$72)*(B$69/B$73-1)</f>
        <v>7.245466462748526E-2</v>
      </c>
      <c r="O69" s="1685">
        <f t="shared" si="270"/>
        <v>2.3237230038062766E-2</v>
      </c>
      <c r="P69" s="1685">
        <f t="shared" ref="P69:Q72" si="271">K69/SUM(K$69:K$72)*(E$69/E$73-1)</f>
        <v>0.16146893866323722</v>
      </c>
      <c r="Q69" s="1685">
        <f t="shared" si="271"/>
        <v>5.0755230321793784E-2</v>
      </c>
      <c r="R69" s="1652"/>
      <c r="S69" s="1656"/>
      <c r="T69" s="1657"/>
      <c r="U69" s="1657"/>
      <c r="V69" s="1657"/>
      <c r="X69" s="1686"/>
      <c r="Y69" s="1686"/>
      <c r="Z69" s="1686"/>
    </row>
    <row r="70" spans="1:26">
      <c r="A70" s="1649" t="s">
        <v>488</v>
      </c>
      <c r="B70" s="1650">
        <f t="shared" ref="B70:C72" si="272">B71+(B$69-B$73)*I70/SUM(I$69:I$72)</f>
        <v>149.00125628140702</v>
      </c>
      <c r="C70" s="1650">
        <f t="shared" si="272"/>
        <v>137.95592286501378</v>
      </c>
      <c r="D70" s="1650">
        <f t="shared" si="246"/>
        <v>137.95592286501378</v>
      </c>
      <c r="E70" s="1650">
        <f t="shared" ref="E70:F72" si="273">E71+(E$69-E$73)*K70/SUM(K$69:K$72)</f>
        <v>169.97231450719823</v>
      </c>
      <c r="F70" s="1650">
        <f t="shared" si="273"/>
        <v>116.21390374331551</v>
      </c>
      <c r="G70" s="4762">
        <v>2006</v>
      </c>
      <c r="H70" s="3075">
        <v>3</v>
      </c>
      <c r="I70" s="3065">
        <v>0.92</v>
      </c>
      <c r="J70" s="3065">
        <v>1.08</v>
      </c>
      <c r="K70" s="3065">
        <v>0.73</v>
      </c>
      <c r="L70" s="3089">
        <v>1.08</v>
      </c>
      <c r="N70" s="1684">
        <f t="shared" si="270"/>
        <v>1.7587939698492462E-2</v>
      </c>
      <c r="O70" s="1685">
        <f t="shared" si="270"/>
        <v>1.1355750425840628E-2</v>
      </c>
      <c r="P70" s="1685">
        <f t="shared" si="271"/>
        <v>2.0862358446754544E-2</v>
      </c>
      <c r="Q70" s="1685">
        <f t="shared" si="271"/>
        <v>1.0132282578103011E-2</v>
      </c>
      <c r="R70" s="1652"/>
      <c r="S70" s="1651"/>
      <c r="T70" s="1641"/>
      <c r="U70" s="1641"/>
      <c r="V70" s="1641"/>
      <c r="X70" s="1686"/>
      <c r="Y70" s="1686"/>
      <c r="Z70" s="1686"/>
    </row>
    <row r="71" spans="1:26">
      <c r="A71" s="1649" t="s">
        <v>489</v>
      </c>
      <c r="B71" s="1650">
        <f t="shared" si="272"/>
        <v>146.57412060301507</v>
      </c>
      <c r="C71" s="1650">
        <f t="shared" si="272"/>
        <v>136.46831955922866</v>
      </c>
      <c r="D71" s="1650">
        <f t="shared" si="246"/>
        <v>136.46831955922866</v>
      </c>
      <c r="E71" s="1650">
        <f t="shared" si="273"/>
        <v>166.73864894795128</v>
      </c>
      <c r="F71" s="1650">
        <f t="shared" si="273"/>
        <v>115.05882352941177</v>
      </c>
      <c r="G71" s="4762">
        <v>2006</v>
      </c>
      <c r="H71" s="3073">
        <v>2</v>
      </c>
      <c r="I71" s="3063">
        <v>0.96</v>
      </c>
      <c r="J71" s="3063">
        <v>0.25</v>
      </c>
      <c r="K71" s="3063">
        <v>1.9</v>
      </c>
      <c r="L71" s="3087">
        <v>0.95</v>
      </c>
      <c r="N71" s="1684">
        <f t="shared" si="270"/>
        <v>1.8352632728861701E-2</v>
      </c>
      <c r="O71" s="1685">
        <f t="shared" si="270"/>
        <v>2.6286459319075526E-3</v>
      </c>
      <c r="P71" s="1685">
        <f t="shared" si="271"/>
        <v>5.4299289107991269E-2</v>
      </c>
      <c r="Q71" s="1685">
        <f t="shared" si="271"/>
        <v>8.9126559714794995E-3</v>
      </c>
      <c r="R71" s="1652"/>
      <c r="S71" s="1651"/>
      <c r="T71" s="1641"/>
      <c r="U71" s="1641"/>
      <c r="V71" s="1641"/>
      <c r="X71" s="1686"/>
      <c r="Y71" s="1686"/>
      <c r="Z71" s="1686"/>
    </row>
    <row r="72" spans="1:26">
      <c r="A72" s="1649" t="s">
        <v>490</v>
      </c>
      <c r="B72" s="1650">
        <f t="shared" si="272"/>
        <v>144.04145728643215</v>
      </c>
      <c r="C72" s="1650">
        <f t="shared" si="272"/>
        <v>136.12396694214877</v>
      </c>
      <c r="D72" s="1650">
        <f t="shared" si="246"/>
        <v>136.12396694214877</v>
      </c>
      <c r="E72" s="1650">
        <f t="shared" si="273"/>
        <v>158.32225913621264</v>
      </c>
      <c r="F72" s="1650">
        <f t="shared" si="273"/>
        <v>114.04278074866311</v>
      </c>
      <c r="G72" s="4763">
        <v>2006</v>
      </c>
      <c r="H72" s="3037">
        <v>1</v>
      </c>
      <c r="I72" s="3035">
        <v>2.29</v>
      </c>
      <c r="J72" s="3035">
        <v>3.72</v>
      </c>
      <c r="K72" s="3035">
        <v>0.75</v>
      </c>
      <c r="L72" s="3085">
        <v>0.04</v>
      </c>
      <c r="N72" s="1687">
        <f t="shared" si="270"/>
        <v>4.3778675988638847E-2</v>
      </c>
      <c r="O72" s="1688">
        <f t="shared" si="270"/>
        <v>3.9114251466784385E-2</v>
      </c>
      <c r="P72" s="1688">
        <f t="shared" si="271"/>
        <v>2.1433929911049188E-2</v>
      </c>
      <c r="Q72" s="1688">
        <f t="shared" si="271"/>
        <v>3.7526972511492629E-4</v>
      </c>
      <c r="R72" s="1652"/>
      <c r="S72" s="1658">
        <f>B72/B73-1</f>
        <v>4.3778675988638716E-2</v>
      </c>
      <c r="T72" s="1659">
        <f>C72/C73-1</f>
        <v>3.91142514667846E-2</v>
      </c>
      <c r="U72" s="1659">
        <f>E72/E73-1</f>
        <v>2.143392991104931E-2</v>
      </c>
      <c r="V72" s="1659">
        <f>F72/F73-1</f>
        <v>3.7526972511492396E-4</v>
      </c>
      <c r="X72" s="1686"/>
      <c r="Y72" s="1686"/>
      <c r="Z72" s="1686"/>
    </row>
    <row r="73" spans="1:26" ht="13.5" thickBot="1">
      <c r="A73" s="1649" t="s">
        <v>491</v>
      </c>
      <c r="B73" s="1663">
        <v>138</v>
      </c>
      <c r="C73" s="1663">
        <v>131</v>
      </c>
      <c r="D73" s="1663">
        <f t="shared" si="246"/>
        <v>131</v>
      </c>
      <c r="E73" s="1663">
        <v>155</v>
      </c>
      <c r="F73" s="1664">
        <v>114</v>
      </c>
      <c r="G73" s="4761">
        <v>2005</v>
      </c>
      <c r="H73" s="3074">
        <v>4</v>
      </c>
      <c r="I73" s="3064">
        <v>3.29</v>
      </c>
      <c r="J73" s="3064">
        <v>1.44</v>
      </c>
      <c r="K73" s="3064">
        <v>0.66</v>
      </c>
      <c r="L73" s="3088">
        <v>7.78</v>
      </c>
      <c r="N73" s="1684">
        <f t="shared" ref="N73:O76" si="274">I73/SUM(I$73:I$76)*(B$73/B$77-1)</f>
        <v>9.9404603216919935E-2</v>
      </c>
      <c r="O73" s="1685">
        <f t="shared" si="274"/>
        <v>4.7636550760861554E-2</v>
      </c>
      <c r="P73" s="1685">
        <f t="shared" ref="P73:Q76" si="275">K73/SUM(K$73:K$76)*(E$73/E$77-1)</f>
        <v>8.3756345177664976E-2</v>
      </c>
      <c r="Q73" s="1685">
        <f t="shared" si="275"/>
        <v>5.2148766661559584E-2</v>
      </c>
      <c r="R73" s="1652"/>
      <c r="S73" s="1656"/>
      <c r="T73" s="1657"/>
      <c r="U73" s="1657"/>
      <c r="V73" s="1657"/>
      <c r="X73" s="1686"/>
      <c r="Y73" s="1686"/>
      <c r="Z73" s="1686"/>
    </row>
    <row r="74" spans="1:26">
      <c r="A74" s="1649" t="s">
        <v>492</v>
      </c>
      <c r="B74" s="1650">
        <f t="shared" ref="B74:C76" si="276">B75+(B$73-B$77)*I74/SUM(I$73:I$76)</f>
        <v>125.9720430107527</v>
      </c>
      <c r="C74" s="1650">
        <f t="shared" si="276"/>
        <v>125.1883408071749</v>
      </c>
      <c r="D74" s="1650">
        <f t="shared" si="246"/>
        <v>125.1883408071749</v>
      </c>
      <c r="E74" s="1650">
        <f t="shared" ref="E74:F76" si="277">E75+(E$73-E$77)*K74/SUM(K$73:K$76)</f>
        <v>144.61421319796952</v>
      </c>
      <c r="F74" s="1650">
        <f t="shared" si="277"/>
        <v>108.42008196721311</v>
      </c>
      <c r="G74" s="4762">
        <v>2005</v>
      </c>
      <c r="H74" s="3075">
        <v>3</v>
      </c>
      <c r="I74" s="3065">
        <v>0.46</v>
      </c>
      <c r="J74" s="3065">
        <v>0.32</v>
      </c>
      <c r="K74" s="3065">
        <v>0.42</v>
      </c>
      <c r="L74" s="3089">
        <v>0.64</v>
      </c>
      <c r="N74" s="1684">
        <f t="shared" si="274"/>
        <v>1.3898515951301874E-2</v>
      </c>
      <c r="O74" s="1685">
        <f t="shared" si="274"/>
        <v>1.0585900169080346E-2</v>
      </c>
      <c r="P74" s="1685">
        <f t="shared" si="275"/>
        <v>5.3299492385786795E-2</v>
      </c>
      <c r="Q74" s="1685">
        <f t="shared" si="275"/>
        <v>4.2898728359123568E-3</v>
      </c>
      <c r="R74" s="1652"/>
      <c r="S74" s="1651"/>
      <c r="T74" s="1641"/>
      <c r="U74" s="1641"/>
      <c r="V74" s="1641"/>
      <c r="X74" s="1686"/>
      <c r="Y74" s="1686"/>
      <c r="Z74" s="1686"/>
    </row>
    <row r="75" spans="1:26">
      <c r="A75" s="1649" t="s">
        <v>493</v>
      </c>
      <c r="B75" s="1650">
        <f t="shared" si="276"/>
        <v>124.29032258064517</v>
      </c>
      <c r="C75" s="1650">
        <f t="shared" si="276"/>
        <v>123.8968609865471</v>
      </c>
      <c r="D75" s="1650">
        <f t="shared" si="246"/>
        <v>123.8968609865471</v>
      </c>
      <c r="E75" s="1650">
        <f t="shared" si="277"/>
        <v>138.00507614213197</v>
      </c>
      <c r="F75" s="1650">
        <f t="shared" si="277"/>
        <v>107.96106557377048</v>
      </c>
      <c r="G75" s="4762">
        <v>2005</v>
      </c>
      <c r="H75" s="3073">
        <v>2</v>
      </c>
      <c r="I75" s="3063">
        <v>0.47</v>
      </c>
      <c r="J75" s="3063">
        <v>0.1</v>
      </c>
      <c r="K75" s="3063">
        <v>0.52</v>
      </c>
      <c r="L75" s="3087">
        <v>0.79</v>
      </c>
      <c r="N75" s="1684">
        <f t="shared" si="274"/>
        <v>1.420065760241713E-2</v>
      </c>
      <c r="O75" s="1685">
        <f t="shared" si="274"/>
        <v>3.3080938028376083E-3</v>
      </c>
      <c r="P75" s="1685">
        <f t="shared" si="275"/>
        <v>6.598984771573603E-2</v>
      </c>
      <c r="Q75" s="1685">
        <f t="shared" si="275"/>
        <v>5.2953117818293153E-3</v>
      </c>
      <c r="R75" s="1652"/>
      <c r="S75" s="1651"/>
      <c r="T75" s="1641"/>
      <c r="U75" s="1641"/>
      <c r="V75" s="1641"/>
      <c r="X75" s="1686"/>
      <c r="Y75" s="1686"/>
      <c r="Z75" s="1686"/>
    </row>
    <row r="76" spans="1:26">
      <c r="A76" s="1649" t="s">
        <v>494</v>
      </c>
      <c r="B76" s="1650">
        <f t="shared" si="276"/>
        <v>122.57204301075269</v>
      </c>
      <c r="C76" s="1650">
        <f t="shared" si="276"/>
        <v>123.4932735426009</v>
      </c>
      <c r="D76" s="1650">
        <f t="shared" si="246"/>
        <v>123.4932735426009</v>
      </c>
      <c r="E76" s="1650">
        <f t="shared" si="277"/>
        <v>129.82233502538071</v>
      </c>
      <c r="F76" s="1650">
        <f t="shared" si="277"/>
        <v>107.39446721311475</v>
      </c>
      <c r="G76" s="4763">
        <v>2005</v>
      </c>
      <c r="H76" s="3037">
        <v>1</v>
      </c>
      <c r="I76" s="3035">
        <v>0.43</v>
      </c>
      <c r="J76" s="3035">
        <v>0.37</v>
      </c>
      <c r="K76" s="3035">
        <v>0.37</v>
      </c>
      <c r="L76" s="3085">
        <v>0.55000000000000004</v>
      </c>
      <c r="N76" s="1687">
        <f t="shared" si="274"/>
        <v>1.2992090997956099E-2</v>
      </c>
      <c r="O76" s="1688">
        <f t="shared" si="274"/>
        <v>1.2239947070499151E-2</v>
      </c>
      <c r="P76" s="1688">
        <f t="shared" si="275"/>
        <v>4.6954314720812178E-2</v>
      </c>
      <c r="Q76" s="1688">
        <f t="shared" si="275"/>
        <v>3.6866094683621815E-3</v>
      </c>
      <c r="R76" s="1652"/>
      <c r="S76" s="1658">
        <f>B76/B77-1</f>
        <v>1.2992090997956174E-2</v>
      </c>
      <c r="T76" s="1659">
        <f>C76/C77-1</f>
        <v>1.2239947070499246E-2</v>
      </c>
      <c r="U76" s="1659">
        <f>E76/E77-1</f>
        <v>4.695431472081224E-2</v>
      </c>
      <c r="V76" s="1659">
        <f>F76/F77-1</f>
        <v>3.6866094683620787E-3</v>
      </c>
      <c r="X76" s="1686"/>
      <c r="Y76" s="1686"/>
      <c r="Z76" s="1686"/>
    </row>
    <row r="77" spans="1:26" ht="13.5" thickBot="1">
      <c r="A77" s="1649" t="s">
        <v>495</v>
      </c>
      <c r="B77" s="1676">
        <v>121</v>
      </c>
      <c r="C77" s="1676">
        <v>122</v>
      </c>
      <c r="D77" s="1676">
        <f t="shared" si="246"/>
        <v>122</v>
      </c>
      <c r="E77" s="1676">
        <v>124</v>
      </c>
      <c r="F77" s="1677">
        <v>107</v>
      </c>
      <c r="G77" s="4761">
        <v>2004</v>
      </c>
      <c r="H77" s="3074">
        <v>4</v>
      </c>
      <c r="I77" s="3064">
        <v>0.33</v>
      </c>
      <c r="J77" s="3064">
        <v>0.5</v>
      </c>
      <c r="K77" s="3064">
        <v>0.5</v>
      </c>
      <c r="L77" s="3088">
        <v>0</v>
      </c>
      <c r="N77" s="1684">
        <f t="shared" ref="N77:O80" si="278">I77/SUM(I$77:I$80)*(B$77/B$81-1)</f>
        <v>1.3391770148526898E-2</v>
      </c>
      <c r="O77" s="1685">
        <f t="shared" si="278"/>
        <v>1.063264221158958E-2</v>
      </c>
      <c r="P77" s="1685">
        <f t="shared" ref="P77:Q80" si="279">K77/SUM(K$77:K$80)*(E$77/E$81-1)</f>
        <v>2.2244466688911134E-2</v>
      </c>
      <c r="Q77" s="1685">
        <f t="shared" si="279"/>
        <v>0</v>
      </c>
      <c r="R77" s="1652"/>
      <c r="S77" s="1656"/>
      <c r="T77" s="1657"/>
      <c r="U77" s="1657"/>
      <c r="V77" s="1657"/>
      <c r="X77" s="1686"/>
      <c r="Y77" s="1686"/>
      <c r="Z77" s="1686"/>
    </row>
    <row r="78" spans="1:26">
      <c r="A78" s="1649" t="s">
        <v>496</v>
      </c>
      <c r="B78" s="1650">
        <f t="shared" ref="B78:C80" si="280">B79+(B$77-B$81)*I78/SUM(I$77:I$80)</f>
        <v>119.51351351351352</v>
      </c>
      <c r="C78" s="1650">
        <f t="shared" si="280"/>
        <v>120.7878787878788</v>
      </c>
      <c r="D78" s="1650">
        <f t="shared" si="246"/>
        <v>120.7878787878788</v>
      </c>
      <c r="E78" s="1650">
        <f t="shared" ref="E78:F80" si="281">E79+(E$77-E$81)*K78/SUM(K$77:K$80)</f>
        <v>121.5975975975976</v>
      </c>
      <c r="F78" s="1650">
        <f t="shared" si="281"/>
        <v>107</v>
      </c>
      <c r="G78" s="4762">
        <v>2004</v>
      </c>
      <c r="H78" s="3075">
        <v>3</v>
      </c>
      <c r="I78" s="3065">
        <v>0.56000000000000005</v>
      </c>
      <c r="J78" s="3065">
        <v>0.8</v>
      </c>
      <c r="K78" s="3065">
        <v>0.83</v>
      </c>
      <c r="L78" s="3089">
        <v>0.06</v>
      </c>
      <c r="N78" s="1684">
        <f t="shared" si="278"/>
        <v>2.2725428130833527E-2</v>
      </c>
      <c r="O78" s="1685">
        <f t="shared" si="278"/>
        <v>1.7012227538543329E-2</v>
      </c>
      <c r="P78" s="1685">
        <f t="shared" si="279"/>
        <v>3.6925814703592477E-2</v>
      </c>
      <c r="Q78" s="1685">
        <f t="shared" si="279"/>
        <v>2.8846153846153744E-2</v>
      </c>
      <c r="R78" s="1652"/>
      <c r="S78" s="1651"/>
      <c r="T78" s="1641"/>
      <c r="U78" s="1641"/>
      <c r="V78" s="1641"/>
      <c r="X78" s="1686"/>
      <c r="Y78" s="1686"/>
      <c r="Z78" s="1686"/>
    </row>
    <row r="79" spans="1:26">
      <c r="A79" s="1649" t="s">
        <v>497</v>
      </c>
      <c r="B79" s="1650">
        <f t="shared" si="280"/>
        <v>116.99099099099099</v>
      </c>
      <c r="C79" s="1650">
        <f t="shared" si="280"/>
        <v>118.84848484848486</v>
      </c>
      <c r="D79" s="1650">
        <f t="shared" si="246"/>
        <v>118.84848484848486</v>
      </c>
      <c r="E79" s="1650">
        <f t="shared" si="281"/>
        <v>117.60960960960961</v>
      </c>
      <c r="F79" s="1650">
        <f t="shared" si="281"/>
        <v>104</v>
      </c>
      <c r="G79" s="4762">
        <v>2004</v>
      </c>
      <c r="H79" s="3073">
        <v>2</v>
      </c>
      <c r="I79" s="3063">
        <v>1</v>
      </c>
      <c r="J79" s="3063">
        <v>1.5</v>
      </c>
      <c r="K79" s="3063">
        <v>1.5</v>
      </c>
      <c r="L79" s="3087">
        <v>0</v>
      </c>
      <c r="N79" s="1684">
        <f t="shared" si="278"/>
        <v>4.0581121662202721E-2</v>
      </c>
      <c r="O79" s="1685">
        <f t="shared" si="278"/>
        <v>3.1897926634768738E-2</v>
      </c>
      <c r="P79" s="1685">
        <f t="shared" si="279"/>
        <v>6.6733400066733395E-2</v>
      </c>
      <c r="Q79" s="1685">
        <f t="shared" si="279"/>
        <v>0</v>
      </c>
      <c r="R79" s="1652"/>
      <c r="S79" s="1651"/>
      <c r="T79" s="1641"/>
      <c r="U79" s="1641"/>
      <c r="V79" s="1641"/>
      <c r="X79" s="1686"/>
      <c r="Y79" s="1686"/>
      <c r="Z79" s="1686"/>
    </row>
    <row r="80" spans="1:26" s="1680" customFormat="1" ht="13.5" thickBot="1">
      <c r="A80" s="1649" t="s">
        <v>498</v>
      </c>
      <c r="B80" s="1679">
        <f t="shared" si="280"/>
        <v>112.48648648648648</v>
      </c>
      <c r="C80" s="1679">
        <f t="shared" si="280"/>
        <v>115.21212121212122</v>
      </c>
      <c r="D80" s="1679">
        <f t="shared" si="246"/>
        <v>115.21212121212122</v>
      </c>
      <c r="E80" s="1679">
        <f t="shared" si="281"/>
        <v>110.4024024024024</v>
      </c>
      <c r="F80" s="1679">
        <f t="shared" si="281"/>
        <v>104</v>
      </c>
      <c r="G80" s="4763">
        <v>2004</v>
      </c>
      <c r="H80" s="3079">
        <v>1</v>
      </c>
      <c r="I80" s="3069">
        <v>0.33</v>
      </c>
      <c r="J80" s="3069">
        <v>0.5</v>
      </c>
      <c r="K80" s="3069">
        <v>0.5</v>
      </c>
      <c r="L80" s="3093">
        <v>0</v>
      </c>
      <c r="N80" s="1689">
        <f t="shared" si="278"/>
        <v>1.3391770148526898E-2</v>
      </c>
      <c r="O80" s="1690">
        <f t="shared" si="278"/>
        <v>1.063264221158958E-2</v>
      </c>
      <c r="P80" s="1690">
        <f t="shared" si="279"/>
        <v>2.2244466688911134E-2</v>
      </c>
      <c r="Q80" s="1690">
        <f t="shared" si="279"/>
        <v>0</v>
      </c>
      <c r="R80" s="1683"/>
      <c r="S80" s="1681">
        <f>B80/B81-1</f>
        <v>1.3391770148526883E-2</v>
      </c>
      <c r="T80" s="1682">
        <f>C80/C81-1</f>
        <v>1.063264221158966E-2</v>
      </c>
      <c r="U80" s="1682">
        <f>E80/E81-1</f>
        <v>2.2244466688911224E-2</v>
      </c>
      <c r="V80" s="1682">
        <f>F80/F81-1</f>
        <v>0</v>
      </c>
      <c r="X80" s="1691"/>
      <c r="Y80" s="1691"/>
      <c r="Z80" s="1691"/>
    </row>
    <row r="81" spans="1:26" ht="13.5" thickBot="1">
      <c r="A81" s="1649" t="s">
        <v>499</v>
      </c>
      <c r="B81" s="1692">
        <v>111</v>
      </c>
      <c r="C81" s="1692">
        <v>114</v>
      </c>
      <c r="D81" s="1692">
        <f t="shared" si="246"/>
        <v>114</v>
      </c>
      <c r="E81" s="1692">
        <v>108</v>
      </c>
      <c r="F81" s="1693">
        <v>104</v>
      </c>
      <c r="G81" s="4761">
        <v>2003</v>
      </c>
      <c r="H81" s="3080">
        <v>4</v>
      </c>
      <c r="I81" s="1694"/>
      <c r="J81" s="1694"/>
      <c r="K81" s="1694"/>
      <c r="L81" s="1694"/>
      <c r="N81" s="1695"/>
      <c r="O81" s="1694"/>
      <c r="P81" s="1694"/>
      <c r="Q81" s="1694"/>
      <c r="S81" s="1695"/>
      <c r="T81" s="1694"/>
      <c r="U81" s="1694"/>
      <c r="V81" s="1694"/>
      <c r="X81" s="1686"/>
      <c r="Y81" s="1686"/>
      <c r="Z81" s="1686"/>
    </row>
    <row r="82" spans="1:26">
      <c r="A82" s="1649" t="s">
        <v>500</v>
      </c>
      <c r="B82" s="1696">
        <f t="shared" ref="B82:C84" si="282">B83+(B$81-B$85)/4</f>
        <v>109.75</v>
      </c>
      <c r="C82" s="1696">
        <f t="shared" si="282"/>
        <v>112.25</v>
      </c>
      <c r="D82" s="1696">
        <f t="shared" si="246"/>
        <v>112.25</v>
      </c>
      <c r="E82" s="1696">
        <f t="shared" ref="E82:F84" si="283">E83+(E$81-E$85)/4</f>
        <v>107.25</v>
      </c>
      <c r="F82" s="1696">
        <f t="shared" si="283"/>
        <v>103.5</v>
      </c>
      <c r="G82" s="4762">
        <v>2003</v>
      </c>
      <c r="H82" s="3075">
        <v>3</v>
      </c>
      <c r="I82" s="1694"/>
      <c r="J82" s="1694"/>
      <c r="K82" s="1694"/>
      <c r="L82" s="1694"/>
      <c r="X82" s="1686"/>
      <c r="Y82" s="1686"/>
      <c r="Z82" s="1686"/>
    </row>
    <row r="83" spans="1:26">
      <c r="A83" s="1649" t="s">
        <v>501</v>
      </c>
      <c r="B83" s="1696">
        <f t="shared" si="282"/>
        <v>108.5</v>
      </c>
      <c r="C83" s="1696">
        <f t="shared" si="282"/>
        <v>110.5</v>
      </c>
      <c r="D83" s="1696">
        <f t="shared" si="246"/>
        <v>110.5</v>
      </c>
      <c r="E83" s="1696">
        <f t="shared" si="283"/>
        <v>106.5</v>
      </c>
      <c r="F83" s="1696">
        <f t="shared" si="283"/>
        <v>103</v>
      </c>
      <c r="G83" s="4762">
        <v>2003</v>
      </c>
      <c r="H83" s="3073">
        <v>2</v>
      </c>
      <c r="I83" s="1694"/>
      <c r="J83" s="1694"/>
      <c r="K83" s="1694"/>
      <c r="L83" s="1694"/>
      <c r="X83" s="1686"/>
      <c r="Y83" s="1686"/>
      <c r="Z83" s="1686"/>
    </row>
    <row r="84" spans="1:26" ht="13.5" thickBot="1">
      <c r="A84" s="1649" t="s">
        <v>502</v>
      </c>
      <c r="B84" s="1696">
        <f t="shared" si="282"/>
        <v>107.25</v>
      </c>
      <c r="C84" s="1696">
        <f t="shared" si="282"/>
        <v>108.75</v>
      </c>
      <c r="D84" s="1696">
        <f t="shared" si="246"/>
        <v>108.75</v>
      </c>
      <c r="E84" s="1696">
        <f t="shared" si="283"/>
        <v>105.75</v>
      </c>
      <c r="F84" s="1696">
        <f t="shared" si="283"/>
        <v>102.5</v>
      </c>
      <c r="G84" s="4763">
        <v>2003</v>
      </c>
      <c r="H84" s="3081">
        <v>1</v>
      </c>
      <c r="I84" s="1694"/>
      <c r="J84" s="1694"/>
      <c r="K84" s="1694"/>
      <c r="L84" s="1694"/>
      <c r="S84" s="1651"/>
      <c r="T84" s="1641"/>
      <c r="U84" s="1641"/>
      <c r="X84" s="1686"/>
      <c r="Y84" s="1686"/>
      <c r="Z84" s="1686"/>
    </row>
    <row r="85" spans="1:26" ht="13.5" thickBot="1">
      <c r="A85" s="1649" t="s">
        <v>503</v>
      </c>
      <c r="B85" s="1697">
        <v>106</v>
      </c>
      <c r="C85" s="1697">
        <v>107</v>
      </c>
      <c r="D85" s="1697">
        <f t="shared" si="246"/>
        <v>107</v>
      </c>
      <c r="E85" s="1697">
        <v>105</v>
      </c>
      <c r="F85" s="1698">
        <v>102</v>
      </c>
      <c r="G85" s="4761">
        <v>2002</v>
      </c>
      <c r="H85" s="3074">
        <v>4</v>
      </c>
      <c r="I85" s="1694"/>
      <c r="J85" s="1694"/>
      <c r="K85" s="1694"/>
      <c r="L85" s="1694"/>
      <c r="N85" s="1695"/>
      <c r="O85" s="1694"/>
      <c r="P85" s="1694"/>
      <c r="Q85" s="1694"/>
      <c r="S85" s="1695"/>
      <c r="T85" s="1694"/>
      <c r="U85" s="1694"/>
      <c r="V85" s="1694"/>
      <c r="X85" s="1686"/>
      <c r="Y85" s="1686"/>
      <c r="Z85" s="1686"/>
    </row>
    <row r="86" spans="1:26">
      <c r="A86" s="1649" t="s">
        <v>504</v>
      </c>
      <c r="B86" s="1696">
        <f t="shared" ref="B86:C88" si="284">B87+(B$85-B$89)/4</f>
        <v>105</v>
      </c>
      <c r="C86" s="1696">
        <f t="shared" si="284"/>
        <v>106</v>
      </c>
      <c r="D86" s="1696">
        <f t="shared" si="246"/>
        <v>106</v>
      </c>
      <c r="E86" s="1696">
        <f t="shared" ref="E86:F88" si="285">E87+(E$85-E$89)/4</f>
        <v>104.5</v>
      </c>
      <c r="F86" s="1696">
        <f t="shared" si="285"/>
        <v>101.5</v>
      </c>
      <c r="G86" s="4762">
        <v>2002</v>
      </c>
      <c r="H86" s="3075">
        <v>3</v>
      </c>
      <c r="I86" s="1694"/>
      <c r="J86" s="1694"/>
      <c r="K86" s="1694"/>
      <c r="L86" s="1694"/>
      <c r="X86" s="1686"/>
      <c r="Y86" s="1686"/>
      <c r="Z86" s="1686"/>
    </row>
    <row r="87" spans="1:26">
      <c r="A87" s="1649" t="s">
        <v>505</v>
      </c>
      <c r="B87" s="1696">
        <f t="shared" si="284"/>
        <v>104</v>
      </c>
      <c r="C87" s="1696">
        <f t="shared" si="284"/>
        <v>105</v>
      </c>
      <c r="D87" s="1696">
        <f t="shared" si="246"/>
        <v>105</v>
      </c>
      <c r="E87" s="1696">
        <f t="shared" si="285"/>
        <v>104</v>
      </c>
      <c r="F87" s="1696">
        <f t="shared" si="285"/>
        <v>101</v>
      </c>
      <c r="G87" s="4762">
        <v>2002</v>
      </c>
      <c r="H87" s="3073">
        <v>2</v>
      </c>
      <c r="I87" s="1694"/>
      <c r="J87" s="1694"/>
      <c r="K87" s="1694"/>
      <c r="L87" s="1694"/>
      <c r="X87" s="1686"/>
      <c r="Y87" s="1686"/>
      <c r="Z87" s="1686"/>
    </row>
    <row r="88" spans="1:26" s="1667" customFormat="1" ht="13.5" thickBot="1">
      <c r="A88" s="1665" t="s">
        <v>506</v>
      </c>
      <c r="B88" s="1670">
        <f t="shared" si="284"/>
        <v>103</v>
      </c>
      <c r="C88" s="1670">
        <f t="shared" si="284"/>
        <v>104</v>
      </c>
      <c r="D88" s="1670">
        <f t="shared" si="246"/>
        <v>104</v>
      </c>
      <c r="E88" s="1670">
        <f t="shared" si="285"/>
        <v>103.5</v>
      </c>
      <c r="F88" s="1670">
        <f t="shared" si="285"/>
        <v>100.5</v>
      </c>
      <c r="G88" s="4763">
        <v>2002</v>
      </c>
      <c r="H88" s="3082">
        <v>1</v>
      </c>
      <c r="I88" s="1699"/>
      <c r="J88" s="1699"/>
      <c r="K88" s="1699"/>
      <c r="L88" s="1699"/>
      <c r="N88" s="1700"/>
      <c r="S88" s="1700"/>
      <c r="X88" s="1701"/>
      <c r="Y88" s="1701"/>
      <c r="Z88" s="1701"/>
    </row>
    <row r="89" spans="1:26" ht="13.5" thickBot="1">
      <c r="B89" s="1702">
        <v>102</v>
      </c>
      <c r="C89" s="1703">
        <v>103</v>
      </c>
      <c r="D89" s="1703">
        <f t="shared" si="246"/>
        <v>103</v>
      </c>
      <c r="E89" s="1703">
        <v>103</v>
      </c>
      <c r="F89" s="1704">
        <v>100</v>
      </c>
      <c r="I89" s="1694"/>
      <c r="J89" s="1694"/>
      <c r="K89" s="1694"/>
      <c r="L89" s="1694"/>
      <c r="N89" s="1695"/>
      <c r="O89" s="1694"/>
      <c r="P89" s="1694"/>
      <c r="Q89" s="1694"/>
      <c r="S89" s="1695"/>
      <c r="T89" s="1694"/>
      <c r="U89" s="1694"/>
      <c r="V89" s="1694"/>
      <c r="X89" s="1657"/>
      <c r="Y89" s="1657"/>
      <c r="Z89" s="1657"/>
    </row>
    <row r="91" spans="1:26" s="1706" customFormat="1">
      <c r="A91" s="1705" t="s">
        <v>507</v>
      </c>
      <c r="G91" s="1707"/>
      <c r="N91" s="1707"/>
      <c r="S91" s="1707"/>
    </row>
    <row r="92" spans="1:26" s="1706" customFormat="1">
      <c r="A92" s="1706" t="s">
        <v>508</v>
      </c>
      <c r="G92" s="1707"/>
      <c r="N92" s="1707"/>
      <c r="S92" s="1707"/>
    </row>
    <row r="93" spans="1:26" s="1706" customFormat="1">
      <c r="A93" s="1706" t="s">
        <v>509</v>
      </c>
      <c r="G93" s="1707"/>
      <c r="I93" s="1708"/>
      <c r="J93" s="1708"/>
      <c r="K93" s="1708"/>
      <c r="L93" s="1708"/>
      <c r="N93" s="1709"/>
      <c r="O93" s="1708"/>
      <c r="P93" s="1708"/>
      <c r="Q93" s="1708"/>
      <c r="S93" s="1709"/>
      <c r="T93" s="1708"/>
      <c r="U93" s="1708"/>
      <c r="V93" s="1708"/>
    </row>
    <row r="94" spans="1:26" s="1706" customFormat="1">
      <c r="A94" s="1706" t="s">
        <v>510</v>
      </c>
      <c r="G94" s="1707"/>
      <c r="N94" s="1707"/>
      <c r="S94" s="1707"/>
    </row>
    <row r="101" spans="7:22" ht="13.5" thickBot="1"/>
    <row r="102" spans="7:22">
      <c r="G102" s="1640"/>
      <c r="S102" s="1710" t="s">
        <v>511</v>
      </c>
      <c r="T102" s="1711" t="s">
        <v>512</v>
      </c>
      <c r="U102" s="1711" t="s">
        <v>513</v>
      </c>
      <c r="V102" s="1711" t="s">
        <v>514</v>
      </c>
    </row>
    <row r="103" spans="7:22">
      <c r="G103" s="1640"/>
      <c r="N103" s="1656"/>
      <c r="O103" s="1657"/>
      <c r="P103" s="1657"/>
      <c r="Q103" s="1657"/>
      <c r="S103" s="1712">
        <v>2006</v>
      </c>
      <c r="T103" s="1713">
        <v>15.1</v>
      </c>
      <c r="U103" s="1713">
        <v>7.43</v>
      </c>
      <c r="V103" s="1713">
        <v>26.26</v>
      </c>
    </row>
    <row r="104" spans="7:22">
      <c r="G104" s="1640"/>
      <c r="N104" s="1656"/>
      <c r="O104" s="1657"/>
      <c r="P104" s="1657"/>
      <c r="Q104" s="1657"/>
      <c r="S104" s="1714">
        <v>2005</v>
      </c>
      <c r="T104" s="1715">
        <v>13.9</v>
      </c>
      <c r="U104" s="1715">
        <v>7.49</v>
      </c>
      <c r="V104" s="1715">
        <v>24.92</v>
      </c>
    </row>
    <row r="105" spans="7:22">
      <c r="G105" s="1640"/>
      <c r="N105" s="1656"/>
      <c r="O105" s="1657"/>
      <c r="P105" s="1657"/>
      <c r="Q105" s="1657"/>
      <c r="S105" s="1712">
        <v>2004</v>
      </c>
      <c r="T105" s="1713">
        <v>9.48</v>
      </c>
      <c r="U105" s="1713">
        <v>7.2</v>
      </c>
      <c r="V105" s="1713">
        <v>14.68</v>
      </c>
    </row>
    <row r="106" spans="7:22">
      <c r="G106" s="1640"/>
      <c r="N106" s="1656"/>
      <c r="O106" s="1657"/>
      <c r="P106" s="1657"/>
      <c r="Q106" s="1657"/>
      <c r="S106" s="1714">
        <v>2003</v>
      </c>
      <c r="T106" s="1715">
        <v>4.5</v>
      </c>
      <c r="U106" s="1715">
        <v>6.12</v>
      </c>
      <c r="V106" s="1715">
        <v>2.34</v>
      </c>
    </row>
    <row r="107" spans="7:22" ht="13.5" thickBot="1">
      <c r="G107" s="1640"/>
      <c r="N107" s="1656"/>
      <c r="O107" s="1657"/>
      <c r="P107" s="1657"/>
      <c r="Q107" s="1657"/>
      <c r="S107" s="1716">
        <v>2002</v>
      </c>
      <c r="T107" s="1717">
        <v>3.59</v>
      </c>
      <c r="U107" s="1717">
        <v>4.54</v>
      </c>
      <c r="V107" s="1717">
        <v>2.5499999999999998</v>
      </c>
    </row>
    <row r="108" spans="7:22">
      <c r="G108" s="1640"/>
      <c r="N108" s="1656"/>
      <c r="O108" s="1657"/>
      <c r="P108" s="1657"/>
      <c r="Q108" s="1657"/>
    </row>
    <row r="109" spans="7:22">
      <c r="G109" s="1640"/>
      <c r="N109" s="1656"/>
      <c r="O109" s="1657"/>
      <c r="P109" s="1657"/>
      <c r="Q109" s="1657"/>
    </row>
    <row r="110" spans="7:22">
      <c r="G110" s="1640"/>
      <c r="N110" s="1656"/>
      <c r="O110" s="1657"/>
      <c r="P110" s="1657"/>
      <c r="Q110" s="1657"/>
    </row>
    <row r="111" spans="7:22">
      <c r="G111" s="1640"/>
      <c r="N111" s="1656"/>
      <c r="O111" s="1657"/>
      <c r="P111" s="1657"/>
      <c r="Q111" s="1657"/>
    </row>
    <row r="112" spans="7:22">
      <c r="G112" s="1640"/>
      <c r="N112" s="1656"/>
      <c r="O112" s="1657"/>
      <c r="P112" s="1657"/>
      <c r="Q112" s="1657"/>
    </row>
    <row r="113" spans="7:19">
      <c r="G113" s="1640"/>
      <c r="N113" s="1656"/>
      <c r="O113" s="1657"/>
      <c r="P113" s="1657"/>
      <c r="Q113" s="1657"/>
    </row>
    <row r="114" spans="7:19">
      <c r="G114" s="1640"/>
      <c r="N114" s="1656"/>
      <c r="O114" s="1657"/>
      <c r="P114" s="1657"/>
      <c r="Q114" s="1657"/>
    </row>
    <row r="115" spans="7:19">
      <c r="G115" s="1640"/>
      <c r="N115" s="1656"/>
      <c r="O115" s="1657"/>
      <c r="P115" s="1657"/>
      <c r="Q115" s="1657"/>
    </row>
    <row r="116" spans="7:19">
      <c r="G116" s="1640"/>
      <c r="N116" s="1656"/>
      <c r="O116" s="1657"/>
      <c r="P116" s="1657"/>
      <c r="Q116" s="1657"/>
    </row>
    <row r="117" spans="7:19">
      <c r="G117" s="1640"/>
      <c r="N117" s="1656"/>
      <c r="O117" s="1657"/>
      <c r="P117" s="1657"/>
      <c r="Q117" s="1657"/>
    </row>
    <row r="118" spans="7:19">
      <c r="G118" s="1640"/>
      <c r="N118" s="1656"/>
      <c r="O118" s="1657"/>
      <c r="P118" s="1657"/>
      <c r="Q118" s="1657"/>
      <c r="S118" s="1640"/>
    </row>
    <row r="119" spans="7:19">
      <c r="G119" s="1640"/>
      <c r="N119" s="1656"/>
      <c r="O119" s="1657"/>
      <c r="P119" s="1657"/>
      <c r="Q119" s="1657"/>
      <c r="S119" s="1640"/>
    </row>
    <row r="120" spans="7:19">
      <c r="G120" s="1640"/>
      <c r="N120" s="1656"/>
      <c r="O120" s="1657"/>
      <c r="P120" s="1657"/>
      <c r="Q120" s="1657"/>
      <c r="S120" s="1640"/>
    </row>
    <row r="121" spans="7:19">
      <c r="G121" s="1640"/>
      <c r="N121" s="1656"/>
      <c r="O121" s="1657"/>
      <c r="P121" s="1657"/>
      <c r="Q121" s="1657"/>
      <c r="S121" s="1640"/>
    </row>
    <row r="122" spans="7:19">
      <c r="G122" s="1640"/>
      <c r="N122" s="1656"/>
      <c r="O122" s="1657"/>
      <c r="P122" s="1657"/>
      <c r="Q122" s="1657"/>
      <c r="S122" s="1640"/>
    </row>
    <row r="123" spans="7:19">
      <c r="G123" s="1640"/>
      <c r="N123" s="1656"/>
      <c r="O123" s="1657"/>
      <c r="P123" s="1657"/>
      <c r="Q123" s="1657"/>
      <c r="S123" s="1640"/>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36" customWidth="1"/>
    <col min="2" max="2" width="18.625" style="2236" customWidth="1"/>
    <col min="3" max="6" width="10.25" style="2236" customWidth="1"/>
    <col min="7" max="7" width="10.5" style="2236" bestFit="1" customWidth="1"/>
    <col min="8" max="8" width="8.875" style="2235"/>
    <col min="9" max="9" width="13.375" style="2235" customWidth="1"/>
    <col min="10" max="13" width="13.375" style="2236" customWidth="1"/>
    <col min="14" max="14" width="18.25" style="2236" customWidth="1"/>
    <col min="15" max="17" width="15.125" style="2236" customWidth="1"/>
    <col min="18" max="20" width="11.5" style="2236" customWidth="1"/>
    <col min="21" max="16384" width="8.875" style="2236"/>
  </cols>
  <sheetData>
    <row r="1" spans="1:20" ht="12" thickBot="1">
      <c r="A1" s="4772" t="s">
        <v>2724</v>
      </c>
      <c r="B1" s="4772"/>
      <c r="C1" s="4772"/>
      <c r="D1" s="4772"/>
      <c r="E1" s="4772"/>
      <c r="F1" s="4772"/>
      <c r="G1" s="4773"/>
      <c r="I1" s="2361" t="s">
        <v>2725</v>
      </c>
      <c r="J1" s="2362" t="s">
        <v>2726</v>
      </c>
      <c r="K1" s="2362" t="s">
        <v>2727</v>
      </c>
      <c r="L1" s="2362" t="s">
        <v>2728</v>
      </c>
      <c r="M1" s="2362" t="s">
        <v>2729</v>
      </c>
      <c r="N1" s="2362" t="s">
        <v>2730</v>
      </c>
      <c r="O1" s="2362" t="s">
        <v>2731</v>
      </c>
      <c r="P1" s="2362" t="s">
        <v>2732</v>
      </c>
      <c r="Q1" s="2362" t="s">
        <v>2733</v>
      </c>
      <c r="R1" s="2362" t="s">
        <v>2734</v>
      </c>
      <c r="S1" s="2362" t="s">
        <v>2735</v>
      </c>
      <c r="T1" s="2363" t="s">
        <v>2736</v>
      </c>
    </row>
    <row r="2" spans="1:20" ht="12" thickBot="1">
      <c r="A2" s="2364" t="s">
        <v>2737</v>
      </c>
      <c r="B2" s="2364"/>
      <c r="C2" s="2364"/>
      <c r="D2" s="2364"/>
      <c r="E2" s="2364"/>
      <c r="F2" s="2364"/>
      <c r="G2" s="2365" t="s">
        <v>2738</v>
      </c>
      <c r="I2" s="2366" t="s">
        <v>2739</v>
      </c>
      <c r="J2" s="2366" t="s">
        <v>2740</v>
      </c>
      <c r="K2" s="2366" t="s">
        <v>2741</v>
      </c>
      <c r="L2" s="2366" t="s">
        <v>2742</v>
      </c>
      <c r="M2" s="2366" t="s">
        <v>2743</v>
      </c>
      <c r="N2" s="2366" t="s">
        <v>2744</v>
      </c>
      <c r="O2" s="2366" t="s">
        <v>2745</v>
      </c>
      <c r="P2" s="2366" t="s">
        <v>2746</v>
      </c>
      <c r="Q2" s="2366" t="s">
        <v>2747</v>
      </c>
      <c r="R2" s="2366" t="s">
        <v>2748</v>
      </c>
      <c r="S2" s="2366" t="s">
        <v>2749</v>
      </c>
      <c r="T2" s="2366" t="s">
        <v>2750</v>
      </c>
    </row>
    <row r="3" spans="1:20" s="2372" customFormat="1">
      <c r="A3" s="4770" t="s">
        <v>2751</v>
      </c>
      <c r="B3" s="2367"/>
      <c r="C3" s="2368" t="s">
        <v>2696</v>
      </c>
      <c r="D3" s="2368" t="s">
        <v>2752</v>
      </c>
      <c r="E3" s="2368" t="s">
        <v>2698</v>
      </c>
      <c r="F3" s="2368" t="s">
        <v>2753</v>
      </c>
      <c r="G3" s="2368" t="s">
        <v>2516</v>
      </c>
      <c r="H3" s="2369"/>
      <c r="I3" s="2370" t="s">
        <v>2754</v>
      </c>
      <c r="J3" s="2371" t="s">
        <v>126</v>
      </c>
      <c r="K3" s="2371" t="s">
        <v>127</v>
      </c>
      <c r="L3" s="2370" t="s">
        <v>128</v>
      </c>
      <c r="M3" s="2370" t="s">
        <v>129</v>
      </c>
      <c r="N3" s="2370" t="s">
        <v>130</v>
      </c>
      <c r="O3" s="2370" t="s">
        <v>131</v>
      </c>
      <c r="P3" s="2370" t="s">
        <v>132</v>
      </c>
      <c r="Q3" s="2370" t="s">
        <v>133</v>
      </c>
      <c r="R3" s="2370" t="s">
        <v>134</v>
      </c>
      <c r="S3" s="2370" t="s">
        <v>2755</v>
      </c>
      <c r="T3" s="2370" t="s">
        <v>2756</v>
      </c>
    </row>
    <row r="4" spans="1:20" s="2372" customFormat="1" ht="12" thickBot="1">
      <c r="A4" s="4771"/>
      <c r="B4" s="2373" t="s">
        <v>2757</v>
      </c>
      <c r="C4" s="2373" t="s">
        <v>2758</v>
      </c>
      <c r="D4" s="2373" t="s">
        <v>2758</v>
      </c>
      <c r="E4" s="2373" t="s">
        <v>2758</v>
      </c>
      <c r="F4" s="2374" t="s">
        <v>2758</v>
      </c>
      <c r="G4" s="2374" t="s">
        <v>2758</v>
      </c>
      <c r="H4" s="2369"/>
      <c r="I4" s="2371" t="s">
        <v>135</v>
      </c>
      <c r="J4" s="2371" t="s">
        <v>109</v>
      </c>
      <c r="K4" s="2371" t="s">
        <v>136</v>
      </c>
      <c r="L4" s="2370" t="s">
        <v>137</v>
      </c>
      <c r="M4" s="2370" t="s">
        <v>138</v>
      </c>
      <c r="N4" s="2370" t="s">
        <v>139</v>
      </c>
      <c r="O4" s="2370" t="s">
        <v>140</v>
      </c>
      <c r="P4" s="2370" t="s">
        <v>141</v>
      </c>
      <c r="Q4" s="2370" t="s">
        <v>2759</v>
      </c>
      <c r="R4" s="2370" t="s">
        <v>2760</v>
      </c>
      <c r="S4" s="2370" t="s">
        <v>2761</v>
      </c>
      <c r="T4" s="2370" t="s">
        <v>2762</v>
      </c>
    </row>
    <row r="5" spans="1:20">
      <c r="A5" s="2375" t="s">
        <v>2725</v>
      </c>
      <c r="B5" s="2366" t="s">
        <v>2739</v>
      </c>
      <c r="C5" s="3098">
        <v>34550</v>
      </c>
      <c r="D5" s="3098">
        <v>34470</v>
      </c>
      <c r="E5" s="3098">
        <v>34330</v>
      </c>
      <c r="F5" s="3098">
        <v>13400</v>
      </c>
      <c r="G5" s="3098">
        <v>25450</v>
      </c>
      <c r="H5" s="2369"/>
      <c r="I5" s="2370" t="s">
        <v>143</v>
      </c>
      <c r="J5" s="2371" t="s">
        <v>144</v>
      </c>
      <c r="K5" s="2371" t="s">
        <v>145</v>
      </c>
      <c r="L5" s="2370" t="s">
        <v>146</v>
      </c>
      <c r="M5" s="2370" t="s">
        <v>147</v>
      </c>
      <c r="N5" s="2370" t="s">
        <v>148</v>
      </c>
      <c r="O5" s="2370" t="s">
        <v>149</v>
      </c>
      <c r="P5" s="2370" t="s">
        <v>150</v>
      </c>
      <c r="Q5" s="2370" t="s">
        <v>2763</v>
      </c>
      <c r="R5" s="2370" t="s">
        <v>2764</v>
      </c>
      <c r="S5" s="2370" t="s">
        <v>151</v>
      </c>
      <c r="T5" s="2370" t="s">
        <v>2765</v>
      </c>
    </row>
    <row r="6" spans="1:20" ht="12" thickBot="1">
      <c r="A6" s="2370" t="s">
        <v>142</v>
      </c>
      <c r="B6" s="2370" t="s">
        <v>2754</v>
      </c>
      <c r="C6" s="3099">
        <v>36990</v>
      </c>
      <c r="D6" s="3099">
        <v>36850</v>
      </c>
      <c r="E6" s="3099">
        <v>36700</v>
      </c>
      <c r="F6" s="3099">
        <v>14590</v>
      </c>
      <c r="G6" s="3099">
        <v>27450</v>
      </c>
      <c r="H6" s="2369"/>
      <c r="I6" s="2376" t="s">
        <v>152</v>
      </c>
      <c r="J6" s="2371" t="s">
        <v>153</v>
      </c>
      <c r="K6" s="2371" t="s">
        <v>154</v>
      </c>
      <c r="L6" s="2370" t="s">
        <v>155</v>
      </c>
      <c r="M6" s="2370" t="s">
        <v>156</v>
      </c>
      <c r="N6" s="2370" t="s">
        <v>157</v>
      </c>
      <c r="O6" s="2370" t="s">
        <v>158</v>
      </c>
      <c r="P6" s="2370" t="s">
        <v>2766</v>
      </c>
      <c r="Q6" s="2370" t="s">
        <v>2767</v>
      </c>
      <c r="R6" s="2370" t="s">
        <v>159</v>
      </c>
      <c r="S6" s="2370" t="s">
        <v>2768</v>
      </c>
      <c r="T6" s="2370" t="s">
        <v>2769</v>
      </c>
    </row>
    <row r="7" spans="1:20">
      <c r="A7" s="2370" t="s">
        <v>142</v>
      </c>
      <c r="B7" s="2371" t="s">
        <v>135</v>
      </c>
      <c r="C7" s="3099">
        <v>34850</v>
      </c>
      <c r="D7" s="3099">
        <v>34690</v>
      </c>
      <c r="E7" s="3099">
        <v>34550</v>
      </c>
      <c r="F7" s="3099">
        <v>14360</v>
      </c>
      <c r="G7" s="3099">
        <v>25620</v>
      </c>
      <c r="H7" s="2369"/>
      <c r="J7" s="2371" t="s">
        <v>160</v>
      </c>
      <c r="K7" s="2371" t="s">
        <v>161</v>
      </c>
      <c r="L7" s="2370" t="s">
        <v>162</v>
      </c>
      <c r="M7" s="2370" t="s">
        <v>163</v>
      </c>
      <c r="N7" s="2370" t="s">
        <v>164</v>
      </c>
      <c r="O7" s="2370" t="s">
        <v>165</v>
      </c>
      <c r="P7" s="2370" t="s">
        <v>2770</v>
      </c>
      <c r="Q7" s="2370" t="s">
        <v>2771</v>
      </c>
      <c r="R7" s="2370" t="s">
        <v>2772</v>
      </c>
      <c r="S7" s="2370" t="s">
        <v>2773</v>
      </c>
      <c r="T7" s="2370" t="s">
        <v>2774</v>
      </c>
    </row>
    <row r="8" spans="1:20" ht="12" thickBot="1">
      <c r="A8" s="2370" t="s">
        <v>142</v>
      </c>
      <c r="B8" s="2370" t="s">
        <v>143</v>
      </c>
      <c r="C8" s="3099">
        <v>32630</v>
      </c>
      <c r="D8" s="3099">
        <v>32510</v>
      </c>
      <c r="E8" s="3099">
        <v>32420</v>
      </c>
      <c r="F8" s="3099">
        <v>13300</v>
      </c>
      <c r="G8" s="3099">
        <v>24010</v>
      </c>
      <c r="H8" s="2369"/>
      <c r="J8" s="2371" t="s">
        <v>166</v>
      </c>
      <c r="K8" s="2371" t="s">
        <v>167</v>
      </c>
      <c r="L8" s="2370" t="s">
        <v>168</v>
      </c>
      <c r="M8" s="2370" t="s">
        <v>169</v>
      </c>
      <c r="N8" s="2370" t="s">
        <v>170</v>
      </c>
      <c r="O8" s="2370" t="s">
        <v>171</v>
      </c>
      <c r="P8" s="2370" t="s">
        <v>2775</v>
      </c>
      <c r="Q8" s="2370" t="s">
        <v>172</v>
      </c>
      <c r="R8" s="2370" t="s">
        <v>2776</v>
      </c>
      <c r="S8" s="2370" t="s">
        <v>2777</v>
      </c>
      <c r="T8" s="2377" t="s">
        <v>2778</v>
      </c>
    </row>
    <row r="9" spans="1:20" ht="12" thickBot="1">
      <c r="A9" s="2378" t="s">
        <v>142</v>
      </c>
      <c r="B9" s="2376" t="s">
        <v>152</v>
      </c>
      <c r="C9" s="3100">
        <v>36370</v>
      </c>
      <c r="D9" s="3100">
        <v>36210</v>
      </c>
      <c r="E9" s="3100">
        <v>36050</v>
      </c>
      <c r="F9" s="3100"/>
      <c r="G9" s="3100">
        <v>26740</v>
      </c>
      <c r="H9" s="2369"/>
      <c r="J9" s="2371" t="s">
        <v>173</v>
      </c>
      <c r="K9" s="2371" t="s">
        <v>174</v>
      </c>
      <c r="L9" s="2370" t="s">
        <v>175</v>
      </c>
      <c r="M9" s="2370" t="s">
        <v>176</v>
      </c>
      <c r="N9" s="2370" t="s">
        <v>177</v>
      </c>
      <c r="O9" s="2370" t="s">
        <v>178</v>
      </c>
      <c r="P9" s="2370" t="s">
        <v>2779</v>
      </c>
      <c r="Q9" s="2370" t="s">
        <v>180</v>
      </c>
      <c r="R9" s="2370" t="s">
        <v>181</v>
      </c>
      <c r="S9" s="2370" t="s">
        <v>198</v>
      </c>
    </row>
    <row r="10" spans="1:20">
      <c r="A10" s="2375" t="s">
        <v>182</v>
      </c>
      <c r="B10" s="2366" t="s">
        <v>2740</v>
      </c>
      <c r="C10" s="3099">
        <v>32350</v>
      </c>
      <c r="D10" s="3099">
        <v>31430</v>
      </c>
      <c r="E10" s="3099">
        <v>31320</v>
      </c>
      <c r="F10" s="3099">
        <v>10850</v>
      </c>
      <c r="G10" s="3099">
        <v>22860</v>
      </c>
      <c r="H10" s="2369"/>
      <c r="J10" s="2371" t="s">
        <v>183</v>
      </c>
      <c r="K10" s="2371" t="s">
        <v>184</v>
      </c>
      <c r="L10" s="2370" t="s">
        <v>185</v>
      </c>
      <c r="M10" s="2370" t="s">
        <v>186</v>
      </c>
      <c r="N10" s="2370" t="s">
        <v>187</v>
      </c>
      <c r="O10" s="2370" t="s">
        <v>188</v>
      </c>
      <c r="P10" s="2370" t="s">
        <v>179</v>
      </c>
      <c r="Q10" s="2370" t="s">
        <v>190</v>
      </c>
      <c r="R10" s="2370" t="s">
        <v>191</v>
      </c>
      <c r="S10" s="2370" t="s">
        <v>2780</v>
      </c>
    </row>
    <row r="11" spans="1:20">
      <c r="A11" s="2370" t="s">
        <v>182</v>
      </c>
      <c r="B11" s="2371" t="s">
        <v>126</v>
      </c>
      <c r="C11" s="3099">
        <v>31590</v>
      </c>
      <c r="D11" s="3099">
        <v>29490</v>
      </c>
      <c r="E11" s="3099">
        <v>28700</v>
      </c>
      <c r="F11" s="3099">
        <v>10410</v>
      </c>
      <c r="G11" s="3099">
        <v>21460</v>
      </c>
      <c r="H11" s="2369"/>
      <c r="J11" s="2371" t="s">
        <v>192</v>
      </c>
      <c r="K11" s="2371" t="s">
        <v>193</v>
      </c>
      <c r="L11" s="2370" t="s">
        <v>194</v>
      </c>
      <c r="M11" s="2370" t="s">
        <v>195</v>
      </c>
      <c r="N11" s="2370" t="s">
        <v>196</v>
      </c>
      <c r="O11" s="2370" t="s">
        <v>2781</v>
      </c>
      <c r="P11" s="2370" t="s">
        <v>189</v>
      </c>
      <c r="Q11" s="2370" t="s">
        <v>197</v>
      </c>
      <c r="R11" s="2370" t="s">
        <v>2782</v>
      </c>
      <c r="S11" s="2370" t="s">
        <v>2783</v>
      </c>
    </row>
    <row r="12" spans="1:20">
      <c r="A12" s="2370" t="s">
        <v>182</v>
      </c>
      <c r="B12" s="2371" t="s">
        <v>109</v>
      </c>
      <c r="C12" s="3099">
        <v>29640</v>
      </c>
      <c r="D12" s="3099">
        <v>27550</v>
      </c>
      <c r="E12" s="3099">
        <v>28010</v>
      </c>
      <c r="F12" s="3099">
        <v>8730</v>
      </c>
      <c r="G12" s="3099">
        <v>20050</v>
      </c>
      <c r="H12" s="2369"/>
      <c r="J12" s="2371" t="s">
        <v>199</v>
      </c>
      <c r="K12" s="2371" t="s">
        <v>200</v>
      </c>
      <c r="L12" s="2370" t="s">
        <v>201</v>
      </c>
      <c r="M12" s="2370" t="s">
        <v>202</v>
      </c>
      <c r="N12" s="2370" t="s">
        <v>203</v>
      </c>
      <c r="O12" s="2370" t="s">
        <v>2784</v>
      </c>
      <c r="P12" s="2370" t="s">
        <v>2785</v>
      </c>
      <c r="Q12" s="2370" t="s">
        <v>2786</v>
      </c>
      <c r="R12" s="2370" t="s">
        <v>2787</v>
      </c>
      <c r="S12" s="2370" t="s">
        <v>2788</v>
      </c>
    </row>
    <row r="13" spans="1:20">
      <c r="A13" s="2370" t="s">
        <v>182</v>
      </c>
      <c r="B13" s="2371" t="s">
        <v>144</v>
      </c>
      <c r="C13" s="3099">
        <v>29680</v>
      </c>
      <c r="D13" s="3099">
        <v>27660</v>
      </c>
      <c r="E13" s="3099">
        <v>28210</v>
      </c>
      <c r="F13" s="3099">
        <v>9590</v>
      </c>
      <c r="G13" s="3099">
        <v>20120</v>
      </c>
      <c r="H13" s="2369"/>
      <c r="J13" s="2371" t="s">
        <v>206</v>
      </c>
      <c r="K13" s="2371" t="s">
        <v>207</v>
      </c>
      <c r="L13" s="2370" t="s">
        <v>208</v>
      </c>
      <c r="M13" s="2370" t="s">
        <v>209</v>
      </c>
      <c r="N13" s="2370" t="s">
        <v>210</v>
      </c>
      <c r="O13" s="2370" t="s">
        <v>2789</v>
      </c>
      <c r="P13" s="2370" t="s">
        <v>204</v>
      </c>
      <c r="Q13" s="2370" t="s">
        <v>217</v>
      </c>
      <c r="R13" s="2370" t="s">
        <v>218</v>
      </c>
      <c r="S13" s="2370" t="s">
        <v>212</v>
      </c>
    </row>
    <row r="14" spans="1:20">
      <c r="A14" s="2370" t="s">
        <v>182</v>
      </c>
      <c r="B14" s="2371" t="s">
        <v>153</v>
      </c>
      <c r="C14" s="3099">
        <v>30520</v>
      </c>
      <c r="D14" s="3099">
        <v>29510</v>
      </c>
      <c r="E14" s="3099">
        <v>29400</v>
      </c>
      <c r="F14" s="3099">
        <v>9630</v>
      </c>
      <c r="G14" s="3099">
        <v>21480</v>
      </c>
      <c r="H14" s="2369"/>
      <c r="J14" s="2371" t="s">
        <v>2790</v>
      </c>
      <c r="K14" s="2371" t="s">
        <v>213</v>
      </c>
      <c r="L14" s="2370" t="s">
        <v>214</v>
      </c>
      <c r="M14" s="2370" t="s">
        <v>215</v>
      </c>
      <c r="N14" s="2370" t="s">
        <v>216</v>
      </c>
      <c r="O14" s="2370" t="s">
        <v>238</v>
      </c>
      <c r="P14" s="2370" t="s">
        <v>211</v>
      </c>
      <c r="Q14" s="2370" t="s">
        <v>2791</v>
      </c>
      <c r="R14" s="2370" t="s">
        <v>226</v>
      </c>
      <c r="S14" s="2370" t="s">
        <v>219</v>
      </c>
    </row>
    <row r="15" spans="1:20">
      <c r="A15" s="2370" t="s">
        <v>182</v>
      </c>
      <c r="B15" s="2371" t="s">
        <v>160</v>
      </c>
      <c r="C15" s="3099">
        <v>29090</v>
      </c>
      <c r="D15" s="3099">
        <v>27590</v>
      </c>
      <c r="E15" s="3099">
        <v>28120</v>
      </c>
      <c r="F15" s="3099">
        <v>9110</v>
      </c>
      <c r="G15" s="3099">
        <v>20070</v>
      </c>
      <c r="H15" s="2369"/>
      <c r="J15" s="2371" t="s">
        <v>220</v>
      </c>
      <c r="K15" s="2371" t="s">
        <v>221</v>
      </c>
      <c r="L15" s="2370" t="s">
        <v>222</v>
      </c>
      <c r="M15" s="2370" t="s">
        <v>223</v>
      </c>
      <c r="N15" s="2370" t="s">
        <v>224</v>
      </c>
      <c r="O15" s="2370" t="s">
        <v>2792</v>
      </c>
      <c r="P15" s="2370" t="s">
        <v>2793</v>
      </c>
      <c r="Q15" s="2370" t="s">
        <v>240</v>
      </c>
      <c r="R15" s="2370" t="s">
        <v>2794</v>
      </c>
      <c r="S15" s="2370" t="s">
        <v>227</v>
      </c>
    </row>
    <row r="16" spans="1:20">
      <c r="A16" s="2370" t="s">
        <v>182</v>
      </c>
      <c r="B16" s="2371" t="s">
        <v>166</v>
      </c>
      <c r="C16" s="3099">
        <v>26790</v>
      </c>
      <c r="D16" s="3099">
        <v>30370</v>
      </c>
      <c r="E16" s="3099">
        <v>30240</v>
      </c>
      <c r="F16" s="3099">
        <v>11590</v>
      </c>
      <c r="G16" s="3099">
        <v>22090</v>
      </c>
      <c r="H16" s="2369"/>
      <c r="J16" s="2371" t="s">
        <v>228</v>
      </c>
      <c r="K16" s="2371" t="s">
        <v>229</v>
      </c>
      <c r="L16" s="2370" t="s">
        <v>230</v>
      </c>
      <c r="M16" s="2370" t="s">
        <v>231</v>
      </c>
      <c r="N16" s="2370" t="s">
        <v>232</v>
      </c>
      <c r="O16" s="2370" t="s">
        <v>2795</v>
      </c>
      <c r="P16" s="2370" t="s">
        <v>225</v>
      </c>
      <c r="Q16" s="2370" t="s">
        <v>248</v>
      </c>
      <c r="R16" s="2370" t="s">
        <v>205</v>
      </c>
      <c r="S16" s="2370" t="s">
        <v>2796</v>
      </c>
    </row>
    <row r="17" spans="1:19" ht="14.25" customHeight="1">
      <c r="A17" s="2370" t="s">
        <v>182</v>
      </c>
      <c r="B17" s="2371" t="s">
        <v>173</v>
      </c>
      <c r="C17" s="3099">
        <v>29180</v>
      </c>
      <c r="D17" s="3099">
        <v>27620</v>
      </c>
      <c r="E17" s="3099">
        <v>28180</v>
      </c>
      <c r="F17" s="3099">
        <v>10790</v>
      </c>
      <c r="G17" s="3099">
        <v>20090</v>
      </c>
      <c r="H17" s="2369"/>
      <c r="J17" s="2371" t="s">
        <v>233</v>
      </c>
      <c r="K17" s="2371" t="s">
        <v>234</v>
      </c>
      <c r="L17" s="2370" t="s">
        <v>235</v>
      </c>
      <c r="M17" s="2370" t="s">
        <v>236</v>
      </c>
      <c r="N17" s="2370" t="s">
        <v>237</v>
      </c>
      <c r="O17" s="2370" t="s">
        <v>2797</v>
      </c>
      <c r="P17" s="2370" t="s">
        <v>2798</v>
      </c>
      <c r="Q17" s="2370" t="s">
        <v>254</v>
      </c>
      <c r="R17" s="2370" t="s">
        <v>2799</v>
      </c>
      <c r="S17" s="2370" t="s">
        <v>256</v>
      </c>
    </row>
    <row r="18" spans="1:19" ht="14.25" customHeight="1">
      <c r="A18" s="2370" t="s">
        <v>182</v>
      </c>
      <c r="B18" s="2371" t="s">
        <v>183</v>
      </c>
      <c r="C18" s="3099">
        <v>26840</v>
      </c>
      <c r="D18" s="3099">
        <v>28930</v>
      </c>
      <c r="E18" s="3099">
        <v>28820</v>
      </c>
      <c r="F18" s="3099"/>
      <c r="G18" s="3099">
        <v>21050</v>
      </c>
      <c r="H18" s="2369"/>
      <c r="J18" s="2371" t="s">
        <v>242</v>
      </c>
      <c r="K18" s="2371" t="s">
        <v>243</v>
      </c>
      <c r="L18" s="2370" t="s">
        <v>244</v>
      </c>
      <c r="M18" s="2370" t="s">
        <v>245</v>
      </c>
      <c r="N18" s="2370" t="s">
        <v>246</v>
      </c>
      <c r="O18" s="2370" t="s">
        <v>2800</v>
      </c>
      <c r="P18" s="2370" t="s">
        <v>239</v>
      </c>
      <c r="Q18" s="2370" t="s">
        <v>2801</v>
      </c>
      <c r="R18" s="2370" t="s">
        <v>255</v>
      </c>
      <c r="S18" s="2370" t="s">
        <v>264</v>
      </c>
    </row>
    <row r="19" spans="1:19" ht="14.25" customHeight="1">
      <c r="A19" s="2370" t="s">
        <v>182</v>
      </c>
      <c r="B19" s="2371" t="s">
        <v>192</v>
      </c>
      <c r="C19" s="3099">
        <v>27750</v>
      </c>
      <c r="D19" s="3099">
        <v>26680</v>
      </c>
      <c r="E19" s="3099">
        <v>26590</v>
      </c>
      <c r="F19" s="3099"/>
      <c r="G19" s="3099">
        <v>19420</v>
      </c>
      <c r="H19" s="2369"/>
      <c r="J19" s="2371" t="s">
        <v>249</v>
      </c>
      <c r="K19" s="2371" t="s">
        <v>250</v>
      </c>
      <c r="L19" s="2370" t="s">
        <v>251</v>
      </c>
      <c r="M19" s="2370" t="s">
        <v>252</v>
      </c>
      <c r="N19" s="2370" t="s">
        <v>253</v>
      </c>
      <c r="O19" s="2370" t="s">
        <v>2802</v>
      </c>
      <c r="P19" s="2370" t="s">
        <v>247</v>
      </c>
      <c r="Q19" s="2370" t="s">
        <v>2803</v>
      </c>
      <c r="R19" s="2370" t="s">
        <v>263</v>
      </c>
      <c r="S19" s="2370" t="s">
        <v>2804</v>
      </c>
    </row>
    <row r="20" spans="1:19" ht="14.25" customHeight="1">
      <c r="A20" s="2370" t="s">
        <v>182</v>
      </c>
      <c r="B20" s="2371" t="s">
        <v>199</v>
      </c>
      <c r="C20" s="3099">
        <v>27050</v>
      </c>
      <c r="D20" s="3099">
        <v>29010</v>
      </c>
      <c r="E20" s="3099">
        <v>28910</v>
      </c>
      <c r="F20" s="3099"/>
      <c r="G20" s="3099">
        <v>21110</v>
      </c>
      <c r="J20" s="2371" t="s">
        <v>257</v>
      </c>
      <c r="K20" s="2371" t="s">
        <v>258</v>
      </c>
      <c r="L20" s="2370" t="s">
        <v>259</v>
      </c>
      <c r="M20" s="2370" t="s">
        <v>260</v>
      </c>
      <c r="N20" s="2370" t="s">
        <v>261</v>
      </c>
      <c r="O20" s="2370" t="s">
        <v>2805</v>
      </c>
      <c r="P20" s="2370" t="s">
        <v>2806</v>
      </c>
      <c r="Q20" s="2370" t="s">
        <v>288</v>
      </c>
      <c r="R20" s="2370" t="s">
        <v>2807</v>
      </c>
      <c r="S20" s="2370" t="s">
        <v>275</v>
      </c>
    </row>
    <row r="21" spans="1:19" ht="14.25" customHeight="1" thickBot="1">
      <c r="A21" s="2370" t="s">
        <v>182</v>
      </c>
      <c r="B21" s="2371" t="s">
        <v>206</v>
      </c>
      <c r="C21" s="3099">
        <v>32370</v>
      </c>
      <c r="D21" s="3099">
        <v>26730</v>
      </c>
      <c r="E21" s="3099">
        <v>26640</v>
      </c>
      <c r="F21" s="3099"/>
      <c r="G21" s="3099">
        <v>19440</v>
      </c>
      <c r="J21" s="2377" t="s">
        <v>2808</v>
      </c>
      <c r="K21" s="2371" t="s">
        <v>265</v>
      </c>
      <c r="L21" s="2370" t="s">
        <v>266</v>
      </c>
      <c r="M21" s="2370" t="s">
        <v>267</v>
      </c>
      <c r="N21" s="2370" t="s">
        <v>268</v>
      </c>
      <c r="O21" s="2370" t="s">
        <v>262</v>
      </c>
      <c r="P21" s="2370" t="s">
        <v>281</v>
      </c>
      <c r="Q21" s="2370" t="s">
        <v>291</v>
      </c>
      <c r="R21" s="2370" t="s">
        <v>2809</v>
      </c>
      <c r="S21" s="2377" t="s">
        <v>2810</v>
      </c>
    </row>
    <row r="22" spans="1:19" ht="14.25" customHeight="1">
      <c r="A22" s="2370" t="s">
        <v>182</v>
      </c>
      <c r="B22" s="2371" t="s">
        <v>2790</v>
      </c>
      <c r="C22" s="3099">
        <v>29830</v>
      </c>
      <c r="D22" s="3099">
        <v>27600</v>
      </c>
      <c r="E22" s="3099">
        <v>28150</v>
      </c>
      <c r="F22" s="3099"/>
      <c r="G22" s="3099">
        <v>20080</v>
      </c>
      <c r="K22" s="2371" t="s">
        <v>2811</v>
      </c>
      <c r="L22" s="2370" t="s">
        <v>270</v>
      </c>
      <c r="M22" s="2370" t="s">
        <v>271</v>
      </c>
      <c r="N22" s="2370" t="s">
        <v>272</v>
      </c>
      <c r="O22" s="2370" t="s">
        <v>2812</v>
      </c>
      <c r="P22" s="2370" t="s">
        <v>284</v>
      </c>
      <c r="Q22" s="2370" t="s">
        <v>293</v>
      </c>
      <c r="R22" s="2370" t="s">
        <v>241</v>
      </c>
    </row>
    <row r="23" spans="1:19" ht="14.25" customHeight="1">
      <c r="A23" s="2370" t="s">
        <v>182</v>
      </c>
      <c r="B23" s="2371" t="s">
        <v>220</v>
      </c>
      <c r="C23" s="3099">
        <v>27800</v>
      </c>
      <c r="D23" s="3099">
        <v>26900</v>
      </c>
      <c r="E23" s="3099">
        <v>27170</v>
      </c>
      <c r="F23" s="3099"/>
      <c r="G23" s="3099">
        <v>19570</v>
      </c>
      <c r="K23" s="2371" t="s">
        <v>2813</v>
      </c>
      <c r="L23" s="2370" t="s">
        <v>276</v>
      </c>
      <c r="M23" s="2370" t="s">
        <v>277</v>
      </c>
      <c r="N23" s="2370" t="s">
        <v>2814</v>
      </c>
      <c r="O23" s="2370" t="s">
        <v>2815</v>
      </c>
      <c r="P23" s="2370" t="s">
        <v>287</v>
      </c>
      <c r="Q23" s="2370" t="s">
        <v>296</v>
      </c>
      <c r="R23" s="2370" t="s">
        <v>2816</v>
      </c>
    </row>
    <row r="24" spans="1:19" ht="14.25" customHeight="1">
      <c r="A24" s="2370" t="s">
        <v>182</v>
      </c>
      <c r="B24" s="2371" t="s">
        <v>228</v>
      </c>
      <c r="C24" s="3099">
        <v>27930</v>
      </c>
      <c r="D24" s="3099">
        <v>32260</v>
      </c>
      <c r="E24" s="3099">
        <v>32120</v>
      </c>
      <c r="F24" s="3099"/>
      <c r="G24" s="3099">
        <v>23470</v>
      </c>
      <c r="K24" s="2371" t="s">
        <v>2817</v>
      </c>
      <c r="L24" s="2370" t="s">
        <v>279</v>
      </c>
      <c r="M24" s="2370" t="s">
        <v>280</v>
      </c>
      <c r="N24" s="2370" t="s">
        <v>2818</v>
      </c>
      <c r="O24" s="2370" t="s">
        <v>283</v>
      </c>
      <c r="P24" s="2370" t="s">
        <v>2819</v>
      </c>
      <c r="Q24" s="2379" t="s">
        <v>2820</v>
      </c>
      <c r="R24" s="2370" t="s">
        <v>2821</v>
      </c>
    </row>
    <row r="25" spans="1:19" ht="14.25" customHeight="1">
      <c r="A25" s="2370" t="s">
        <v>182</v>
      </c>
      <c r="B25" s="2371" t="s">
        <v>233</v>
      </c>
      <c r="C25" s="3099">
        <v>32230</v>
      </c>
      <c r="D25" s="3099">
        <v>29640</v>
      </c>
      <c r="E25" s="3099">
        <v>29510</v>
      </c>
      <c r="F25" s="3099"/>
      <c r="G25" s="3099">
        <v>21560</v>
      </c>
      <c r="K25" s="2371" t="s">
        <v>2822</v>
      </c>
      <c r="L25" s="2370" t="s">
        <v>2823</v>
      </c>
      <c r="M25" s="2370" t="s">
        <v>282</v>
      </c>
      <c r="N25" s="2370" t="s">
        <v>290</v>
      </c>
      <c r="O25" s="2370" t="s">
        <v>286</v>
      </c>
      <c r="P25" s="2370" t="s">
        <v>273</v>
      </c>
      <c r="Q25" s="2379" t="s">
        <v>269</v>
      </c>
      <c r="R25" s="2370" t="s">
        <v>2824</v>
      </c>
    </row>
    <row r="26" spans="1:19" ht="14.25" customHeight="1" thickBot="1">
      <c r="A26" s="2370" t="s">
        <v>182</v>
      </c>
      <c r="B26" s="2371" t="s">
        <v>242</v>
      </c>
      <c r="C26" s="3099">
        <v>31690</v>
      </c>
      <c r="D26" s="3099">
        <v>27650</v>
      </c>
      <c r="E26" s="3099">
        <v>28200</v>
      </c>
      <c r="F26" s="3099"/>
      <c r="G26" s="3099">
        <v>20110</v>
      </c>
      <c r="K26" s="2376" t="s">
        <v>2825</v>
      </c>
      <c r="L26" s="2370" t="s">
        <v>2826</v>
      </c>
      <c r="M26" s="2370" t="s">
        <v>285</v>
      </c>
      <c r="N26" s="2370" t="s">
        <v>292</v>
      </c>
      <c r="O26" s="2370" t="s">
        <v>2827</v>
      </c>
      <c r="P26" s="2370" t="s">
        <v>2828</v>
      </c>
      <c r="Q26" s="2379" t="s">
        <v>274</v>
      </c>
      <c r="R26" s="2370" t="s">
        <v>2829</v>
      </c>
    </row>
    <row r="27" spans="1:19" ht="14.25" customHeight="1">
      <c r="A27" s="2370" t="s">
        <v>182</v>
      </c>
      <c r="B27" s="2371" t="s">
        <v>249</v>
      </c>
      <c r="C27" s="3099">
        <v>29610</v>
      </c>
      <c r="D27" s="3099">
        <v>27770</v>
      </c>
      <c r="E27" s="3099">
        <v>28300</v>
      </c>
      <c r="F27" s="3099"/>
      <c r="G27" s="3099">
        <v>20210</v>
      </c>
      <c r="L27" s="2370" t="s">
        <v>2830</v>
      </c>
      <c r="M27" s="2370" t="s">
        <v>289</v>
      </c>
      <c r="N27" s="2370" t="s">
        <v>295</v>
      </c>
      <c r="O27" s="2370" t="s">
        <v>2831</v>
      </c>
      <c r="P27" s="2370" t="s">
        <v>2832</v>
      </c>
      <c r="Q27" s="2370" t="s">
        <v>2833</v>
      </c>
      <c r="R27" s="2370" t="s">
        <v>2834</v>
      </c>
    </row>
    <row r="28" spans="1:19" ht="14.25" customHeight="1">
      <c r="A28" s="2370" t="s">
        <v>182</v>
      </c>
      <c r="B28" s="2371" t="s">
        <v>257</v>
      </c>
      <c r="C28" s="3099"/>
      <c r="D28" s="3099">
        <v>31520</v>
      </c>
      <c r="E28" s="3099">
        <v>31410</v>
      </c>
      <c r="F28" s="3099"/>
      <c r="G28" s="3099">
        <v>22940</v>
      </c>
      <c r="L28" s="2370" t="s">
        <v>2835</v>
      </c>
      <c r="M28" s="2370" t="s">
        <v>2836</v>
      </c>
      <c r="N28" s="2370" t="s">
        <v>2837</v>
      </c>
      <c r="O28" s="2370" t="s">
        <v>2838</v>
      </c>
      <c r="P28" s="2370" t="s">
        <v>2839</v>
      </c>
      <c r="Q28" s="2370" t="s">
        <v>2840</v>
      </c>
      <c r="R28" s="2370" t="s">
        <v>2841</v>
      </c>
    </row>
    <row r="29" spans="1:19" ht="14.25" customHeight="1" thickBot="1">
      <c r="A29" s="2378" t="s">
        <v>182</v>
      </c>
      <c r="B29" s="2380" t="s">
        <v>2808</v>
      </c>
      <c r="C29" s="3101"/>
      <c r="D29" s="3101">
        <v>29460</v>
      </c>
      <c r="E29" s="3101">
        <v>28640</v>
      </c>
      <c r="F29" s="3101"/>
      <c r="G29" s="3101">
        <v>21430</v>
      </c>
      <c r="L29" s="2370" t="s">
        <v>2842</v>
      </c>
      <c r="M29" s="2370" t="s">
        <v>2843</v>
      </c>
      <c r="N29" s="2370" t="s">
        <v>2844</v>
      </c>
      <c r="O29" s="2370" t="s">
        <v>2845</v>
      </c>
      <c r="P29" s="2370" t="s">
        <v>2846</v>
      </c>
      <c r="Q29" s="2370" t="s">
        <v>2847</v>
      </c>
      <c r="R29" s="2370" t="s">
        <v>278</v>
      </c>
    </row>
    <row r="30" spans="1:19" ht="14.25" customHeight="1">
      <c r="A30" s="2375" t="s">
        <v>294</v>
      </c>
      <c r="B30" s="2366" t="s">
        <v>2741</v>
      </c>
      <c r="C30" s="3098">
        <v>26890</v>
      </c>
      <c r="D30" s="3098">
        <v>26770</v>
      </c>
      <c r="E30" s="3098">
        <v>25700</v>
      </c>
      <c r="F30" s="3098">
        <v>8180</v>
      </c>
      <c r="G30" s="3102">
        <v>18740</v>
      </c>
      <c r="L30" s="2370" t="s">
        <v>2848</v>
      </c>
      <c r="M30" s="2370" t="s">
        <v>2849</v>
      </c>
      <c r="N30" s="2370" t="s">
        <v>2850</v>
      </c>
      <c r="O30" s="2370" t="s">
        <v>2851</v>
      </c>
      <c r="P30" s="2370" t="s">
        <v>2852</v>
      </c>
      <c r="Q30" s="2370" t="s">
        <v>2853</v>
      </c>
      <c r="R30" s="2370" t="s">
        <v>2854</v>
      </c>
    </row>
    <row r="31" spans="1:19" ht="14.25" customHeight="1">
      <c r="A31" s="2370" t="s">
        <v>294</v>
      </c>
      <c r="B31" s="2371" t="s">
        <v>127</v>
      </c>
      <c r="C31" s="3099">
        <v>24550</v>
      </c>
      <c r="D31" s="3099">
        <v>23990</v>
      </c>
      <c r="E31" s="3099">
        <v>22930</v>
      </c>
      <c r="F31" s="3099">
        <v>7470</v>
      </c>
      <c r="G31" s="3103">
        <v>16790</v>
      </c>
      <c r="L31" s="2370" t="s">
        <v>2855</v>
      </c>
      <c r="M31" s="2370" t="s">
        <v>2856</v>
      </c>
      <c r="N31" s="2370" t="s">
        <v>2857</v>
      </c>
      <c r="O31" s="2370" t="s">
        <v>2858</v>
      </c>
      <c r="P31" s="2370" t="s">
        <v>2859</v>
      </c>
      <c r="Q31" s="2370" t="s">
        <v>2860</v>
      </c>
      <c r="R31" s="2370" t="s">
        <v>2861</v>
      </c>
    </row>
    <row r="32" spans="1:19" ht="14.25" customHeight="1" thickBot="1">
      <c r="A32" s="2370" t="s">
        <v>294</v>
      </c>
      <c r="B32" s="2371" t="s">
        <v>136</v>
      </c>
      <c r="C32" s="3099">
        <v>27210</v>
      </c>
      <c r="D32" s="3099">
        <v>23240</v>
      </c>
      <c r="E32" s="3099">
        <v>23260</v>
      </c>
      <c r="F32" s="3099">
        <v>7130</v>
      </c>
      <c r="G32" s="3103">
        <v>16270</v>
      </c>
      <c r="L32" s="2370" t="s">
        <v>2862</v>
      </c>
      <c r="M32" s="2370" t="s">
        <v>2863</v>
      </c>
      <c r="N32" s="2370" t="s">
        <v>298</v>
      </c>
      <c r="O32" s="2370" t="s">
        <v>2864</v>
      </c>
      <c r="P32" s="2370" t="s">
        <v>297</v>
      </c>
      <c r="Q32" s="2370" t="s">
        <v>2865</v>
      </c>
      <c r="R32" s="2377" t="s">
        <v>2866</v>
      </c>
    </row>
    <row r="33" spans="1:17" ht="14.25" customHeight="1" thickBot="1">
      <c r="A33" s="2370" t="s">
        <v>294</v>
      </c>
      <c r="B33" s="2371" t="s">
        <v>145</v>
      </c>
      <c r="C33" s="3099">
        <v>27300</v>
      </c>
      <c r="D33" s="3099">
        <v>22980</v>
      </c>
      <c r="E33" s="3099">
        <v>24260</v>
      </c>
      <c r="F33" s="3099">
        <v>5860</v>
      </c>
      <c r="G33" s="3103">
        <v>16090</v>
      </c>
      <c r="L33" s="2377" t="s">
        <v>2867</v>
      </c>
      <c r="M33" s="2370" t="s">
        <v>2868</v>
      </c>
      <c r="N33" s="2370" t="s">
        <v>299</v>
      </c>
      <c r="O33" s="2370" t="s">
        <v>2869</v>
      </c>
      <c r="P33" s="2370" t="s">
        <v>2870</v>
      </c>
      <c r="Q33" s="2370" t="s">
        <v>2871</v>
      </c>
    </row>
    <row r="34" spans="1:17" ht="14.25" customHeight="1">
      <c r="A34" s="2370" t="s">
        <v>294</v>
      </c>
      <c r="B34" s="2371" t="s">
        <v>154</v>
      </c>
      <c r="C34" s="3099">
        <v>23090</v>
      </c>
      <c r="D34" s="3099">
        <v>23390</v>
      </c>
      <c r="E34" s="3099">
        <v>23510</v>
      </c>
      <c r="F34" s="3099">
        <v>6700</v>
      </c>
      <c r="G34" s="3103">
        <v>16370</v>
      </c>
      <c r="M34" s="2370" t="s">
        <v>2872</v>
      </c>
      <c r="N34" s="2370" t="s">
        <v>300</v>
      </c>
      <c r="O34" s="2370" t="s">
        <v>2873</v>
      </c>
      <c r="P34" s="2370" t="s">
        <v>2874</v>
      </c>
      <c r="Q34" s="2370" t="s">
        <v>2875</v>
      </c>
    </row>
    <row r="35" spans="1:17" ht="14.25" customHeight="1">
      <c r="A35" s="2370" t="s">
        <v>294</v>
      </c>
      <c r="B35" s="2371" t="s">
        <v>161</v>
      </c>
      <c r="C35" s="3099">
        <v>27270</v>
      </c>
      <c r="D35" s="3099">
        <v>24270</v>
      </c>
      <c r="E35" s="3099">
        <v>24950</v>
      </c>
      <c r="F35" s="3099">
        <v>6600</v>
      </c>
      <c r="G35" s="3103">
        <v>16990</v>
      </c>
      <c r="M35" s="2370" t="s">
        <v>2876</v>
      </c>
      <c r="N35" s="2370" t="s">
        <v>2877</v>
      </c>
      <c r="O35" s="2370" t="s">
        <v>2878</v>
      </c>
      <c r="P35" s="2370" t="s">
        <v>2879</v>
      </c>
      <c r="Q35" s="2370" t="s">
        <v>2880</v>
      </c>
    </row>
    <row r="36" spans="1:17" ht="14.25" customHeight="1">
      <c r="A36" s="2370" t="s">
        <v>294</v>
      </c>
      <c r="B36" s="2371" t="s">
        <v>167</v>
      </c>
      <c r="C36" s="3099">
        <v>23490</v>
      </c>
      <c r="D36" s="3099">
        <v>23020</v>
      </c>
      <c r="E36" s="3099">
        <v>25230</v>
      </c>
      <c r="F36" s="3099">
        <v>6780</v>
      </c>
      <c r="G36" s="3103">
        <v>16120</v>
      </c>
      <c r="M36" s="2370" t="s">
        <v>2881</v>
      </c>
      <c r="N36" s="2370" t="s">
        <v>2882</v>
      </c>
      <c r="O36" s="2370" t="s">
        <v>2883</v>
      </c>
      <c r="P36" s="2370" t="s">
        <v>2884</v>
      </c>
      <c r="Q36" s="2370" t="s">
        <v>2885</v>
      </c>
    </row>
    <row r="37" spans="1:17" ht="14.25" customHeight="1">
      <c r="A37" s="2370" t="s">
        <v>294</v>
      </c>
      <c r="B37" s="2371" t="s">
        <v>174</v>
      </c>
      <c r="C37" s="3099">
        <v>24380</v>
      </c>
      <c r="D37" s="3099">
        <v>22240</v>
      </c>
      <c r="E37" s="3099">
        <v>25980</v>
      </c>
      <c r="F37" s="3099">
        <v>8160</v>
      </c>
      <c r="G37" s="3103">
        <v>15570</v>
      </c>
      <c r="M37" s="2370" t="s">
        <v>2886</v>
      </c>
      <c r="N37" s="2370" t="s">
        <v>2887</v>
      </c>
      <c r="O37" s="2370" t="s">
        <v>2888</v>
      </c>
      <c r="P37" s="2370" t="s">
        <v>2889</v>
      </c>
      <c r="Q37" s="2370" t="s">
        <v>2890</v>
      </c>
    </row>
    <row r="38" spans="1:17" ht="14.25" customHeight="1">
      <c r="A38" s="2370" t="s">
        <v>294</v>
      </c>
      <c r="B38" s="2371" t="s">
        <v>184</v>
      </c>
      <c r="C38" s="3099">
        <v>23120</v>
      </c>
      <c r="D38" s="3099">
        <v>24630</v>
      </c>
      <c r="E38" s="3099">
        <v>25030</v>
      </c>
      <c r="F38" s="3099">
        <v>7710</v>
      </c>
      <c r="G38" s="3103">
        <v>17240</v>
      </c>
      <c r="M38" s="2370" t="s">
        <v>2891</v>
      </c>
      <c r="N38" s="2370" t="s">
        <v>2892</v>
      </c>
      <c r="O38" s="2370" t="s">
        <v>2893</v>
      </c>
      <c r="P38" s="2370" t="s">
        <v>2894</v>
      </c>
      <c r="Q38" s="2370" t="s">
        <v>2895</v>
      </c>
    </row>
    <row r="39" spans="1:17" ht="14.25" customHeight="1">
      <c r="A39" s="2370" t="s">
        <v>294</v>
      </c>
      <c r="B39" s="2371" t="s">
        <v>193</v>
      </c>
      <c r="C39" s="3099">
        <v>22330</v>
      </c>
      <c r="D39" s="3099">
        <v>21140</v>
      </c>
      <c r="E39" s="3099">
        <v>23970</v>
      </c>
      <c r="F39" s="3099">
        <v>7940</v>
      </c>
      <c r="G39" s="3103">
        <v>14790</v>
      </c>
      <c r="M39" s="2370" t="s">
        <v>2896</v>
      </c>
      <c r="N39" s="2370" t="s">
        <v>2897</v>
      </c>
      <c r="O39" s="2370" t="s">
        <v>2898</v>
      </c>
      <c r="P39" s="2370" t="s">
        <v>2899</v>
      </c>
      <c r="Q39" s="2370" t="s">
        <v>2900</v>
      </c>
    </row>
    <row r="40" spans="1:17" ht="14.25" customHeight="1">
      <c r="A40" s="2370" t="s">
        <v>294</v>
      </c>
      <c r="B40" s="2371" t="s">
        <v>200</v>
      </c>
      <c r="C40" s="3099">
        <v>24740</v>
      </c>
      <c r="D40" s="3099">
        <v>24690</v>
      </c>
      <c r="E40" s="3099">
        <v>22610</v>
      </c>
      <c r="F40" s="3099"/>
      <c r="G40" s="3103">
        <v>17280</v>
      </c>
      <c r="M40" s="2370" t="s">
        <v>2901</v>
      </c>
      <c r="N40" s="2370" t="s">
        <v>2902</v>
      </c>
      <c r="O40" s="2370" t="s">
        <v>2903</v>
      </c>
      <c r="P40" s="2370" t="s">
        <v>2904</v>
      </c>
      <c r="Q40" s="2370" t="s">
        <v>2905</v>
      </c>
    </row>
    <row r="41" spans="1:17" ht="14.25" customHeight="1" thickBot="1">
      <c r="A41" s="2370" t="s">
        <v>294</v>
      </c>
      <c r="B41" s="2371" t="s">
        <v>207</v>
      </c>
      <c r="C41" s="3099">
        <v>21220</v>
      </c>
      <c r="D41" s="3099">
        <v>21120</v>
      </c>
      <c r="E41" s="3099">
        <v>22590</v>
      </c>
      <c r="F41" s="3099"/>
      <c r="G41" s="3103">
        <v>14780</v>
      </c>
      <c r="M41" s="2377" t="s">
        <v>2906</v>
      </c>
      <c r="N41" s="2370" t="s">
        <v>2907</v>
      </c>
      <c r="O41" s="2370" t="s">
        <v>2908</v>
      </c>
      <c r="P41" s="2370" t="s">
        <v>2909</v>
      </c>
      <c r="Q41" s="2370" t="s">
        <v>2910</v>
      </c>
    </row>
    <row r="42" spans="1:17" ht="14.25" customHeight="1">
      <c r="A42" s="2370" t="s">
        <v>294</v>
      </c>
      <c r="B42" s="2371" t="s">
        <v>213</v>
      </c>
      <c r="C42" s="3099">
        <v>24800</v>
      </c>
      <c r="D42" s="3099">
        <v>22280</v>
      </c>
      <c r="E42" s="3099">
        <v>24350</v>
      </c>
      <c r="F42" s="3099"/>
      <c r="G42" s="3103">
        <v>15590</v>
      </c>
      <c r="N42" s="2370" t="s">
        <v>2911</v>
      </c>
      <c r="O42" s="2370" t="s">
        <v>2912</v>
      </c>
      <c r="P42" s="2370" t="s">
        <v>2913</v>
      </c>
      <c r="Q42" s="2370" t="s">
        <v>2914</v>
      </c>
    </row>
    <row r="43" spans="1:17" ht="14.25" customHeight="1">
      <c r="A43" s="2370" t="s">
        <v>2915</v>
      </c>
      <c r="B43" s="2371" t="s">
        <v>221</v>
      </c>
      <c r="C43" s="3099">
        <v>21210</v>
      </c>
      <c r="D43" s="3099">
        <v>21160</v>
      </c>
      <c r="E43" s="3099">
        <v>22650</v>
      </c>
      <c r="F43" s="3099"/>
      <c r="G43" s="3103">
        <v>14800</v>
      </c>
      <c r="N43" s="2370" t="s">
        <v>2916</v>
      </c>
      <c r="O43" s="2370" t="s">
        <v>2917</v>
      </c>
      <c r="P43" s="2370" t="s">
        <v>2918</v>
      </c>
      <c r="Q43" s="2370" t="s">
        <v>2919</v>
      </c>
    </row>
    <row r="44" spans="1:17" ht="14.25" customHeight="1" thickBot="1">
      <c r="A44" s="2370" t="s">
        <v>294</v>
      </c>
      <c r="B44" s="2371" t="s">
        <v>229</v>
      </c>
      <c r="C44" s="3099">
        <v>22370</v>
      </c>
      <c r="D44" s="3099">
        <v>23140</v>
      </c>
      <c r="E44" s="3099">
        <v>25090</v>
      </c>
      <c r="F44" s="3099"/>
      <c r="G44" s="3103">
        <v>16190</v>
      </c>
      <c r="N44" s="2370" t="s">
        <v>2920</v>
      </c>
      <c r="O44" s="2370" t="s">
        <v>2921</v>
      </c>
      <c r="P44" s="2377" t="s">
        <v>2922</v>
      </c>
      <c r="Q44" s="2370" t="s">
        <v>2923</v>
      </c>
    </row>
    <row r="45" spans="1:17" ht="14.25" customHeight="1" thickBot="1">
      <c r="A45" s="2370" t="s">
        <v>294</v>
      </c>
      <c r="B45" s="2371" t="s">
        <v>234</v>
      </c>
      <c r="C45" s="3099">
        <v>21240</v>
      </c>
      <c r="D45" s="3099">
        <v>27050</v>
      </c>
      <c r="E45" s="3099">
        <v>28000</v>
      </c>
      <c r="F45" s="3099"/>
      <c r="G45" s="3103">
        <v>18940</v>
      </c>
      <c r="N45" s="2370" t="s">
        <v>2924</v>
      </c>
      <c r="O45" s="2377" t="s">
        <v>2925</v>
      </c>
      <c r="Q45" s="2370" t="s">
        <v>2926</v>
      </c>
    </row>
    <row r="46" spans="1:17" ht="14.25" customHeight="1">
      <c r="A46" s="2370" t="s">
        <v>294</v>
      </c>
      <c r="B46" s="2371" t="s">
        <v>243</v>
      </c>
      <c r="C46" s="3099">
        <v>23240</v>
      </c>
      <c r="D46" s="3099">
        <v>23000</v>
      </c>
      <c r="E46" s="3099">
        <v>24980</v>
      </c>
      <c r="F46" s="3099"/>
      <c r="G46" s="3103">
        <v>16100</v>
      </c>
      <c r="N46" s="2370" t="s">
        <v>2927</v>
      </c>
      <c r="Q46" s="2370" t="s">
        <v>2928</v>
      </c>
    </row>
    <row r="47" spans="1:17" ht="14.25" customHeight="1">
      <c r="A47" s="2370" t="s">
        <v>294</v>
      </c>
      <c r="B47" s="2371" t="s">
        <v>250</v>
      </c>
      <c r="C47" s="3099">
        <v>27150</v>
      </c>
      <c r="D47" s="3099">
        <v>23310</v>
      </c>
      <c r="E47" s="3099">
        <v>25150</v>
      </c>
      <c r="F47" s="3099"/>
      <c r="G47" s="3103">
        <v>16310</v>
      </c>
      <c r="N47" s="2370" t="s">
        <v>2929</v>
      </c>
      <c r="Q47" s="2370" t="s">
        <v>2930</v>
      </c>
    </row>
    <row r="48" spans="1:17" ht="14.25" customHeight="1">
      <c r="A48" s="2370" t="s">
        <v>294</v>
      </c>
      <c r="B48" s="2371" t="s">
        <v>258</v>
      </c>
      <c r="C48" s="3099">
        <v>23100</v>
      </c>
      <c r="D48" s="3099">
        <v>21110</v>
      </c>
      <c r="E48" s="3099">
        <v>23080</v>
      </c>
      <c r="F48" s="3099"/>
      <c r="G48" s="3103">
        <v>14780</v>
      </c>
      <c r="N48" s="2370" t="s">
        <v>2931</v>
      </c>
      <c r="Q48" s="2370" t="s">
        <v>2932</v>
      </c>
    </row>
    <row r="49" spans="1:17" ht="14.25" customHeight="1">
      <c r="A49" s="2370" t="s">
        <v>294</v>
      </c>
      <c r="B49" s="2371" t="s">
        <v>265</v>
      </c>
      <c r="C49" s="3099">
        <v>23400</v>
      </c>
      <c r="D49" s="3099">
        <v>22920</v>
      </c>
      <c r="E49" s="3099">
        <v>24900</v>
      </c>
      <c r="F49" s="3099"/>
      <c r="G49" s="3103">
        <v>16040</v>
      </c>
      <c r="N49" s="2370" t="s">
        <v>2933</v>
      </c>
      <c r="Q49" s="2370" t="s">
        <v>2934</v>
      </c>
    </row>
    <row r="50" spans="1:17" ht="14.25" customHeight="1">
      <c r="A50" s="2370" t="s">
        <v>294</v>
      </c>
      <c r="B50" s="2371" t="s">
        <v>2811</v>
      </c>
      <c r="C50" s="3099">
        <v>21200</v>
      </c>
      <c r="D50" s="3099">
        <v>26540</v>
      </c>
      <c r="E50" s="3099">
        <v>23200</v>
      </c>
      <c r="F50" s="3099"/>
      <c r="G50" s="3103">
        <v>18580</v>
      </c>
      <c r="N50" s="2370" t="s">
        <v>2935</v>
      </c>
      <c r="Q50" s="2371" t="s">
        <v>2936</v>
      </c>
    </row>
    <row r="51" spans="1:17" ht="14.25" customHeight="1" thickBot="1">
      <c r="A51" s="2370" t="s">
        <v>294</v>
      </c>
      <c r="B51" s="2371" t="s">
        <v>2813</v>
      </c>
      <c r="C51" s="3099">
        <v>23000</v>
      </c>
      <c r="D51" s="3099">
        <v>23460</v>
      </c>
      <c r="E51" s="3099">
        <v>25290</v>
      </c>
      <c r="F51" s="3099"/>
      <c r="G51" s="3103">
        <v>16420</v>
      </c>
      <c r="N51" s="2370" t="s">
        <v>2937</v>
      </c>
      <c r="Q51" s="2377" t="s">
        <v>2938</v>
      </c>
    </row>
    <row r="52" spans="1:17" ht="14.25" customHeight="1">
      <c r="A52" s="2370" t="s">
        <v>294</v>
      </c>
      <c r="B52" s="2371" t="s">
        <v>2817</v>
      </c>
      <c r="C52" s="3099">
        <v>26660</v>
      </c>
      <c r="D52" s="3099">
        <v>22350</v>
      </c>
      <c r="E52" s="3099">
        <v>22920</v>
      </c>
      <c r="F52" s="3099"/>
      <c r="G52" s="3103">
        <v>15640</v>
      </c>
      <c r="N52" s="2370" t="s">
        <v>2939</v>
      </c>
    </row>
    <row r="53" spans="1:17" ht="14.25" customHeight="1">
      <c r="A53" s="2370" t="s">
        <v>294</v>
      </c>
      <c r="B53" s="2371" t="s">
        <v>2822</v>
      </c>
      <c r="C53" s="3099">
        <v>23580</v>
      </c>
      <c r="D53" s="3099"/>
      <c r="E53" s="3099">
        <v>24280</v>
      </c>
      <c r="F53" s="3099"/>
      <c r="G53" s="3103"/>
      <c r="N53" s="2370" t="s">
        <v>2940</v>
      </c>
    </row>
    <row r="54" spans="1:17" ht="14.25" customHeight="1" thickBot="1">
      <c r="A54" s="2382" t="s">
        <v>294</v>
      </c>
      <c r="B54" s="2376" t="s">
        <v>2825</v>
      </c>
      <c r="C54" s="3100">
        <v>22460</v>
      </c>
      <c r="D54" s="3100"/>
      <c r="E54" s="3100"/>
      <c r="F54" s="3100"/>
      <c r="G54" s="3104"/>
      <c r="N54" s="2370" t="s">
        <v>2941</v>
      </c>
    </row>
    <row r="55" spans="1:17" ht="14.25" customHeight="1">
      <c r="A55" s="2375" t="s">
        <v>108</v>
      </c>
      <c r="B55" s="2366" t="s">
        <v>2942</v>
      </c>
      <c r="C55" s="3099">
        <v>21970</v>
      </c>
      <c r="D55" s="3099">
        <v>20370</v>
      </c>
      <c r="E55" s="3099">
        <v>20180</v>
      </c>
      <c r="F55" s="3099">
        <v>5730</v>
      </c>
      <c r="G55" s="3099">
        <v>13820</v>
      </c>
      <c r="N55" s="2370" t="s">
        <v>2943</v>
      </c>
    </row>
    <row r="56" spans="1:17" ht="14.25" customHeight="1">
      <c r="A56" s="2370" t="s">
        <v>108</v>
      </c>
      <c r="B56" s="2370" t="s">
        <v>128</v>
      </c>
      <c r="C56" s="3099">
        <v>20470</v>
      </c>
      <c r="D56" s="3099">
        <v>20700</v>
      </c>
      <c r="E56" s="3099">
        <v>20380</v>
      </c>
      <c r="F56" s="3099">
        <v>4760</v>
      </c>
      <c r="G56" s="3099">
        <v>14050</v>
      </c>
      <c r="N56" s="2370" t="s">
        <v>2944</v>
      </c>
    </row>
    <row r="57" spans="1:17" ht="14.25" customHeight="1">
      <c r="A57" s="2370" t="s">
        <v>108</v>
      </c>
      <c r="B57" s="2370" t="s">
        <v>137</v>
      </c>
      <c r="C57" s="3099">
        <v>20790</v>
      </c>
      <c r="D57" s="3099">
        <v>21370</v>
      </c>
      <c r="E57" s="3099">
        <v>20890</v>
      </c>
      <c r="F57" s="3099">
        <v>4910</v>
      </c>
      <c r="G57" s="3099">
        <v>14510</v>
      </c>
      <c r="N57" s="2370" t="s">
        <v>2945</v>
      </c>
    </row>
    <row r="58" spans="1:17" ht="14.25" customHeight="1">
      <c r="A58" s="2370" t="s">
        <v>108</v>
      </c>
      <c r="B58" s="2370" t="s">
        <v>146</v>
      </c>
      <c r="C58" s="3099">
        <v>21460</v>
      </c>
      <c r="D58" s="3099">
        <v>20920</v>
      </c>
      <c r="E58" s="3099">
        <v>23410</v>
      </c>
      <c r="F58" s="3099">
        <v>5100</v>
      </c>
      <c r="G58" s="3099">
        <v>14200</v>
      </c>
      <c r="N58" s="2370" t="s">
        <v>2946</v>
      </c>
    </row>
    <row r="59" spans="1:17" ht="14.25" customHeight="1">
      <c r="A59" s="2370" t="s">
        <v>108</v>
      </c>
      <c r="B59" s="2370" t="s">
        <v>155</v>
      </c>
      <c r="C59" s="3099">
        <v>21000</v>
      </c>
      <c r="D59" s="3099">
        <v>21550</v>
      </c>
      <c r="E59" s="3099">
        <v>21150</v>
      </c>
      <c r="F59" s="3099">
        <v>5250</v>
      </c>
      <c r="G59" s="3099">
        <v>14630</v>
      </c>
      <c r="N59" s="2370" t="s">
        <v>2947</v>
      </c>
    </row>
    <row r="60" spans="1:17" ht="14.25" customHeight="1">
      <c r="A60" s="2370" t="s">
        <v>108</v>
      </c>
      <c r="B60" s="2370" t="s">
        <v>162</v>
      </c>
      <c r="C60" s="3099">
        <v>21640</v>
      </c>
      <c r="D60" s="3099">
        <v>21260</v>
      </c>
      <c r="E60" s="3099">
        <v>24040</v>
      </c>
      <c r="F60" s="3099">
        <v>4470</v>
      </c>
      <c r="G60" s="3099">
        <v>14430</v>
      </c>
      <c r="N60" s="2370" t="s">
        <v>2948</v>
      </c>
    </row>
    <row r="61" spans="1:17" ht="14.25" customHeight="1">
      <c r="A61" s="2370" t="s">
        <v>108</v>
      </c>
      <c r="B61" s="2370" t="s">
        <v>168</v>
      </c>
      <c r="C61" s="3099">
        <v>21330</v>
      </c>
      <c r="D61" s="3099">
        <v>18640</v>
      </c>
      <c r="E61" s="3099">
        <v>21190</v>
      </c>
      <c r="F61" s="3099">
        <v>4180</v>
      </c>
      <c r="G61" s="3099">
        <v>12650</v>
      </c>
      <c r="N61" s="2370" t="s">
        <v>2949</v>
      </c>
    </row>
    <row r="62" spans="1:17" ht="14.25" customHeight="1">
      <c r="A62" s="2370" t="s">
        <v>108</v>
      </c>
      <c r="B62" s="2370" t="s">
        <v>175</v>
      </c>
      <c r="C62" s="3099">
        <v>18710</v>
      </c>
      <c r="D62" s="3099">
        <v>19400</v>
      </c>
      <c r="E62" s="3099">
        <v>23750</v>
      </c>
      <c r="F62" s="3099">
        <v>4860</v>
      </c>
      <c r="G62" s="3099">
        <v>13170</v>
      </c>
      <c r="N62" s="2370" t="s">
        <v>2950</v>
      </c>
    </row>
    <row r="63" spans="1:17" ht="14.25" customHeight="1">
      <c r="A63" s="2370" t="s">
        <v>108</v>
      </c>
      <c r="B63" s="2370" t="s">
        <v>185</v>
      </c>
      <c r="C63" s="3099">
        <v>19480</v>
      </c>
      <c r="D63" s="3099">
        <v>16830</v>
      </c>
      <c r="E63" s="3099">
        <v>21590</v>
      </c>
      <c r="F63" s="3099">
        <v>4560</v>
      </c>
      <c r="G63" s="3099">
        <v>11420</v>
      </c>
      <c r="N63" s="2370" t="s">
        <v>2951</v>
      </c>
    </row>
    <row r="64" spans="1:17" ht="14.25" customHeight="1" thickBot="1">
      <c r="A64" s="2370" t="s">
        <v>108</v>
      </c>
      <c r="B64" s="2370" t="s">
        <v>194</v>
      </c>
      <c r="C64" s="3099">
        <v>16920</v>
      </c>
      <c r="D64" s="3099">
        <v>19190</v>
      </c>
      <c r="E64" s="3099">
        <v>22200</v>
      </c>
      <c r="F64" s="3099">
        <v>4390</v>
      </c>
      <c r="G64" s="3099">
        <v>13030</v>
      </c>
      <c r="N64" s="2377" t="s">
        <v>2952</v>
      </c>
    </row>
    <row r="65" spans="1:7" s="2235" customFormat="1" ht="14.25" customHeight="1">
      <c r="A65" s="2370" t="s">
        <v>108</v>
      </c>
      <c r="B65" s="2370" t="s">
        <v>201</v>
      </c>
      <c r="C65" s="3099">
        <v>19290</v>
      </c>
      <c r="D65" s="3099">
        <v>17020</v>
      </c>
      <c r="E65" s="3099">
        <v>19880</v>
      </c>
      <c r="F65" s="3099">
        <v>4070</v>
      </c>
      <c r="G65" s="3099">
        <v>11550</v>
      </c>
    </row>
    <row r="66" spans="1:7" s="2235" customFormat="1" ht="14.25" customHeight="1">
      <c r="A66" s="2370" t="s">
        <v>108</v>
      </c>
      <c r="B66" s="2370" t="s">
        <v>208</v>
      </c>
      <c r="C66" s="3099">
        <v>17090</v>
      </c>
      <c r="D66" s="3099">
        <v>18340</v>
      </c>
      <c r="E66" s="3099">
        <v>21830</v>
      </c>
      <c r="F66" s="3099">
        <v>4690</v>
      </c>
      <c r="G66" s="3099">
        <v>12450</v>
      </c>
    </row>
    <row r="67" spans="1:7" s="2235" customFormat="1" ht="14.25" customHeight="1">
      <c r="A67" s="2370" t="s">
        <v>108</v>
      </c>
      <c r="B67" s="2370" t="s">
        <v>214</v>
      </c>
      <c r="C67" s="3099">
        <v>18420</v>
      </c>
      <c r="D67" s="3099">
        <v>16360</v>
      </c>
      <c r="E67" s="3099">
        <v>20020</v>
      </c>
      <c r="F67" s="3099">
        <v>5150</v>
      </c>
      <c r="G67" s="3099">
        <v>11110</v>
      </c>
    </row>
    <row r="68" spans="1:7" s="2235" customFormat="1" ht="14.25" customHeight="1">
      <c r="A68" s="2370" t="s">
        <v>108</v>
      </c>
      <c r="B68" s="2370" t="s">
        <v>222</v>
      </c>
      <c r="C68" s="3099">
        <v>16450</v>
      </c>
      <c r="D68" s="3099">
        <v>18430</v>
      </c>
      <c r="E68" s="3099">
        <v>21010</v>
      </c>
      <c r="F68" s="3099">
        <v>4720</v>
      </c>
      <c r="G68" s="3099">
        <v>12510</v>
      </c>
    </row>
    <row r="69" spans="1:7" s="2235" customFormat="1" ht="14.25" customHeight="1">
      <c r="A69" s="2370" t="s">
        <v>108</v>
      </c>
      <c r="B69" s="2370" t="s">
        <v>230</v>
      </c>
      <c r="C69" s="3099">
        <v>18510</v>
      </c>
      <c r="D69" s="3099">
        <v>16300</v>
      </c>
      <c r="E69" s="3099">
        <v>18830</v>
      </c>
      <c r="F69" s="3099">
        <v>5400</v>
      </c>
      <c r="G69" s="3099">
        <v>11070</v>
      </c>
    </row>
    <row r="70" spans="1:7" s="2235" customFormat="1" ht="14.25" customHeight="1">
      <c r="A70" s="2370" t="s">
        <v>108</v>
      </c>
      <c r="B70" s="2370" t="s">
        <v>235</v>
      </c>
      <c r="C70" s="3099">
        <v>16370</v>
      </c>
      <c r="D70" s="3099">
        <v>18620</v>
      </c>
      <c r="E70" s="3099">
        <v>21100</v>
      </c>
      <c r="F70" s="3099">
        <v>5700</v>
      </c>
      <c r="G70" s="3099">
        <v>12640</v>
      </c>
    </row>
    <row r="71" spans="1:7" s="2235" customFormat="1" ht="14.25" customHeight="1">
      <c r="A71" s="2370" t="s">
        <v>108</v>
      </c>
      <c r="B71" s="2370" t="s">
        <v>244</v>
      </c>
      <c r="C71" s="3099">
        <v>18700</v>
      </c>
      <c r="D71" s="3099">
        <v>16290</v>
      </c>
      <c r="E71" s="3099">
        <v>18760</v>
      </c>
      <c r="F71" s="3099">
        <v>4780</v>
      </c>
      <c r="G71" s="3099">
        <v>11050</v>
      </c>
    </row>
    <row r="72" spans="1:7" s="2235" customFormat="1" ht="14.25" customHeight="1">
      <c r="A72" s="2370" t="s">
        <v>108</v>
      </c>
      <c r="B72" s="2370" t="s">
        <v>251</v>
      </c>
      <c r="C72" s="3099">
        <v>16340</v>
      </c>
      <c r="D72" s="3099">
        <v>17520</v>
      </c>
      <c r="E72" s="3099">
        <v>21170</v>
      </c>
      <c r="F72" s="3099"/>
      <c r="G72" s="3099">
        <v>11900</v>
      </c>
    </row>
    <row r="73" spans="1:7" s="2235" customFormat="1" ht="14.25" customHeight="1">
      <c r="A73" s="2370" t="s">
        <v>108</v>
      </c>
      <c r="B73" s="2370" t="s">
        <v>259</v>
      </c>
      <c r="C73" s="3099">
        <v>17610</v>
      </c>
      <c r="D73" s="3099">
        <v>18520</v>
      </c>
      <c r="E73" s="3099">
        <v>18720</v>
      </c>
      <c r="F73" s="3099"/>
      <c r="G73" s="3099">
        <v>12570</v>
      </c>
    </row>
    <row r="74" spans="1:7" s="2235" customFormat="1" ht="14.25" customHeight="1">
      <c r="A74" s="2370" t="s">
        <v>108</v>
      </c>
      <c r="B74" s="2370" t="s">
        <v>266</v>
      </c>
      <c r="C74" s="3099">
        <v>18600</v>
      </c>
      <c r="D74" s="3099">
        <v>16480</v>
      </c>
      <c r="E74" s="3099">
        <v>20100</v>
      </c>
      <c r="F74" s="3099"/>
      <c r="G74" s="3099">
        <v>11190</v>
      </c>
    </row>
    <row r="75" spans="1:7" s="2235" customFormat="1" ht="14.25" customHeight="1">
      <c r="A75" s="2370" t="s">
        <v>108</v>
      </c>
      <c r="B75" s="2370" t="s">
        <v>270</v>
      </c>
      <c r="C75" s="3099">
        <v>16570</v>
      </c>
      <c r="D75" s="3099">
        <v>17530</v>
      </c>
      <c r="E75" s="3099">
        <v>21030</v>
      </c>
      <c r="F75" s="3099"/>
      <c r="G75" s="3099">
        <v>11900</v>
      </c>
    </row>
    <row r="76" spans="1:7" s="2235" customFormat="1" ht="14.25" customHeight="1">
      <c r="A76" s="2370" t="s">
        <v>108</v>
      </c>
      <c r="B76" s="2370" t="s">
        <v>276</v>
      </c>
      <c r="C76" s="3099">
        <v>17610</v>
      </c>
      <c r="D76" s="3099">
        <v>20800</v>
      </c>
      <c r="E76" s="3099">
        <v>18920</v>
      </c>
      <c r="F76" s="3099"/>
      <c r="G76" s="3099">
        <v>14120</v>
      </c>
    </row>
    <row r="77" spans="1:7" s="2235" customFormat="1" ht="14.25" customHeight="1">
      <c r="A77" s="2370" t="s">
        <v>108</v>
      </c>
      <c r="B77" s="2370" t="s">
        <v>279</v>
      </c>
      <c r="C77" s="3099">
        <v>20890</v>
      </c>
      <c r="D77" s="3099">
        <v>19740</v>
      </c>
      <c r="E77" s="3099">
        <v>20110</v>
      </c>
      <c r="F77" s="3099"/>
      <c r="G77" s="3099">
        <v>13400</v>
      </c>
    </row>
    <row r="78" spans="1:7" s="2235" customFormat="1" ht="14.25" customHeight="1">
      <c r="A78" s="2370" t="s">
        <v>108</v>
      </c>
      <c r="B78" s="2370" t="s">
        <v>2823</v>
      </c>
      <c r="C78" s="3099">
        <v>19820</v>
      </c>
      <c r="D78" s="3099">
        <v>19780</v>
      </c>
      <c r="E78" s="3099">
        <v>18560</v>
      </c>
      <c r="F78" s="3099"/>
      <c r="G78" s="3099">
        <v>13430</v>
      </c>
    </row>
    <row r="79" spans="1:7" s="2235" customFormat="1" ht="14.25" customHeight="1">
      <c r="A79" s="2370" t="s">
        <v>108</v>
      </c>
      <c r="B79" s="2370" t="s">
        <v>2826</v>
      </c>
      <c r="C79" s="3099">
        <v>21660</v>
      </c>
      <c r="D79" s="3099">
        <v>18000</v>
      </c>
      <c r="E79" s="3099">
        <v>22570</v>
      </c>
      <c r="F79" s="3099"/>
      <c r="G79" s="3099">
        <v>12220</v>
      </c>
    </row>
    <row r="80" spans="1:7" s="2235" customFormat="1" ht="14.25" customHeight="1">
      <c r="A80" s="2370" t="s">
        <v>108</v>
      </c>
      <c r="B80" s="2370" t="s">
        <v>2830</v>
      </c>
      <c r="C80" s="3099">
        <v>19850</v>
      </c>
      <c r="D80" s="3099"/>
      <c r="E80" s="3099">
        <v>21700</v>
      </c>
      <c r="F80" s="3099"/>
      <c r="G80" s="3099"/>
    </row>
    <row r="81" spans="1:7" s="2235" customFormat="1" ht="14.25" customHeight="1">
      <c r="A81" s="2370" t="s">
        <v>108</v>
      </c>
      <c r="B81" s="2370" t="s">
        <v>2835</v>
      </c>
      <c r="C81" s="3099">
        <v>18080</v>
      </c>
      <c r="D81" s="3099"/>
      <c r="E81" s="3099">
        <v>20900</v>
      </c>
      <c r="F81" s="3099"/>
      <c r="G81" s="3099"/>
    </row>
    <row r="82" spans="1:7" s="2235" customFormat="1" ht="14.25" customHeight="1">
      <c r="A82" s="2370" t="s">
        <v>108</v>
      </c>
      <c r="B82" s="2370" t="s">
        <v>2842</v>
      </c>
      <c r="C82" s="3099"/>
      <c r="D82" s="3099"/>
      <c r="E82" s="3099">
        <v>20840</v>
      </c>
      <c r="F82" s="3099"/>
      <c r="G82" s="3099"/>
    </row>
    <row r="83" spans="1:7" s="2235" customFormat="1" ht="14.25" customHeight="1">
      <c r="A83" s="2370" t="s">
        <v>108</v>
      </c>
      <c r="B83" s="2370" t="s">
        <v>2953</v>
      </c>
      <c r="C83" s="3099"/>
      <c r="D83" s="3099"/>
      <c r="E83" s="3099"/>
      <c r="F83" s="3099">
        <v>4770</v>
      </c>
      <c r="G83" s="3099"/>
    </row>
    <row r="84" spans="1:7" s="2235" customFormat="1" ht="14.25" customHeight="1">
      <c r="A84" s="2370" t="s">
        <v>108</v>
      </c>
      <c r="B84" s="2370" t="s">
        <v>2954</v>
      </c>
      <c r="C84" s="3099"/>
      <c r="D84" s="3099"/>
      <c r="E84" s="3099"/>
      <c r="F84" s="3099">
        <v>4600</v>
      </c>
      <c r="G84" s="3099"/>
    </row>
    <row r="85" spans="1:7" s="2235" customFormat="1" ht="14.25" customHeight="1">
      <c r="A85" s="2370" t="s">
        <v>108</v>
      </c>
      <c r="B85" s="2370" t="s">
        <v>2955</v>
      </c>
      <c r="C85" s="3099"/>
      <c r="D85" s="3099"/>
      <c r="E85" s="3099"/>
      <c r="F85" s="3099">
        <v>4680</v>
      </c>
      <c r="G85" s="3099"/>
    </row>
    <row r="86" spans="1:7" s="2235" customFormat="1" ht="14.25" customHeight="1" thickBot="1">
      <c r="A86" s="2378" t="s">
        <v>108</v>
      </c>
      <c r="B86" s="2380" t="s">
        <v>2956</v>
      </c>
      <c r="C86" s="3101">
        <v>16610</v>
      </c>
      <c r="D86" s="3101">
        <v>16540</v>
      </c>
      <c r="E86" s="3101">
        <v>18850</v>
      </c>
      <c r="F86" s="3101"/>
      <c r="G86" s="3101">
        <v>11220</v>
      </c>
    </row>
    <row r="87" spans="1:7" s="2235" customFormat="1" ht="14.25" customHeight="1">
      <c r="A87" s="2375" t="s">
        <v>301</v>
      </c>
      <c r="B87" s="2366" t="s">
        <v>2957</v>
      </c>
      <c r="C87" s="3098">
        <v>15240</v>
      </c>
      <c r="D87" s="3098">
        <v>15170</v>
      </c>
      <c r="E87" s="3098">
        <v>18260</v>
      </c>
      <c r="F87" s="3098">
        <v>3830</v>
      </c>
      <c r="G87" s="3102">
        <v>10020</v>
      </c>
    </row>
    <row r="88" spans="1:7" s="2235" customFormat="1" ht="14.25" customHeight="1">
      <c r="A88" s="2370" t="s">
        <v>301</v>
      </c>
      <c r="B88" s="2370" t="s">
        <v>129</v>
      </c>
      <c r="C88" s="3099">
        <v>17310</v>
      </c>
      <c r="D88" s="3099">
        <v>17220</v>
      </c>
      <c r="E88" s="3099">
        <v>18610</v>
      </c>
      <c r="F88" s="3099">
        <v>3990</v>
      </c>
      <c r="G88" s="3103">
        <v>11380</v>
      </c>
    </row>
    <row r="89" spans="1:7" s="2235" customFormat="1" ht="14.25" customHeight="1">
      <c r="A89" s="2370" t="s">
        <v>301</v>
      </c>
      <c r="B89" s="2370" t="s">
        <v>138</v>
      </c>
      <c r="C89" s="3099">
        <v>15600</v>
      </c>
      <c r="D89" s="3099">
        <v>15550</v>
      </c>
      <c r="E89" s="3099">
        <v>19200</v>
      </c>
      <c r="F89" s="3099">
        <v>4110</v>
      </c>
      <c r="G89" s="3103">
        <v>10270</v>
      </c>
    </row>
    <row r="90" spans="1:7" s="2235" customFormat="1" ht="14.25" customHeight="1">
      <c r="A90" s="2370" t="s">
        <v>301</v>
      </c>
      <c r="B90" s="2370" t="s">
        <v>147</v>
      </c>
      <c r="C90" s="3099">
        <v>17330</v>
      </c>
      <c r="D90" s="3099">
        <v>17240</v>
      </c>
      <c r="E90" s="3099">
        <v>18570</v>
      </c>
      <c r="F90" s="3099">
        <v>4070</v>
      </c>
      <c r="G90" s="3103">
        <v>11390</v>
      </c>
    </row>
    <row r="91" spans="1:7" s="2235" customFormat="1" ht="14.25" customHeight="1">
      <c r="A91" s="2370" t="s">
        <v>301</v>
      </c>
      <c r="B91" s="2370" t="s">
        <v>156</v>
      </c>
      <c r="C91" s="3099">
        <v>16330</v>
      </c>
      <c r="D91" s="3099">
        <v>16260</v>
      </c>
      <c r="E91" s="3099">
        <v>16800</v>
      </c>
      <c r="F91" s="3099">
        <v>3410</v>
      </c>
      <c r="G91" s="3103">
        <v>10740</v>
      </c>
    </row>
    <row r="92" spans="1:7" s="2235" customFormat="1" ht="14.25" customHeight="1">
      <c r="A92" s="2370" t="s">
        <v>301</v>
      </c>
      <c r="B92" s="2370" t="s">
        <v>163</v>
      </c>
      <c r="C92" s="3099">
        <v>15570</v>
      </c>
      <c r="D92" s="3099">
        <v>15500</v>
      </c>
      <c r="E92" s="3099">
        <v>17360</v>
      </c>
      <c r="F92" s="3099">
        <v>3510</v>
      </c>
      <c r="G92" s="3103">
        <v>10240</v>
      </c>
    </row>
    <row r="93" spans="1:7" s="2235" customFormat="1" ht="14.25" customHeight="1">
      <c r="A93" s="2370" t="s">
        <v>301</v>
      </c>
      <c r="B93" s="2370" t="s">
        <v>169</v>
      </c>
      <c r="C93" s="3099">
        <v>14000</v>
      </c>
      <c r="D93" s="3099">
        <v>13930</v>
      </c>
      <c r="E93" s="3099">
        <v>18200</v>
      </c>
      <c r="F93" s="3099">
        <v>3640</v>
      </c>
      <c r="G93" s="3103">
        <v>9210</v>
      </c>
    </row>
    <row r="94" spans="1:7" s="2235" customFormat="1" ht="14.25" customHeight="1">
      <c r="A94" s="2370" t="s">
        <v>301</v>
      </c>
      <c r="B94" s="2370" t="s">
        <v>176</v>
      </c>
      <c r="C94" s="3099">
        <v>14530</v>
      </c>
      <c r="D94" s="3099">
        <v>14470</v>
      </c>
      <c r="E94" s="3099">
        <v>18240</v>
      </c>
      <c r="F94" s="3099">
        <v>3180</v>
      </c>
      <c r="G94" s="3103">
        <v>9560</v>
      </c>
    </row>
    <row r="95" spans="1:7" s="2235" customFormat="1" ht="14.25" customHeight="1">
      <c r="A95" s="2370" t="s">
        <v>301</v>
      </c>
      <c r="B95" s="2370" t="s">
        <v>186</v>
      </c>
      <c r="C95" s="3099">
        <v>17330</v>
      </c>
      <c r="D95" s="3099">
        <v>17260</v>
      </c>
      <c r="E95" s="3099">
        <v>18420</v>
      </c>
      <c r="F95" s="3099">
        <v>3060</v>
      </c>
      <c r="G95" s="3103">
        <v>11410</v>
      </c>
    </row>
    <row r="96" spans="1:7" s="2235" customFormat="1" ht="14.25" customHeight="1">
      <c r="A96" s="2370" t="s">
        <v>301</v>
      </c>
      <c r="B96" s="2370" t="s">
        <v>195</v>
      </c>
      <c r="C96" s="3099">
        <v>15030</v>
      </c>
      <c r="D96" s="3099">
        <v>14970</v>
      </c>
      <c r="E96" s="3099">
        <v>17580</v>
      </c>
      <c r="F96" s="3099">
        <v>2970</v>
      </c>
      <c r="G96" s="3103">
        <v>9890</v>
      </c>
    </row>
    <row r="97" spans="1:7" s="2235" customFormat="1" ht="14.25" customHeight="1">
      <c r="A97" s="2370" t="s">
        <v>301</v>
      </c>
      <c r="B97" s="2370" t="s">
        <v>202</v>
      </c>
      <c r="C97" s="3099">
        <v>17400</v>
      </c>
      <c r="D97" s="3099">
        <v>17330</v>
      </c>
      <c r="E97" s="3099">
        <v>16430</v>
      </c>
      <c r="F97" s="3099">
        <v>2950</v>
      </c>
      <c r="G97" s="3103">
        <v>11450</v>
      </c>
    </row>
    <row r="98" spans="1:7" s="2235" customFormat="1" ht="14.25" customHeight="1">
      <c r="A98" s="2370" t="s">
        <v>301</v>
      </c>
      <c r="B98" s="2370" t="s">
        <v>209</v>
      </c>
      <c r="C98" s="3099">
        <v>15200</v>
      </c>
      <c r="D98" s="3099">
        <v>15120</v>
      </c>
      <c r="E98" s="3099">
        <v>17550</v>
      </c>
      <c r="F98" s="3099">
        <v>3080</v>
      </c>
      <c r="G98" s="3103">
        <v>9990</v>
      </c>
    </row>
    <row r="99" spans="1:7" s="2235" customFormat="1" ht="14.25" customHeight="1">
      <c r="A99" s="2370" t="s">
        <v>301</v>
      </c>
      <c r="B99" s="2370" t="s">
        <v>215</v>
      </c>
      <c r="C99" s="3099">
        <v>17520</v>
      </c>
      <c r="D99" s="3099">
        <v>17430</v>
      </c>
      <c r="E99" s="3099">
        <v>16350</v>
      </c>
      <c r="F99" s="3099">
        <v>3260</v>
      </c>
      <c r="G99" s="3103">
        <v>11510</v>
      </c>
    </row>
    <row r="100" spans="1:7" s="2235" customFormat="1" ht="14.25" customHeight="1">
      <c r="A100" s="2370" t="s">
        <v>301</v>
      </c>
      <c r="B100" s="2370" t="s">
        <v>223</v>
      </c>
      <c r="C100" s="3099">
        <v>15340</v>
      </c>
      <c r="D100" s="3099">
        <v>15260</v>
      </c>
      <c r="E100" s="3099">
        <v>15930</v>
      </c>
      <c r="F100" s="3099">
        <v>2740</v>
      </c>
      <c r="G100" s="3103">
        <v>10080</v>
      </c>
    </row>
    <row r="101" spans="1:7" s="2235" customFormat="1" ht="14.25" customHeight="1">
      <c r="A101" s="2370" t="s">
        <v>301</v>
      </c>
      <c r="B101" s="2370" t="s">
        <v>231</v>
      </c>
      <c r="C101" s="3099">
        <v>14620</v>
      </c>
      <c r="D101" s="3099">
        <v>14560</v>
      </c>
      <c r="E101" s="3099">
        <v>15570</v>
      </c>
      <c r="F101" s="3099">
        <v>3500</v>
      </c>
      <c r="G101" s="3103">
        <v>9630</v>
      </c>
    </row>
    <row r="102" spans="1:7" s="2235" customFormat="1" ht="14.25" customHeight="1">
      <c r="A102" s="2370" t="s">
        <v>301</v>
      </c>
      <c r="B102" s="2370" t="s">
        <v>236</v>
      </c>
      <c r="C102" s="3099">
        <v>13680</v>
      </c>
      <c r="D102" s="3099">
        <v>13610</v>
      </c>
      <c r="E102" s="3099">
        <v>15690</v>
      </c>
      <c r="F102" s="3099">
        <v>2870</v>
      </c>
      <c r="G102" s="3103">
        <v>8990</v>
      </c>
    </row>
    <row r="103" spans="1:7" s="2235" customFormat="1" ht="14.25" customHeight="1">
      <c r="A103" s="2370" t="s">
        <v>301</v>
      </c>
      <c r="B103" s="2370" t="s">
        <v>245</v>
      </c>
      <c r="C103" s="3099">
        <v>14620</v>
      </c>
      <c r="D103" s="3099">
        <v>14540</v>
      </c>
      <c r="E103" s="3099">
        <v>15240</v>
      </c>
      <c r="F103" s="3099">
        <v>2840</v>
      </c>
      <c r="G103" s="3103">
        <v>9610</v>
      </c>
    </row>
    <row r="104" spans="1:7" s="2235" customFormat="1" ht="14.25" customHeight="1">
      <c r="A104" s="2370" t="s">
        <v>301</v>
      </c>
      <c r="B104" s="2370" t="s">
        <v>252</v>
      </c>
      <c r="C104" s="3099">
        <v>13610</v>
      </c>
      <c r="D104" s="3099">
        <v>13540</v>
      </c>
      <c r="E104" s="3099">
        <v>15750</v>
      </c>
      <c r="F104" s="3099">
        <v>2770</v>
      </c>
      <c r="G104" s="3103">
        <v>8940</v>
      </c>
    </row>
    <row r="105" spans="1:7" s="2235" customFormat="1" ht="14.25" customHeight="1">
      <c r="A105" s="2370" t="s">
        <v>301</v>
      </c>
      <c r="B105" s="2370" t="s">
        <v>260</v>
      </c>
      <c r="C105" s="3099">
        <v>13310</v>
      </c>
      <c r="D105" s="3099">
        <v>13240</v>
      </c>
      <c r="E105" s="3099">
        <v>16280</v>
      </c>
      <c r="F105" s="3099">
        <v>3210</v>
      </c>
      <c r="G105" s="3103">
        <v>8750</v>
      </c>
    </row>
    <row r="106" spans="1:7" s="2235" customFormat="1" ht="14.25" customHeight="1">
      <c r="A106" s="2370" t="s">
        <v>301</v>
      </c>
      <c r="B106" s="2370" t="s">
        <v>267</v>
      </c>
      <c r="C106" s="3099">
        <v>13010</v>
      </c>
      <c r="D106" s="3099">
        <v>12930</v>
      </c>
      <c r="E106" s="3099">
        <v>14960</v>
      </c>
      <c r="F106" s="3099">
        <v>3530</v>
      </c>
      <c r="G106" s="3103">
        <v>8550</v>
      </c>
    </row>
    <row r="107" spans="1:7" s="2235" customFormat="1" ht="14.25" customHeight="1">
      <c r="A107" s="2370" t="s">
        <v>301</v>
      </c>
      <c r="B107" s="2370" t="s">
        <v>271</v>
      </c>
      <c r="C107" s="3099">
        <v>13070</v>
      </c>
      <c r="D107" s="3099">
        <v>13000</v>
      </c>
      <c r="E107" s="3099">
        <v>15910</v>
      </c>
      <c r="F107" s="3099">
        <v>3990</v>
      </c>
      <c r="G107" s="3103">
        <v>8580</v>
      </c>
    </row>
    <row r="108" spans="1:7" s="2235" customFormat="1" ht="14.25" customHeight="1">
      <c r="A108" s="2370" t="s">
        <v>301</v>
      </c>
      <c r="B108" s="2370" t="s">
        <v>277</v>
      </c>
      <c r="C108" s="3099">
        <v>12640</v>
      </c>
      <c r="D108" s="3099">
        <v>12580</v>
      </c>
      <c r="E108" s="3099">
        <v>15730</v>
      </c>
      <c r="F108" s="3099"/>
      <c r="G108" s="3103">
        <v>8310</v>
      </c>
    </row>
    <row r="109" spans="1:7" s="2235" customFormat="1" ht="14.25" customHeight="1">
      <c r="A109" s="2370" t="s">
        <v>301</v>
      </c>
      <c r="B109" s="2370" t="s">
        <v>280</v>
      </c>
      <c r="C109" s="3099">
        <v>13130</v>
      </c>
      <c r="D109" s="3099">
        <v>13070</v>
      </c>
      <c r="E109" s="3099">
        <v>15000</v>
      </c>
      <c r="F109" s="3099"/>
      <c r="G109" s="3103">
        <v>8630</v>
      </c>
    </row>
    <row r="110" spans="1:7" s="2235" customFormat="1" ht="14.25" customHeight="1">
      <c r="A110" s="2370" t="s">
        <v>301</v>
      </c>
      <c r="B110" s="2370" t="s">
        <v>282</v>
      </c>
      <c r="C110" s="3099">
        <v>13560</v>
      </c>
      <c r="D110" s="3099">
        <v>13490</v>
      </c>
      <c r="E110" s="3099">
        <v>16300</v>
      </c>
      <c r="F110" s="3099"/>
      <c r="G110" s="3103">
        <v>8920</v>
      </c>
    </row>
    <row r="111" spans="1:7" s="2235" customFormat="1" ht="14.25" customHeight="1">
      <c r="A111" s="2370" t="s">
        <v>301</v>
      </c>
      <c r="B111" s="2370" t="s">
        <v>285</v>
      </c>
      <c r="C111" s="3099">
        <v>12440</v>
      </c>
      <c r="D111" s="3099">
        <v>12380</v>
      </c>
      <c r="E111" s="3099">
        <v>17850</v>
      </c>
      <c r="F111" s="3099"/>
      <c r="G111" s="3103">
        <v>8180</v>
      </c>
    </row>
    <row r="112" spans="1:7" s="2235" customFormat="1" ht="14.25" customHeight="1">
      <c r="A112" s="2370" t="s">
        <v>301</v>
      </c>
      <c r="B112" s="2370" t="s">
        <v>289</v>
      </c>
      <c r="C112" s="3099">
        <v>13260</v>
      </c>
      <c r="D112" s="3099">
        <v>13180</v>
      </c>
      <c r="E112" s="3099">
        <v>19740</v>
      </c>
      <c r="F112" s="3099"/>
      <c r="G112" s="3103">
        <v>8710</v>
      </c>
    </row>
    <row r="113" spans="1:7" s="2235" customFormat="1" ht="14.25" customHeight="1">
      <c r="A113" s="2370" t="s">
        <v>301</v>
      </c>
      <c r="B113" s="2370" t="s">
        <v>2836</v>
      </c>
      <c r="C113" s="3099">
        <v>15520</v>
      </c>
      <c r="D113" s="3099">
        <v>15450</v>
      </c>
      <c r="E113" s="3099"/>
      <c r="F113" s="3099"/>
      <c r="G113" s="3103">
        <v>10210</v>
      </c>
    </row>
    <row r="114" spans="1:7" s="2235" customFormat="1" ht="14.25" customHeight="1">
      <c r="A114" s="2370" t="s">
        <v>301</v>
      </c>
      <c r="B114" s="2370" t="s">
        <v>2843</v>
      </c>
      <c r="C114" s="3099">
        <v>13110</v>
      </c>
      <c r="D114" s="3099">
        <v>13050</v>
      </c>
      <c r="E114" s="3099"/>
      <c r="F114" s="3099"/>
      <c r="G114" s="3103">
        <v>8620</v>
      </c>
    </row>
    <row r="115" spans="1:7" s="2235" customFormat="1" ht="14.25" customHeight="1">
      <c r="A115" s="2370" t="s">
        <v>301</v>
      </c>
      <c r="B115" s="2370" t="s">
        <v>2849</v>
      </c>
      <c r="C115" s="3099">
        <v>12460</v>
      </c>
      <c r="D115" s="3099">
        <v>12390</v>
      </c>
      <c r="E115" s="3099"/>
      <c r="F115" s="3099"/>
      <c r="G115" s="3103">
        <v>8190</v>
      </c>
    </row>
    <row r="116" spans="1:7" s="2235" customFormat="1" ht="14.25" customHeight="1">
      <c r="A116" s="2370" t="s">
        <v>301</v>
      </c>
      <c r="B116" s="2370" t="s">
        <v>2856</v>
      </c>
      <c r="C116" s="3099">
        <v>13580</v>
      </c>
      <c r="D116" s="3099">
        <v>13520</v>
      </c>
      <c r="E116" s="3099"/>
      <c r="F116" s="3099"/>
      <c r="G116" s="3103">
        <v>8930</v>
      </c>
    </row>
    <row r="117" spans="1:7" s="2235" customFormat="1" ht="14.25" customHeight="1">
      <c r="A117" s="2370" t="s">
        <v>301</v>
      </c>
      <c r="B117" s="2370" t="s">
        <v>2863</v>
      </c>
      <c r="C117" s="3099">
        <v>17120</v>
      </c>
      <c r="D117" s="3099">
        <v>17040</v>
      </c>
      <c r="E117" s="3099"/>
      <c r="F117" s="3099"/>
      <c r="G117" s="3103">
        <v>11260</v>
      </c>
    </row>
    <row r="118" spans="1:7" s="2235" customFormat="1" ht="14.25" customHeight="1">
      <c r="A118" s="2370" t="s">
        <v>301</v>
      </c>
      <c r="B118" s="2370" t="s">
        <v>2868</v>
      </c>
      <c r="C118" s="3099">
        <v>14860</v>
      </c>
      <c r="D118" s="3099">
        <v>14790</v>
      </c>
      <c r="E118" s="3099"/>
      <c r="F118" s="3099"/>
      <c r="G118" s="3103">
        <v>9780</v>
      </c>
    </row>
    <row r="119" spans="1:7" s="2235" customFormat="1" ht="14.25" customHeight="1">
      <c r="A119" s="2370" t="s">
        <v>301</v>
      </c>
      <c r="B119" s="2370" t="s">
        <v>2872</v>
      </c>
      <c r="C119" s="3099">
        <v>16470</v>
      </c>
      <c r="D119" s="3099">
        <v>16400</v>
      </c>
      <c r="E119" s="3099"/>
      <c r="F119" s="3099"/>
      <c r="G119" s="3103">
        <v>10840</v>
      </c>
    </row>
    <row r="120" spans="1:7" s="2235" customFormat="1" ht="14.25" customHeight="1">
      <c r="A120" s="2370" t="s">
        <v>301</v>
      </c>
      <c r="B120" s="2370" t="s">
        <v>2958</v>
      </c>
      <c r="C120" s="3099"/>
      <c r="D120" s="3099"/>
      <c r="E120" s="3099"/>
      <c r="F120" s="3099">
        <v>4160</v>
      </c>
      <c r="G120" s="3103"/>
    </row>
    <row r="121" spans="1:7" s="2235" customFormat="1" ht="14.25" customHeight="1">
      <c r="A121" s="2370" t="s">
        <v>301</v>
      </c>
      <c r="B121" s="2370" t="s">
        <v>2959</v>
      </c>
      <c r="C121" s="3099"/>
      <c r="D121" s="3099"/>
      <c r="E121" s="3099"/>
      <c r="F121" s="3099">
        <v>3880</v>
      </c>
      <c r="G121" s="3103"/>
    </row>
    <row r="122" spans="1:7" s="2235" customFormat="1" ht="14.25" customHeight="1">
      <c r="A122" s="2370" t="s">
        <v>301</v>
      </c>
      <c r="B122" s="2370" t="s">
        <v>2960</v>
      </c>
      <c r="C122" s="3099">
        <v>13750</v>
      </c>
      <c r="D122" s="3099">
        <v>13680</v>
      </c>
      <c r="E122" s="3099">
        <v>16460</v>
      </c>
      <c r="F122" s="3099">
        <v>2880</v>
      </c>
      <c r="G122" s="3103">
        <v>9040</v>
      </c>
    </row>
    <row r="123" spans="1:7" s="2235" customFormat="1" ht="14.25" customHeight="1">
      <c r="A123" s="2370" t="s">
        <v>301</v>
      </c>
      <c r="B123" s="2370" t="s">
        <v>2891</v>
      </c>
      <c r="C123" s="3099">
        <v>13590</v>
      </c>
      <c r="D123" s="3099">
        <v>13520</v>
      </c>
      <c r="E123" s="3099">
        <v>16290</v>
      </c>
      <c r="F123" s="3099">
        <v>2790</v>
      </c>
      <c r="G123" s="3103">
        <v>8930</v>
      </c>
    </row>
    <row r="124" spans="1:7" s="2235" customFormat="1" ht="14.25" customHeight="1">
      <c r="A124" s="2370" t="s">
        <v>301</v>
      </c>
      <c r="B124" s="2370" t="s">
        <v>2896</v>
      </c>
      <c r="C124" s="3099">
        <v>13400</v>
      </c>
      <c r="D124" s="3099">
        <v>13320</v>
      </c>
      <c r="E124" s="3099">
        <v>16100</v>
      </c>
      <c r="F124" s="3099">
        <v>2320</v>
      </c>
      <c r="G124" s="3103">
        <v>8800</v>
      </c>
    </row>
    <row r="125" spans="1:7" s="2235" customFormat="1" ht="14.25" customHeight="1">
      <c r="A125" s="2370" t="s">
        <v>301</v>
      </c>
      <c r="B125" s="2370" t="s">
        <v>2901</v>
      </c>
      <c r="C125" s="3099">
        <v>12860</v>
      </c>
      <c r="D125" s="3099">
        <v>12790</v>
      </c>
      <c r="E125" s="3099">
        <v>15370</v>
      </c>
      <c r="F125" s="3099">
        <v>2280</v>
      </c>
      <c r="G125" s="3103">
        <v>8450</v>
      </c>
    </row>
    <row r="126" spans="1:7" s="2235" customFormat="1" ht="14.25" customHeight="1" thickBot="1">
      <c r="A126" s="2382" t="s">
        <v>301</v>
      </c>
      <c r="B126" s="2377" t="s">
        <v>2906</v>
      </c>
      <c r="C126" s="3100">
        <v>12960</v>
      </c>
      <c r="D126" s="3100">
        <v>12890</v>
      </c>
      <c r="E126" s="3100">
        <v>15530</v>
      </c>
      <c r="F126" s="3100">
        <v>2910</v>
      </c>
      <c r="G126" s="3104">
        <v>8520</v>
      </c>
    </row>
    <row r="127" spans="1:7" s="2235" customFormat="1" ht="14.25" customHeight="1">
      <c r="A127" s="2375" t="s">
        <v>27</v>
      </c>
      <c r="B127" s="2366" t="s">
        <v>2961</v>
      </c>
      <c r="C127" s="3099">
        <v>12280</v>
      </c>
      <c r="D127" s="3099">
        <v>12250</v>
      </c>
      <c r="E127" s="3099">
        <v>15130</v>
      </c>
      <c r="F127" s="3099">
        <v>2710</v>
      </c>
      <c r="G127" s="3099">
        <v>7870</v>
      </c>
    </row>
    <row r="128" spans="1:7" s="2235" customFormat="1" ht="14.25" customHeight="1">
      <c r="A128" s="2370" t="s">
        <v>27</v>
      </c>
      <c r="B128" s="2370" t="s">
        <v>130</v>
      </c>
      <c r="C128" s="3099">
        <v>13180</v>
      </c>
      <c r="D128" s="3099">
        <v>13150</v>
      </c>
      <c r="E128" s="3099">
        <v>16190</v>
      </c>
      <c r="F128" s="3099">
        <v>2820</v>
      </c>
      <c r="G128" s="3099">
        <v>8460</v>
      </c>
    </row>
    <row r="129" spans="1:7" s="2235" customFormat="1" ht="14.25" customHeight="1">
      <c r="A129" s="2370" t="s">
        <v>27</v>
      </c>
      <c r="B129" s="2370" t="s">
        <v>139</v>
      </c>
      <c r="C129" s="3099">
        <v>10950</v>
      </c>
      <c r="D129" s="3099">
        <v>10920</v>
      </c>
      <c r="E129" s="3099">
        <v>13820</v>
      </c>
      <c r="F129" s="3099">
        <v>2500</v>
      </c>
      <c r="G129" s="3099">
        <v>7020</v>
      </c>
    </row>
    <row r="130" spans="1:7" s="2235" customFormat="1" ht="14.25" customHeight="1">
      <c r="A130" s="2370" t="s">
        <v>27</v>
      </c>
      <c r="B130" s="2370" t="s">
        <v>148</v>
      </c>
      <c r="C130" s="3099">
        <v>10910</v>
      </c>
      <c r="D130" s="3099">
        <v>10860</v>
      </c>
      <c r="E130" s="3099">
        <v>13730</v>
      </c>
      <c r="F130" s="3099">
        <v>2760</v>
      </c>
      <c r="G130" s="3099">
        <v>6990</v>
      </c>
    </row>
    <row r="131" spans="1:7" s="2235" customFormat="1" ht="14.25" customHeight="1">
      <c r="A131" s="2370" t="s">
        <v>27</v>
      </c>
      <c r="B131" s="2370" t="s">
        <v>157</v>
      </c>
      <c r="C131" s="3099">
        <v>12910</v>
      </c>
      <c r="D131" s="3099">
        <v>12870</v>
      </c>
      <c r="E131" s="3099">
        <v>15720</v>
      </c>
      <c r="F131" s="3099">
        <v>2750</v>
      </c>
      <c r="G131" s="3099">
        <v>8280</v>
      </c>
    </row>
    <row r="132" spans="1:7" s="2235" customFormat="1" ht="14.25" customHeight="1">
      <c r="A132" s="2370" t="s">
        <v>27</v>
      </c>
      <c r="B132" s="2370" t="s">
        <v>164</v>
      </c>
      <c r="C132" s="3099">
        <v>11910</v>
      </c>
      <c r="D132" s="3099">
        <v>11860</v>
      </c>
      <c r="E132" s="3099">
        <v>14730</v>
      </c>
      <c r="F132" s="3099">
        <v>2360</v>
      </c>
      <c r="G132" s="3099">
        <v>7630</v>
      </c>
    </row>
    <row r="133" spans="1:7" s="2235" customFormat="1" ht="14.25" customHeight="1">
      <c r="A133" s="2370" t="s">
        <v>27</v>
      </c>
      <c r="B133" s="2370" t="s">
        <v>170</v>
      </c>
      <c r="C133" s="3099">
        <v>12270</v>
      </c>
      <c r="D133" s="3099">
        <v>12210</v>
      </c>
      <c r="E133" s="3099">
        <v>15010</v>
      </c>
      <c r="F133" s="3099">
        <v>2580</v>
      </c>
      <c r="G133" s="3099">
        <v>7860</v>
      </c>
    </row>
    <row r="134" spans="1:7" s="2235" customFormat="1" ht="14.25" customHeight="1">
      <c r="A134" s="2370" t="s">
        <v>27</v>
      </c>
      <c r="B134" s="2370" t="s">
        <v>177</v>
      </c>
      <c r="C134" s="3099">
        <v>10800</v>
      </c>
      <c r="D134" s="3099">
        <v>10780</v>
      </c>
      <c r="E134" s="3099">
        <v>13640</v>
      </c>
      <c r="F134" s="3099">
        <v>2110</v>
      </c>
      <c r="G134" s="3099">
        <v>6930</v>
      </c>
    </row>
    <row r="135" spans="1:7" s="2235" customFormat="1" ht="14.25" customHeight="1">
      <c r="A135" s="2370" t="s">
        <v>27</v>
      </c>
      <c r="B135" s="2370" t="s">
        <v>187</v>
      </c>
      <c r="C135" s="3099">
        <v>10430</v>
      </c>
      <c r="D135" s="3099">
        <v>10390</v>
      </c>
      <c r="E135" s="3099">
        <v>13140</v>
      </c>
      <c r="F135" s="3099">
        <v>2240</v>
      </c>
      <c r="G135" s="3099">
        <v>6680</v>
      </c>
    </row>
    <row r="136" spans="1:7" s="2235" customFormat="1" ht="14.25" customHeight="1">
      <c r="A136" s="2370" t="s">
        <v>27</v>
      </c>
      <c r="B136" s="2370" t="s">
        <v>196</v>
      </c>
      <c r="C136" s="3099">
        <v>11930</v>
      </c>
      <c r="D136" s="3099">
        <v>11880</v>
      </c>
      <c r="E136" s="3099">
        <v>14770</v>
      </c>
      <c r="F136" s="3099">
        <v>1970</v>
      </c>
      <c r="G136" s="3099">
        <v>7640</v>
      </c>
    </row>
    <row r="137" spans="1:7" s="2235" customFormat="1" ht="14.25" customHeight="1">
      <c r="A137" s="2370" t="s">
        <v>27</v>
      </c>
      <c r="B137" s="2370" t="s">
        <v>203</v>
      </c>
      <c r="C137" s="3099">
        <v>10470</v>
      </c>
      <c r="D137" s="3099">
        <v>10430</v>
      </c>
      <c r="E137" s="3099">
        <v>13190</v>
      </c>
      <c r="F137" s="3099">
        <v>1990</v>
      </c>
      <c r="G137" s="3099">
        <v>6710</v>
      </c>
    </row>
    <row r="138" spans="1:7" s="2235" customFormat="1" ht="14.25" customHeight="1">
      <c r="A138" s="2370" t="s">
        <v>27</v>
      </c>
      <c r="B138" s="2370" t="s">
        <v>210</v>
      </c>
      <c r="C138" s="3099">
        <v>10410</v>
      </c>
      <c r="D138" s="3099">
        <v>10380</v>
      </c>
      <c r="E138" s="3099">
        <v>13130</v>
      </c>
      <c r="F138" s="3099">
        <v>2030</v>
      </c>
      <c r="G138" s="3099">
        <v>6680</v>
      </c>
    </row>
    <row r="139" spans="1:7" s="2235" customFormat="1" ht="14.25" customHeight="1">
      <c r="A139" s="2370" t="s">
        <v>27</v>
      </c>
      <c r="B139" s="2370" t="s">
        <v>216</v>
      </c>
      <c r="C139" s="3099">
        <v>9460</v>
      </c>
      <c r="D139" s="3099">
        <v>9410</v>
      </c>
      <c r="E139" s="3099">
        <v>12050</v>
      </c>
      <c r="F139" s="3099">
        <v>2140</v>
      </c>
      <c r="G139" s="3099">
        <v>6050</v>
      </c>
    </row>
    <row r="140" spans="1:7" s="2235" customFormat="1" ht="14.25" customHeight="1">
      <c r="A140" s="2370" t="s">
        <v>27</v>
      </c>
      <c r="B140" s="2370" t="s">
        <v>224</v>
      </c>
      <c r="C140" s="3099">
        <v>11030</v>
      </c>
      <c r="D140" s="3099">
        <v>10980</v>
      </c>
      <c r="E140" s="3099">
        <v>13880</v>
      </c>
      <c r="F140" s="3099">
        <v>2210</v>
      </c>
      <c r="G140" s="3099">
        <v>7060</v>
      </c>
    </row>
    <row r="141" spans="1:7" s="2235" customFormat="1" ht="14.25" customHeight="1">
      <c r="A141" s="2370" t="s">
        <v>27</v>
      </c>
      <c r="B141" s="2370" t="s">
        <v>232</v>
      </c>
      <c r="C141" s="3099">
        <v>11200</v>
      </c>
      <c r="D141" s="3099">
        <v>11150</v>
      </c>
      <c r="E141" s="3099">
        <v>14100</v>
      </c>
      <c r="F141" s="3099">
        <v>2470</v>
      </c>
      <c r="G141" s="3099">
        <v>7170</v>
      </c>
    </row>
    <row r="142" spans="1:7" s="2235" customFormat="1" ht="14.25" customHeight="1">
      <c r="A142" s="2370" t="s">
        <v>27</v>
      </c>
      <c r="B142" s="2370" t="s">
        <v>237</v>
      </c>
      <c r="C142" s="3099">
        <v>10780</v>
      </c>
      <c r="D142" s="3099">
        <v>10730</v>
      </c>
      <c r="E142" s="3099">
        <v>13540</v>
      </c>
      <c r="F142" s="3099">
        <v>2280</v>
      </c>
      <c r="G142" s="3099">
        <v>6900</v>
      </c>
    </row>
    <row r="143" spans="1:7" s="2235" customFormat="1" ht="14.25" customHeight="1">
      <c r="A143" s="2370" t="s">
        <v>27</v>
      </c>
      <c r="B143" s="2370" t="s">
        <v>246</v>
      </c>
      <c r="C143" s="3099">
        <v>11550</v>
      </c>
      <c r="D143" s="3099">
        <v>11490</v>
      </c>
      <c r="E143" s="3099">
        <v>14480</v>
      </c>
      <c r="F143" s="3099">
        <v>2070</v>
      </c>
      <c r="G143" s="3099">
        <v>7390</v>
      </c>
    </row>
    <row r="144" spans="1:7" s="2235" customFormat="1" ht="14.25" customHeight="1">
      <c r="A144" s="2370" t="s">
        <v>27</v>
      </c>
      <c r="B144" s="2370" t="s">
        <v>253</v>
      </c>
      <c r="C144" s="3099">
        <v>10720</v>
      </c>
      <c r="D144" s="3099">
        <v>10680</v>
      </c>
      <c r="E144" s="3099">
        <v>13480</v>
      </c>
      <c r="F144" s="3099">
        <v>2440</v>
      </c>
      <c r="G144" s="3099">
        <v>6870</v>
      </c>
    </row>
    <row r="145" spans="1:7" s="2235" customFormat="1" ht="14.25" customHeight="1">
      <c r="A145" s="2370" t="s">
        <v>27</v>
      </c>
      <c r="B145" s="2370" t="s">
        <v>261</v>
      </c>
      <c r="C145" s="3099">
        <v>10340</v>
      </c>
      <c r="D145" s="3099">
        <v>10290</v>
      </c>
      <c r="E145" s="3099">
        <v>12880</v>
      </c>
      <c r="F145" s="3099">
        <v>2650</v>
      </c>
      <c r="G145" s="3099">
        <v>6620</v>
      </c>
    </row>
    <row r="146" spans="1:7" s="2235" customFormat="1" ht="14.25" customHeight="1">
      <c r="A146" s="2370" t="s">
        <v>27</v>
      </c>
      <c r="B146" s="2370" t="s">
        <v>268</v>
      </c>
      <c r="C146" s="3099">
        <v>11890</v>
      </c>
      <c r="D146" s="3099">
        <v>11830</v>
      </c>
      <c r="E146" s="3099">
        <v>14670</v>
      </c>
      <c r="F146" s="3099"/>
      <c r="G146" s="3099">
        <v>7610</v>
      </c>
    </row>
    <row r="147" spans="1:7" s="2235" customFormat="1" ht="14.25" customHeight="1">
      <c r="A147" s="2370" t="s">
        <v>27</v>
      </c>
      <c r="B147" s="2370" t="s">
        <v>272</v>
      </c>
      <c r="C147" s="3099">
        <v>12650</v>
      </c>
      <c r="D147" s="3099">
        <v>12600</v>
      </c>
      <c r="E147" s="3099">
        <v>15440</v>
      </c>
      <c r="F147" s="3099"/>
      <c r="G147" s="3099">
        <v>8110</v>
      </c>
    </row>
    <row r="148" spans="1:7" s="2235" customFormat="1" ht="14.25" customHeight="1">
      <c r="A148" s="2370" t="s">
        <v>27</v>
      </c>
      <c r="B148" s="2370" t="s">
        <v>2962</v>
      </c>
      <c r="C148" s="3099">
        <v>10370</v>
      </c>
      <c r="D148" s="3099">
        <v>10310</v>
      </c>
      <c r="E148" s="3099">
        <v>12970</v>
      </c>
      <c r="F148" s="3099"/>
      <c r="G148" s="3099">
        <v>6630</v>
      </c>
    </row>
    <row r="149" spans="1:7" s="2235" customFormat="1" ht="14.25" customHeight="1">
      <c r="A149" s="2370" t="s">
        <v>27</v>
      </c>
      <c r="B149" s="2370" t="s">
        <v>2963</v>
      </c>
      <c r="C149" s="3099">
        <v>11600</v>
      </c>
      <c r="D149" s="3099">
        <v>11560</v>
      </c>
      <c r="E149" s="3099">
        <v>14540</v>
      </c>
      <c r="F149" s="3099">
        <v>2390</v>
      </c>
      <c r="G149" s="3099">
        <v>7430</v>
      </c>
    </row>
    <row r="150" spans="1:7" s="2235" customFormat="1" ht="14.25" customHeight="1">
      <c r="A150" s="2370" t="s">
        <v>27</v>
      </c>
      <c r="B150" s="2370" t="s">
        <v>290</v>
      </c>
      <c r="C150" s="3099">
        <v>9950</v>
      </c>
      <c r="D150" s="3099">
        <v>9890</v>
      </c>
      <c r="E150" s="3099">
        <v>12590</v>
      </c>
      <c r="F150" s="3099">
        <v>1970</v>
      </c>
      <c r="G150" s="3099">
        <v>6360</v>
      </c>
    </row>
    <row r="151" spans="1:7" s="2235" customFormat="1" ht="14.25" customHeight="1">
      <c r="A151" s="2370" t="s">
        <v>27</v>
      </c>
      <c r="B151" s="2370" t="s">
        <v>292</v>
      </c>
      <c r="C151" s="3099">
        <v>10700</v>
      </c>
      <c r="D151" s="3099">
        <v>10650</v>
      </c>
      <c r="E151" s="3099">
        <v>13420</v>
      </c>
      <c r="F151" s="3099">
        <v>2020</v>
      </c>
      <c r="G151" s="3099">
        <v>6850</v>
      </c>
    </row>
    <row r="152" spans="1:7" s="2235" customFormat="1" ht="14.25" customHeight="1">
      <c r="A152" s="2370" t="s">
        <v>27</v>
      </c>
      <c r="B152" s="2370" t="s">
        <v>295</v>
      </c>
      <c r="C152" s="3099">
        <v>10310</v>
      </c>
      <c r="D152" s="3099">
        <v>10260</v>
      </c>
      <c r="E152" s="3099">
        <v>12820</v>
      </c>
      <c r="F152" s="3099">
        <v>1980</v>
      </c>
      <c r="G152" s="3099">
        <v>6600</v>
      </c>
    </row>
    <row r="153" spans="1:7" s="2235" customFormat="1" ht="14.25" customHeight="1">
      <c r="A153" s="2370" t="s">
        <v>27</v>
      </c>
      <c r="B153" s="2370" t="s">
        <v>2837</v>
      </c>
      <c r="C153" s="3099">
        <v>10880</v>
      </c>
      <c r="D153" s="3099">
        <v>10820</v>
      </c>
      <c r="E153" s="3099">
        <v>13660</v>
      </c>
      <c r="F153" s="3099">
        <v>2260</v>
      </c>
      <c r="G153" s="3099">
        <v>6970</v>
      </c>
    </row>
    <row r="154" spans="1:7" s="2235" customFormat="1" ht="14.25" customHeight="1">
      <c r="A154" s="2370" t="s">
        <v>27</v>
      </c>
      <c r="B154" s="2370" t="s">
        <v>2964</v>
      </c>
      <c r="C154" s="3099">
        <v>11220</v>
      </c>
      <c r="D154" s="3099">
        <v>11160</v>
      </c>
      <c r="E154" s="3099">
        <v>14130</v>
      </c>
      <c r="F154" s="3099">
        <v>2230</v>
      </c>
      <c r="G154" s="3099">
        <v>7180</v>
      </c>
    </row>
    <row r="155" spans="1:7" s="2235" customFormat="1" ht="14.25" customHeight="1">
      <c r="A155" s="2370" t="s">
        <v>27</v>
      </c>
      <c r="B155" s="2370" t="s">
        <v>2850</v>
      </c>
      <c r="C155" s="3099">
        <v>10430</v>
      </c>
      <c r="D155" s="3099">
        <v>10380</v>
      </c>
      <c r="E155" s="3099">
        <v>13140</v>
      </c>
      <c r="F155" s="3099">
        <v>2080</v>
      </c>
      <c r="G155" s="3099">
        <v>6650</v>
      </c>
    </row>
    <row r="156" spans="1:7" s="2235" customFormat="1" ht="14.25" customHeight="1">
      <c r="A156" s="2370" t="s">
        <v>27</v>
      </c>
      <c r="B156" s="2370" t="s">
        <v>2965</v>
      </c>
      <c r="C156" s="3099">
        <v>10440</v>
      </c>
      <c r="D156" s="3099">
        <v>10400</v>
      </c>
      <c r="E156" s="3099">
        <v>13150</v>
      </c>
      <c r="F156" s="3099">
        <v>2490</v>
      </c>
      <c r="G156" s="3099">
        <v>6690</v>
      </c>
    </row>
    <row r="157" spans="1:7" s="2235" customFormat="1" ht="14.25" customHeight="1">
      <c r="A157" s="2370" t="s">
        <v>27</v>
      </c>
      <c r="B157" s="2370" t="s">
        <v>298</v>
      </c>
      <c r="C157" s="3099">
        <v>10970</v>
      </c>
      <c r="D157" s="3099">
        <v>10920</v>
      </c>
      <c r="E157" s="3099">
        <v>13840</v>
      </c>
      <c r="F157" s="3099">
        <v>2420</v>
      </c>
      <c r="G157" s="3099">
        <v>7020</v>
      </c>
    </row>
    <row r="158" spans="1:7" s="2235" customFormat="1" ht="14.25" customHeight="1">
      <c r="A158" s="2370" t="s">
        <v>27</v>
      </c>
      <c r="B158" s="2370" t="s">
        <v>299</v>
      </c>
      <c r="C158" s="3099">
        <v>9590</v>
      </c>
      <c r="D158" s="3099">
        <v>9540</v>
      </c>
      <c r="E158" s="3099">
        <v>12210</v>
      </c>
      <c r="F158" s="3099">
        <v>2100</v>
      </c>
      <c r="G158" s="3099">
        <v>6130</v>
      </c>
    </row>
    <row r="159" spans="1:7" s="2235" customFormat="1" ht="14.25" customHeight="1">
      <c r="A159" s="2370" t="s">
        <v>27</v>
      </c>
      <c r="B159" s="2370" t="s">
        <v>300</v>
      </c>
      <c r="C159" s="3099">
        <v>11190</v>
      </c>
      <c r="D159" s="3099">
        <v>11140</v>
      </c>
      <c r="E159" s="3099">
        <v>14090</v>
      </c>
      <c r="F159" s="3099">
        <v>2470</v>
      </c>
      <c r="G159" s="3099">
        <v>7170</v>
      </c>
    </row>
    <row r="160" spans="1:7" s="2235" customFormat="1" ht="14.25" customHeight="1">
      <c r="A160" s="2370" t="s">
        <v>27</v>
      </c>
      <c r="B160" s="2370" t="s">
        <v>2966</v>
      </c>
      <c r="C160" s="3099">
        <v>11180</v>
      </c>
      <c r="D160" s="3099">
        <v>11140</v>
      </c>
      <c r="E160" s="3099">
        <v>14050</v>
      </c>
      <c r="F160" s="3099">
        <v>2270</v>
      </c>
      <c r="G160" s="3099">
        <v>7170</v>
      </c>
    </row>
    <row r="161" spans="1:7" s="2235" customFormat="1" ht="14.25" customHeight="1">
      <c r="A161" s="2370" t="s">
        <v>27</v>
      </c>
      <c r="B161" s="2370" t="s">
        <v>2882</v>
      </c>
      <c r="C161" s="3099">
        <v>11160</v>
      </c>
      <c r="D161" s="3099">
        <v>11120</v>
      </c>
      <c r="E161" s="3099">
        <v>14020</v>
      </c>
      <c r="F161" s="3099">
        <v>2150</v>
      </c>
      <c r="G161" s="3099">
        <v>7160</v>
      </c>
    </row>
    <row r="162" spans="1:7" s="2235" customFormat="1" ht="14.25" customHeight="1">
      <c r="A162" s="2370" t="s">
        <v>27</v>
      </c>
      <c r="B162" s="2370" t="s">
        <v>2887</v>
      </c>
      <c r="C162" s="3099">
        <v>9620</v>
      </c>
      <c r="D162" s="3099">
        <v>9570</v>
      </c>
      <c r="E162" s="3099">
        <v>12320</v>
      </c>
      <c r="F162" s="3099">
        <v>2010</v>
      </c>
      <c r="G162" s="3099">
        <v>6160</v>
      </c>
    </row>
    <row r="163" spans="1:7" s="2235" customFormat="1" ht="14.25" customHeight="1">
      <c r="A163" s="2370" t="s">
        <v>27</v>
      </c>
      <c r="B163" s="2370" t="s">
        <v>2892</v>
      </c>
      <c r="C163" s="3099">
        <v>9320</v>
      </c>
      <c r="D163" s="3099">
        <v>9270</v>
      </c>
      <c r="E163" s="3099">
        <v>11790</v>
      </c>
      <c r="F163" s="3099">
        <v>1920</v>
      </c>
      <c r="G163" s="3099">
        <v>5960</v>
      </c>
    </row>
    <row r="164" spans="1:7" s="2235" customFormat="1" ht="14.25" customHeight="1">
      <c r="A164" s="2370" t="s">
        <v>27</v>
      </c>
      <c r="B164" s="2370" t="s">
        <v>2897</v>
      </c>
      <c r="C164" s="3099"/>
      <c r="D164" s="3099"/>
      <c r="E164" s="3099"/>
      <c r="F164" s="3099">
        <v>1980</v>
      </c>
      <c r="G164" s="3099"/>
    </row>
    <row r="165" spans="1:7" s="2235" customFormat="1" ht="14.25" customHeight="1">
      <c r="A165" s="2370" t="s">
        <v>27</v>
      </c>
      <c r="B165" s="2370" t="s">
        <v>2967</v>
      </c>
      <c r="C165" s="3099">
        <v>11060</v>
      </c>
      <c r="D165" s="3099">
        <v>11030</v>
      </c>
      <c r="E165" s="3099">
        <v>13850</v>
      </c>
      <c r="F165" s="3099">
        <v>2170</v>
      </c>
      <c r="G165" s="3099">
        <v>7090</v>
      </c>
    </row>
    <row r="166" spans="1:7" s="2235" customFormat="1" ht="14.25" customHeight="1">
      <c r="A166" s="2370" t="s">
        <v>27</v>
      </c>
      <c r="B166" s="2370" t="s">
        <v>2907</v>
      </c>
      <c r="C166" s="3099">
        <v>11050</v>
      </c>
      <c r="D166" s="3099">
        <v>11010</v>
      </c>
      <c r="E166" s="3099">
        <v>13920</v>
      </c>
      <c r="F166" s="3099">
        <v>2140</v>
      </c>
      <c r="G166" s="3099">
        <v>7080</v>
      </c>
    </row>
    <row r="167" spans="1:7" s="2235" customFormat="1" ht="14.25" customHeight="1">
      <c r="A167" s="2370" t="s">
        <v>27</v>
      </c>
      <c r="B167" s="2370" t="s">
        <v>2911</v>
      </c>
      <c r="C167" s="3099">
        <v>10930</v>
      </c>
      <c r="D167" s="3099">
        <v>10890</v>
      </c>
      <c r="E167" s="3099">
        <v>13790</v>
      </c>
      <c r="F167" s="3099">
        <v>2010</v>
      </c>
      <c r="G167" s="3099">
        <v>7000</v>
      </c>
    </row>
    <row r="168" spans="1:7" s="2235" customFormat="1" ht="14.25" customHeight="1">
      <c r="A168" s="2370" t="s">
        <v>27</v>
      </c>
      <c r="B168" s="2370" t="s">
        <v>2916</v>
      </c>
      <c r="C168" s="3099">
        <v>9420</v>
      </c>
      <c r="D168" s="3099">
        <v>9380</v>
      </c>
      <c r="E168" s="3099">
        <v>11970</v>
      </c>
      <c r="F168" s="3099"/>
      <c r="G168" s="3099">
        <v>6040</v>
      </c>
    </row>
    <row r="169" spans="1:7" s="2235" customFormat="1" ht="14.25" customHeight="1">
      <c r="A169" s="2370" t="s">
        <v>27</v>
      </c>
      <c r="B169" s="2370" t="s">
        <v>2968</v>
      </c>
      <c r="C169" s="3099"/>
      <c r="D169" s="3099"/>
      <c r="E169" s="3099"/>
      <c r="F169" s="3099">
        <v>2880</v>
      </c>
      <c r="G169" s="3099"/>
    </row>
    <row r="170" spans="1:7" s="2235" customFormat="1" ht="14.25" customHeight="1">
      <c r="A170" s="2370" t="s">
        <v>27</v>
      </c>
      <c r="B170" s="2370" t="s">
        <v>2924</v>
      </c>
      <c r="C170" s="3099"/>
      <c r="D170" s="3099"/>
      <c r="E170" s="3099"/>
      <c r="F170" s="3099">
        <v>2880</v>
      </c>
      <c r="G170" s="3099"/>
    </row>
    <row r="171" spans="1:7" s="2235" customFormat="1" ht="14.25" customHeight="1">
      <c r="A171" s="2370" t="s">
        <v>27</v>
      </c>
      <c r="B171" s="2370" t="s">
        <v>2927</v>
      </c>
      <c r="C171" s="3099"/>
      <c r="D171" s="3099"/>
      <c r="E171" s="3099"/>
      <c r="F171" s="3099">
        <v>2880</v>
      </c>
      <c r="G171" s="3099"/>
    </row>
    <row r="172" spans="1:7" s="2235" customFormat="1" ht="14.25" customHeight="1">
      <c r="A172" s="2370" t="s">
        <v>27</v>
      </c>
      <c r="B172" s="2370" t="s">
        <v>2929</v>
      </c>
      <c r="C172" s="3099"/>
      <c r="D172" s="3099"/>
      <c r="E172" s="3099"/>
      <c r="F172" s="3099">
        <v>2880</v>
      </c>
      <c r="G172" s="3099"/>
    </row>
    <row r="173" spans="1:7" s="2235" customFormat="1" ht="14.25" customHeight="1">
      <c r="A173" s="2370" t="s">
        <v>27</v>
      </c>
      <c r="B173" s="2370" t="s">
        <v>2931</v>
      </c>
      <c r="C173" s="3099"/>
      <c r="D173" s="3099"/>
      <c r="E173" s="3099"/>
      <c r="F173" s="3099">
        <v>2150</v>
      </c>
      <c r="G173" s="3099"/>
    </row>
    <row r="174" spans="1:7" s="2235" customFormat="1" ht="14.25" customHeight="1">
      <c r="A174" s="2370" t="s">
        <v>27</v>
      </c>
      <c r="B174" s="2370" t="s">
        <v>2933</v>
      </c>
      <c r="C174" s="3099"/>
      <c r="D174" s="3099"/>
      <c r="E174" s="3099"/>
      <c r="F174" s="3099">
        <v>2030</v>
      </c>
      <c r="G174" s="3099"/>
    </row>
    <row r="175" spans="1:7" s="2235" customFormat="1" ht="14.25" customHeight="1">
      <c r="A175" s="2370" t="s">
        <v>27</v>
      </c>
      <c r="B175" s="2370" t="s">
        <v>2935</v>
      </c>
      <c r="C175" s="3099"/>
      <c r="D175" s="3099"/>
      <c r="E175" s="3099"/>
      <c r="F175" s="3099">
        <v>2780</v>
      </c>
      <c r="G175" s="3099"/>
    </row>
    <row r="176" spans="1:7" s="2235" customFormat="1" ht="14.25" customHeight="1">
      <c r="A176" s="2370" t="s">
        <v>27</v>
      </c>
      <c r="B176" s="2370" t="s">
        <v>2937</v>
      </c>
      <c r="C176" s="3099"/>
      <c r="D176" s="3099"/>
      <c r="E176" s="3099"/>
      <c r="F176" s="3099">
        <v>2780</v>
      </c>
      <c r="G176" s="3099"/>
    </row>
    <row r="177" spans="1:7" s="2235" customFormat="1" ht="14.25" customHeight="1">
      <c r="A177" s="2370" t="s">
        <v>27</v>
      </c>
      <c r="B177" s="2370" t="s">
        <v>2969</v>
      </c>
      <c r="C177" s="3099"/>
      <c r="D177" s="3099"/>
      <c r="E177" s="3099"/>
      <c r="F177" s="3099">
        <v>2780</v>
      </c>
      <c r="G177" s="3099"/>
    </row>
    <row r="178" spans="1:7" s="2235" customFormat="1" ht="14.25" customHeight="1">
      <c r="A178" s="2370" t="s">
        <v>27</v>
      </c>
      <c r="B178" s="2370" t="s">
        <v>2970</v>
      </c>
      <c r="C178" s="3099"/>
      <c r="D178" s="3099"/>
      <c r="E178" s="3099"/>
      <c r="F178" s="3099">
        <v>2060</v>
      </c>
      <c r="G178" s="3099"/>
    </row>
    <row r="179" spans="1:7" s="2235" customFormat="1" ht="14.25" customHeight="1">
      <c r="A179" s="2370" t="s">
        <v>27</v>
      </c>
      <c r="B179" s="2370" t="s">
        <v>2971</v>
      </c>
      <c r="C179" s="3099"/>
      <c r="D179" s="3099"/>
      <c r="E179" s="3099"/>
      <c r="F179" s="3099">
        <v>2120</v>
      </c>
      <c r="G179" s="3099"/>
    </row>
    <row r="180" spans="1:7" s="2235" customFormat="1" ht="14.25" customHeight="1">
      <c r="A180" s="2370" t="s">
        <v>27</v>
      </c>
      <c r="B180" s="2370" t="s">
        <v>2943</v>
      </c>
      <c r="C180" s="3099"/>
      <c r="D180" s="3099"/>
      <c r="E180" s="3099"/>
      <c r="F180" s="3099">
        <v>2340</v>
      </c>
      <c r="G180" s="3099"/>
    </row>
    <row r="181" spans="1:7" s="2235" customFormat="1" ht="14.25" customHeight="1">
      <c r="A181" s="2370" t="s">
        <v>27</v>
      </c>
      <c r="B181" s="2370" t="s">
        <v>2944</v>
      </c>
      <c r="C181" s="3099"/>
      <c r="D181" s="3099"/>
      <c r="E181" s="3099"/>
      <c r="F181" s="3099">
        <v>2340</v>
      </c>
      <c r="G181" s="3099"/>
    </row>
    <row r="182" spans="1:7" s="2235" customFormat="1" ht="14.25" customHeight="1">
      <c r="A182" s="2370" t="s">
        <v>27</v>
      </c>
      <c r="B182" s="2370" t="s">
        <v>2945</v>
      </c>
      <c r="C182" s="3099"/>
      <c r="D182" s="3099"/>
      <c r="E182" s="3099"/>
      <c r="F182" s="3099">
        <v>2340</v>
      </c>
      <c r="G182" s="3099"/>
    </row>
    <row r="183" spans="1:7" s="2235" customFormat="1" ht="14.25" customHeight="1">
      <c r="A183" s="2370" t="s">
        <v>27</v>
      </c>
      <c r="B183" s="2370" t="s">
        <v>2946</v>
      </c>
      <c r="C183" s="3099"/>
      <c r="D183" s="3099"/>
      <c r="E183" s="3099"/>
      <c r="F183" s="3099">
        <v>2340</v>
      </c>
      <c r="G183" s="3099"/>
    </row>
    <row r="184" spans="1:7" s="2235" customFormat="1" ht="14.25" customHeight="1">
      <c r="A184" s="2370" t="s">
        <v>27</v>
      </c>
      <c r="B184" s="2370" t="s">
        <v>2947</v>
      </c>
      <c r="C184" s="3099"/>
      <c r="D184" s="3099"/>
      <c r="E184" s="3099"/>
      <c r="F184" s="3099">
        <v>2340</v>
      </c>
      <c r="G184" s="3099"/>
    </row>
    <row r="185" spans="1:7" s="2235" customFormat="1" ht="14.25" customHeight="1">
      <c r="A185" s="2370" t="s">
        <v>27</v>
      </c>
      <c r="B185" s="2370" t="s">
        <v>2948</v>
      </c>
      <c r="C185" s="3099"/>
      <c r="D185" s="3099"/>
      <c r="E185" s="3099"/>
      <c r="F185" s="3099">
        <v>2530</v>
      </c>
      <c r="G185" s="3099"/>
    </row>
    <row r="186" spans="1:7" s="2235" customFormat="1" ht="14.25" customHeight="1">
      <c r="A186" s="2370" t="s">
        <v>27</v>
      </c>
      <c r="B186" s="2370" t="s">
        <v>2949</v>
      </c>
      <c r="C186" s="3099"/>
      <c r="D186" s="3099"/>
      <c r="E186" s="3099"/>
      <c r="F186" s="3099">
        <v>2550</v>
      </c>
      <c r="G186" s="3099"/>
    </row>
    <row r="187" spans="1:7" s="2235" customFormat="1" ht="14.25" customHeight="1">
      <c r="A187" s="2370" t="s">
        <v>27</v>
      </c>
      <c r="B187" s="2370" t="s">
        <v>2950</v>
      </c>
      <c r="C187" s="3099"/>
      <c r="D187" s="3099"/>
      <c r="E187" s="3099"/>
      <c r="F187" s="3099">
        <v>2070</v>
      </c>
      <c r="G187" s="3099"/>
    </row>
    <row r="188" spans="1:7" s="2235" customFormat="1" ht="14.25" customHeight="1">
      <c r="A188" s="2370" t="s">
        <v>27</v>
      </c>
      <c r="B188" s="2370" t="s">
        <v>2951</v>
      </c>
      <c r="C188" s="3099"/>
      <c r="D188" s="3099"/>
      <c r="E188" s="3099"/>
      <c r="F188" s="3099">
        <v>2340</v>
      </c>
      <c r="G188" s="3099"/>
    </row>
    <row r="189" spans="1:7" s="2235" customFormat="1" ht="14.25" customHeight="1" thickBot="1">
      <c r="A189" s="2378" t="s">
        <v>27</v>
      </c>
      <c r="B189" s="2381" t="s">
        <v>2952</v>
      </c>
      <c r="C189" s="3101"/>
      <c r="D189" s="3101"/>
      <c r="E189" s="3101"/>
      <c r="F189" s="3101">
        <v>2050</v>
      </c>
      <c r="G189" s="3101"/>
    </row>
    <row r="190" spans="1:7" s="2235" customFormat="1" ht="14.25" customHeight="1">
      <c r="A190" s="2375" t="s">
        <v>302</v>
      </c>
      <c r="B190" s="2366" t="s">
        <v>2972</v>
      </c>
      <c r="C190" s="3098">
        <v>8830</v>
      </c>
      <c r="D190" s="3098">
        <v>8790</v>
      </c>
      <c r="E190" s="3098">
        <v>11630</v>
      </c>
      <c r="F190" s="3098">
        <v>1790</v>
      </c>
      <c r="G190" s="3102">
        <v>5550</v>
      </c>
    </row>
    <row r="191" spans="1:7" s="2235" customFormat="1" ht="14.25" customHeight="1">
      <c r="A191" s="2370" t="s">
        <v>302</v>
      </c>
      <c r="B191" s="2370" t="s">
        <v>131</v>
      </c>
      <c r="C191" s="3099">
        <v>9780</v>
      </c>
      <c r="D191" s="3099">
        <v>9710</v>
      </c>
      <c r="E191" s="3099">
        <v>12550</v>
      </c>
      <c r="F191" s="3099">
        <v>1980</v>
      </c>
      <c r="G191" s="3103">
        <v>6130</v>
      </c>
    </row>
    <row r="192" spans="1:7" s="2235" customFormat="1" ht="14.25" customHeight="1">
      <c r="A192" s="2370" t="s">
        <v>302</v>
      </c>
      <c r="B192" s="2370" t="s">
        <v>140</v>
      </c>
      <c r="C192" s="3099">
        <v>8180</v>
      </c>
      <c r="D192" s="3099">
        <v>8140</v>
      </c>
      <c r="E192" s="3099">
        <v>10870</v>
      </c>
      <c r="F192" s="3099">
        <v>1690</v>
      </c>
      <c r="G192" s="3103">
        <v>5140</v>
      </c>
    </row>
    <row r="193" spans="1:7" s="2235" customFormat="1" ht="14.25" customHeight="1">
      <c r="A193" s="2370" t="s">
        <v>302</v>
      </c>
      <c r="B193" s="2370" t="s">
        <v>149</v>
      </c>
      <c r="C193" s="3099">
        <v>8440</v>
      </c>
      <c r="D193" s="3099">
        <v>8390</v>
      </c>
      <c r="E193" s="3099">
        <v>11210</v>
      </c>
      <c r="F193" s="3099">
        <v>1600</v>
      </c>
      <c r="G193" s="3103">
        <v>5300</v>
      </c>
    </row>
    <row r="194" spans="1:7" s="2235" customFormat="1" ht="14.25" customHeight="1">
      <c r="A194" s="2370" t="s">
        <v>302</v>
      </c>
      <c r="B194" s="2370" t="s">
        <v>158</v>
      </c>
      <c r="C194" s="3099">
        <v>8780</v>
      </c>
      <c r="D194" s="3099">
        <v>8730</v>
      </c>
      <c r="E194" s="3099">
        <v>11550</v>
      </c>
      <c r="F194" s="3099">
        <v>1660</v>
      </c>
      <c r="G194" s="3103">
        <v>5520</v>
      </c>
    </row>
    <row r="195" spans="1:7" s="2235" customFormat="1" ht="14.25" customHeight="1">
      <c r="A195" s="2370" t="s">
        <v>302</v>
      </c>
      <c r="B195" s="2370" t="s">
        <v>165</v>
      </c>
      <c r="C195" s="3099">
        <v>8720</v>
      </c>
      <c r="D195" s="3099">
        <v>8670</v>
      </c>
      <c r="E195" s="3099">
        <v>11450</v>
      </c>
      <c r="F195" s="3099">
        <v>1720</v>
      </c>
      <c r="G195" s="3103">
        <v>5480</v>
      </c>
    </row>
    <row r="196" spans="1:7" s="2235" customFormat="1" ht="14.25" customHeight="1">
      <c r="A196" s="2370" t="s">
        <v>302</v>
      </c>
      <c r="B196" s="2370" t="s">
        <v>171</v>
      </c>
      <c r="C196" s="3099">
        <v>8460</v>
      </c>
      <c r="D196" s="3099">
        <v>8410</v>
      </c>
      <c r="E196" s="3099">
        <v>11230</v>
      </c>
      <c r="F196" s="3099">
        <v>1730</v>
      </c>
      <c r="G196" s="3103">
        <v>5310</v>
      </c>
    </row>
    <row r="197" spans="1:7" s="2235" customFormat="1" ht="14.25" customHeight="1">
      <c r="A197" s="2370" t="s">
        <v>302</v>
      </c>
      <c r="B197" s="2370" t="s">
        <v>178</v>
      </c>
      <c r="C197" s="3099">
        <v>8790</v>
      </c>
      <c r="D197" s="3099">
        <v>8730</v>
      </c>
      <c r="E197" s="3099">
        <v>11560</v>
      </c>
      <c r="F197" s="3099">
        <v>1750</v>
      </c>
      <c r="G197" s="3103">
        <v>5520</v>
      </c>
    </row>
    <row r="198" spans="1:7" s="2235" customFormat="1" ht="14.25" customHeight="1">
      <c r="A198" s="2370" t="s">
        <v>302</v>
      </c>
      <c r="B198" s="2370" t="s">
        <v>188</v>
      </c>
      <c r="C198" s="3099">
        <v>8720</v>
      </c>
      <c r="D198" s="3099">
        <v>8680</v>
      </c>
      <c r="E198" s="3099">
        <v>11470</v>
      </c>
      <c r="F198" s="3099"/>
      <c r="G198" s="3103">
        <v>5480</v>
      </c>
    </row>
    <row r="199" spans="1:7" s="2235" customFormat="1" ht="14.25" customHeight="1">
      <c r="A199" s="2370" t="s">
        <v>302</v>
      </c>
      <c r="B199" s="2370" t="s">
        <v>2973</v>
      </c>
      <c r="C199" s="3099">
        <v>8690</v>
      </c>
      <c r="D199" s="3099">
        <v>8630</v>
      </c>
      <c r="E199" s="3099">
        <v>11350</v>
      </c>
      <c r="F199" s="3099">
        <v>1600</v>
      </c>
      <c r="G199" s="3103">
        <v>5450</v>
      </c>
    </row>
    <row r="200" spans="1:7" s="2235" customFormat="1" ht="14.25" customHeight="1">
      <c r="A200" s="2370" t="s">
        <v>302</v>
      </c>
      <c r="B200" s="2370" t="s">
        <v>2784</v>
      </c>
      <c r="C200" s="3099"/>
      <c r="D200" s="3099"/>
      <c r="E200" s="3099"/>
      <c r="F200" s="3099">
        <v>1510</v>
      </c>
      <c r="G200" s="3103"/>
    </row>
    <row r="201" spans="1:7" s="2235" customFormat="1" ht="14.25" customHeight="1">
      <c r="A201" s="2370" t="s">
        <v>302</v>
      </c>
      <c r="B201" s="2370" t="s">
        <v>2974</v>
      </c>
      <c r="C201" s="3099">
        <v>8440</v>
      </c>
      <c r="D201" s="3099">
        <v>8390</v>
      </c>
      <c r="E201" s="3099">
        <v>10930</v>
      </c>
      <c r="F201" s="3099">
        <v>1500</v>
      </c>
      <c r="G201" s="3103">
        <v>5300</v>
      </c>
    </row>
    <row r="202" spans="1:7" s="2235" customFormat="1" ht="14.25" customHeight="1">
      <c r="A202" s="2370" t="s">
        <v>302</v>
      </c>
      <c r="B202" s="2370" t="s">
        <v>238</v>
      </c>
      <c r="C202" s="3099">
        <v>8530</v>
      </c>
      <c r="D202" s="3099">
        <v>8490</v>
      </c>
      <c r="E202" s="3099">
        <v>11160</v>
      </c>
      <c r="F202" s="3099">
        <v>1580</v>
      </c>
      <c r="G202" s="3103">
        <v>5360</v>
      </c>
    </row>
    <row r="203" spans="1:7" s="2235" customFormat="1" ht="14.25" customHeight="1">
      <c r="A203" s="2370" t="s">
        <v>302</v>
      </c>
      <c r="B203" s="2370" t="s">
        <v>2975</v>
      </c>
      <c r="C203" s="3099">
        <v>8130</v>
      </c>
      <c r="D203" s="3099">
        <v>8070</v>
      </c>
      <c r="E203" s="3099">
        <v>10820</v>
      </c>
      <c r="F203" s="3099">
        <v>1690</v>
      </c>
      <c r="G203" s="3103">
        <v>5100</v>
      </c>
    </row>
    <row r="204" spans="1:7" s="2235" customFormat="1" ht="14.25" customHeight="1">
      <c r="A204" s="2370" t="s">
        <v>302</v>
      </c>
      <c r="B204" s="2370" t="s">
        <v>2795</v>
      </c>
      <c r="C204" s="3099">
        <v>8350</v>
      </c>
      <c r="D204" s="3099">
        <v>8290</v>
      </c>
      <c r="E204" s="3099">
        <v>11080</v>
      </c>
      <c r="F204" s="3099">
        <v>1450</v>
      </c>
      <c r="G204" s="3103">
        <v>5240</v>
      </c>
    </row>
    <row r="205" spans="1:7" s="2235" customFormat="1" ht="14.25" customHeight="1">
      <c r="A205" s="2370" t="s">
        <v>302</v>
      </c>
      <c r="B205" s="2370" t="s">
        <v>2797</v>
      </c>
      <c r="C205" s="3099">
        <v>7190</v>
      </c>
      <c r="D205" s="3099">
        <v>7130</v>
      </c>
      <c r="E205" s="3099">
        <v>9490</v>
      </c>
      <c r="F205" s="3099">
        <v>1470</v>
      </c>
      <c r="G205" s="3103">
        <v>4510</v>
      </c>
    </row>
    <row r="206" spans="1:7" s="2235" customFormat="1" ht="14.25" customHeight="1">
      <c r="A206" s="2370" t="s">
        <v>302</v>
      </c>
      <c r="B206" s="2370" t="s">
        <v>2800</v>
      </c>
      <c r="C206" s="3099">
        <v>7000</v>
      </c>
      <c r="D206" s="3099">
        <v>6950</v>
      </c>
      <c r="E206" s="3099">
        <v>9170</v>
      </c>
      <c r="F206" s="3099">
        <v>1400</v>
      </c>
      <c r="G206" s="3103">
        <v>4380</v>
      </c>
    </row>
    <row r="207" spans="1:7" s="2235" customFormat="1" ht="14.25" customHeight="1">
      <c r="A207" s="2370" t="s">
        <v>302</v>
      </c>
      <c r="B207" s="2370" t="s">
        <v>2802</v>
      </c>
      <c r="C207" s="3099">
        <v>6950</v>
      </c>
      <c r="D207" s="3099">
        <v>6900</v>
      </c>
      <c r="E207" s="3099">
        <v>9110</v>
      </c>
      <c r="F207" s="3099">
        <v>1790</v>
      </c>
      <c r="G207" s="3103">
        <v>4360</v>
      </c>
    </row>
    <row r="208" spans="1:7" s="2235" customFormat="1" ht="14.25" customHeight="1">
      <c r="A208" s="2370" t="s">
        <v>302</v>
      </c>
      <c r="B208" s="2370" t="s">
        <v>2976</v>
      </c>
      <c r="C208" s="3099">
        <v>9470</v>
      </c>
      <c r="D208" s="3099">
        <v>9410</v>
      </c>
      <c r="E208" s="3099">
        <v>12330</v>
      </c>
      <c r="F208" s="3099">
        <v>1770</v>
      </c>
      <c r="G208" s="3103">
        <v>5940</v>
      </c>
    </row>
    <row r="209" spans="1:7" s="2235" customFormat="1" ht="14.25" customHeight="1">
      <c r="A209" s="2370" t="s">
        <v>302</v>
      </c>
      <c r="B209" s="2370" t="s">
        <v>262</v>
      </c>
      <c r="C209" s="3099">
        <v>8740</v>
      </c>
      <c r="D209" s="3099">
        <v>8700</v>
      </c>
      <c r="E209" s="3099">
        <v>11500</v>
      </c>
      <c r="F209" s="3099">
        <v>1730</v>
      </c>
      <c r="G209" s="3103">
        <v>5490</v>
      </c>
    </row>
    <row r="210" spans="1:7" s="2235" customFormat="1" ht="14.25" customHeight="1">
      <c r="A210" s="2370" t="s">
        <v>302</v>
      </c>
      <c r="B210" s="2370" t="s">
        <v>2812</v>
      </c>
      <c r="C210" s="3099">
        <v>8710</v>
      </c>
      <c r="D210" s="3099">
        <v>8660</v>
      </c>
      <c r="E210" s="3099">
        <v>11440</v>
      </c>
      <c r="F210" s="3099">
        <v>1740</v>
      </c>
      <c r="G210" s="3103">
        <v>5470</v>
      </c>
    </row>
    <row r="211" spans="1:7" s="2235" customFormat="1" ht="14.25" customHeight="1">
      <c r="A211" s="2370" t="s">
        <v>302</v>
      </c>
      <c r="B211" s="2370" t="s">
        <v>2977</v>
      </c>
      <c r="C211" s="3099">
        <v>9480</v>
      </c>
      <c r="D211" s="3099">
        <v>9430</v>
      </c>
      <c r="E211" s="3099">
        <v>12360</v>
      </c>
      <c r="F211" s="3099">
        <v>1820</v>
      </c>
      <c r="G211" s="3103">
        <v>5950</v>
      </c>
    </row>
    <row r="212" spans="1:7" s="2235" customFormat="1" ht="14.25" customHeight="1">
      <c r="A212" s="2370" t="s">
        <v>302</v>
      </c>
      <c r="B212" s="2370" t="s">
        <v>283</v>
      </c>
      <c r="C212" s="3099">
        <v>9070</v>
      </c>
      <c r="D212" s="3099">
        <v>9020</v>
      </c>
      <c r="E212" s="3099">
        <v>11720</v>
      </c>
      <c r="F212" s="3099">
        <v>1850</v>
      </c>
      <c r="G212" s="3103">
        <v>5700</v>
      </c>
    </row>
    <row r="213" spans="1:7" s="2235" customFormat="1" ht="14.25" customHeight="1">
      <c r="A213" s="2370" t="s">
        <v>302</v>
      </c>
      <c r="B213" s="2370" t="s">
        <v>286</v>
      </c>
      <c r="C213" s="3099">
        <v>9030</v>
      </c>
      <c r="D213" s="3099">
        <v>8980</v>
      </c>
      <c r="E213" s="3099">
        <v>11670</v>
      </c>
      <c r="F213" s="3099">
        <v>1690</v>
      </c>
      <c r="G213" s="3103">
        <v>5670</v>
      </c>
    </row>
    <row r="214" spans="1:7" s="2235" customFormat="1" ht="14.25" customHeight="1">
      <c r="A214" s="2370" t="s">
        <v>302</v>
      </c>
      <c r="B214" s="2370" t="s">
        <v>2978</v>
      </c>
      <c r="C214" s="3099">
        <v>8090</v>
      </c>
      <c r="D214" s="3099">
        <v>8030</v>
      </c>
      <c r="E214" s="3099">
        <v>10780</v>
      </c>
      <c r="F214" s="3099">
        <v>1570</v>
      </c>
      <c r="G214" s="3103">
        <v>5070</v>
      </c>
    </row>
    <row r="215" spans="1:7" s="2235" customFormat="1" ht="14.25" customHeight="1">
      <c r="A215" s="2370" t="s">
        <v>302</v>
      </c>
      <c r="B215" s="2370" t="s">
        <v>2979</v>
      </c>
      <c r="C215" s="3099">
        <v>7950</v>
      </c>
      <c r="D215" s="3099">
        <v>7900</v>
      </c>
      <c r="E215" s="3099">
        <v>10560</v>
      </c>
      <c r="F215" s="3099">
        <v>1630</v>
      </c>
      <c r="G215" s="3103">
        <v>4990</v>
      </c>
    </row>
    <row r="216" spans="1:7" s="2235" customFormat="1" ht="14.25" customHeight="1">
      <c r="A216" s="2370" t="s">
        <v>302</v>
      </c>
      <c r="B216" s="2370" t="s">
        <v>2980</v>
      </c>
      <c r="C216" s="3099">
        <v>8490</v>
      </c>
      <c r="D216" s="3099">
        <v>8440</v>
      </c>
      <c r="E216" s="3099">
        <v>11260</v>
      </c>
      <c r="F216" s="3099">
        <v>1690</v>
      </c>
      <c r="G216" s="3103">
        <v>5330</v>
      </c>
    </row>
    <row r="217" spans="1:7" s="2235" customFormat="1" ht="14.25" customHeight="1">
      <c r="A217" s="2370" t="s">
        <v>302</v>
      </c>
      <c r="B217" s="2370" t="s">
        <v>2845</v>
      </c>
      <c r="C217" s="3099">
        <v>8200</v>
      </c>
      <c r="D217" s="3099">
        <v>8150</v>
      </c>
      <c r="E217" s="3099">
        <v>10910</v>
      </c>
      <c r="F217" s="3099">
        <v>1670</v>
      </c>
      <c r="G217" s="3103">
        <v>5150</v>
      </c>
    </row>
    <row r="218" spans="1:7" s="2235" customFormat="1" ht="14.25" customHeight="1">
      <c r="A218" s="2370" t="s">
        <v>302</v>
      </c>
      <c r="B218" s="2370" t="s">
        <v>2981</v>
      </c>
      <c r="C218" s="3099"/>
      <c r="D218" s="3099"/>
      <c r="E218" s="3099"/>
      <c r="F218" s="3099">
        <v>2040</v>
      </c>
      <c r="G218" s="3103"/>
    </row>
    <row r="219" spans="1:7" s="2235" customFormat="1" ht="14.25" customHeight="1">
      <c r="A219" s="2370" t="s">
        <v>302</v>
      </c>
      <c r="B219" s="2370" t="s">
        <v>2982</v>
      </c>
      <c r="C219" s="3099"/>
      <c r="D219" s="3099"/>
      <c r="E219" s="3099"/>
      <c r="F219" s="3099">
        <v>2040</v>
      </c>
      <c r="G219" s="3103"/>
    </row>
    <row r="220" spans="1:7" s="2235" customFormat="1" ht="14.25" customHeight="1">
      <c r="A220" s="2370" t="s">
        <v>302</v>
      </c>
      <c r="B220" s="2370" t="s">
        <v>2983</v>
      </c>
      <c r="C220" s="3099"/>
      <c r="D220" s="3099"/>
      <c r="E220" s="3099"/>
      <c r="F220" s="3099">
        <v>2040</v>
      </c>
      <c r="G220" s="3103"/>
    </row>
    <row r="221" spans="1:7" s="2235" customFormat="1" ht="14.25" customHeight="1">
      <c r="A221" s="2370" t="s">
        <v>302</v>
      </c>
      <c r="B221" s="2370" t="s">
        <v>2984</v>
      </c>
      <c r="C221" s="3099"/>
      <c r="D221" s="3099"/>
      <c r="E221" s="3099"/>
      <c r="F221" s="3099">
        <v>2040</v>
      </c>
      <c r="G221" s="3103"/>
    </row>
    <row r="222" spans="1:7" s="2235" customFormat="1" ht="14.25" customHeight="1">
      <c r="A222" s="2370" t="s">
        <v>302</v>
      </c>
      <c r="B222" s="2370" t="s">
        <v>2985</v>
      </c>
      <c r="C222" s="3099"/>
      <c r="D222" s="3099"/>
      <c r="E222" s="3099"/>
      <c r="F222" s="3099">
        <v>2040</v>
      </c>
      <c r="G222" s="3103"/>
    </row>
    <row r="223" spans="1:7" s="2235" customFormat="1" ht="14.25" customHeight="1">
      <c r="A223" s="2370" t="s">
        <v>302</v>
      </c>
      <c r="B223" s="2370" t="s">
        <v>2986</v>
      </c>
      <c r="C223" s="3099"/>
      <c r="D223" s="3099"/>
      <c r="E223" s="3099"/>
      <c r="F223" s="3099">
        <v>1930</v>
      </c>
      <c r="G223" s="3103"/>
    </row>
    <row r="224" spans="1:7" s="2235" customFormat="1" ht="14.25" customHeight="1">
      <c r="A224" s="2370" t="s">
        <v>302</v>
      </c>
      <c r="B224" s="2370" t="s">
        <v>2987</v>
      </c>
      <c r="C224" s="3099"/>
      <c r="D224" s="3099"/>
      <c r="E224" s="3099"/>
      <c r="F224" s="3099">
        <v>1930</v>
      </c>
      <c r="G224" s="3103"/>
    </row>
    <row r="225" spans="1:7" s="2235" customFormat="1" ht="14.25" customHeight="1">
      <c r="A225" s="2370" t="s">
        <v>302</v>
      </c>
      <c r="B225" s="2370" t="s">
        <v>2988</v>
      </c>
      <c r="C225" s="3099"/>
      <c r="D225" s="3099"/>
      <c r="E225" s="3099"/>
      <c r="F225" s="3099">
        <v>1930</v>
      </c>
      <c r="G225" s="3103"/>
    </row>
    <row r="226" spans="1:7" s="2235" customFormat="1" ht="14.25" customHeight="1">
      <c r="A226" s="2370" t="s">
        <v>302</v>
      </c>
      <c r="B226" s="2370" t="s">
        <v>2989</v>
      </c>
      <c r="C226" s="3099"/>
      <c r="D226" s="3099"/>
      <c r="E226" s="3099"/>
      <c r="F226" s="3099">
        <v>1700</v>
      </c>
      <c r="G226" s="3103"/>
    </row>
    <row r="227" spans="1:7" s="2235" customFormat="1" ht="14.25" customHeight="1">
      <c r="A227" s="2370" t="s">
        <v>302</v>
      </c>
      <c r="B227" s="2370" t="s">
        <v>2990</v>
      </c>
      <c r="C227" s="3099"/>
      <c r="D227" s="3099"/>
      <c r="E227" s="3099"/>
      <c r="F227" s="3099">
        <v>1520</v>
      </c>
      <c r="G227" s="3103"/>
    </row>
    <row r="228" spans="1:7" s="2235" customFormat="1" ht="14.25" customHeight="1">
      <c r="A228" s="2370" t="s">
        <v>302</v>
      </c>
      <c r="B228" s="2370" t="s">
        <v>2991</v>
      </c>
      <c r="C228" s="3099"/>
      <c r="D228" s="3099"/>
      <c r="E228" s="3099"/>
      <c r="F228" s="3099">
        <v>1520</v>
      </c>
      <c r="G228" s="3103"/>
    </row>
    <row r="229" spans="1:7" s="2235" customFormat="1" ht="14.25" customHeight="1">
      <c r="A229" s="2370" t="s">
        <v>302</v>
      </c>
      <c r="B229" s="2370" t="s">
        <v>2908</v>
      </c>
      <c r="C229" s="3099"/>
      <c r="D229" s="3099"/>
      <c r="E229" s="3099"/>
      <c r="F229" s="3099">
        <v>1520</v>
      </c>
      <c r="G229" s="3103"/>
    </row>
    <row r="230" spans="1:7" s="2235" customFormat="1" ht="14.25" customHeight="1">
      <c r="A230" s="2370" t="s">
        <v>302</v>
      </c>
      <c r="B230" s="2370" t="s">
        <v>2992</v>
      </c>
      <c r="C230" s="3099"/>
      <c r="D230" s="3099"/>
      <c r="E230" s="3099"/>
      <c r="F230" s="3099">
        <v>1820</v>
      </c>
      <c r="G230" s="3103"/>
    </row>
    <row r="231" spans="1:7" s="2235" customFormat="1" ht="14.25" customHeight="1">
      <c r="A231" s="2370" t="s">
        <v>302</v>
      </c>
      <c r="B231" s="2370" t="s">
        <v>2993</v>
      </c>
      <c r="C231" s="3099"/>
      <c r="D231" s="3099"/>
      <c r="E231" s="3099"/>
      <c r="F231" s="3099">
        <v>1760</v>
      </c>
      <c r="G231" s="3103"/>
    </row>
    <row r="232" spans="1:7" s="2235" customFormat="1" ht="14.25" customHeight="1">
      <c r="A232" s="2370" t="s">
        <v>302</v>
      </c>
      <c r="B232" s="2370" t="s">
        <v>2994</v>
      </c>
      <c r="C232" s="3099"/>
      <c r="D232" s="3099"/>
      <c r="E232" s="3099"/>
      <c r="F232" s="3099">
        <v>1840</v>
      </c>
      <c r="G232" s="3103"/>
    </row>
    <row r="233" spans="1:7" s="2235" customFormat="1" ht="14.25" customHeight="1" thickBot="1">
      <c r="A233" s="2382" t="s">
        <v>302</v>
      </c>
      <c r="B233" s="2377" t="s">
        <v>2925</v>
      </c>
      <c r="C233" s="3100"/>
      <c r="D233" s="3100"/>
      <c r="E233" s="3100"/>
      <c r="F233" s="3100">
        <v>1770</v>
      </c>
      <c r="G233" s="3104"/>
    </row>
    <row r="234" spans="1:7" s="2235" customFormat="1" ht="14.25" customHeight="1">
      <c r="A234" s="2375" t="s">
        <v>303</v>
      </c>
      <c r="B234" s="2366" t="s">
        <v>2995</v>
      </c>
      <c r="C234" s="3099">
        <v>6980</v>
      </c>
      <c r="D234" s="3099">
        <v>6970</v>
      </c>
      <c r="E234" s="3099">
        <v>8720</v>
      </c>
      <c r="F234" s="3099">
        <v>1350</v>
      </c>
      <c r="G234" s="3099">
        <v>4280</v>
      </c>
    </row>
    <row r="235" spans="1:7" s="2235" customFormat="1" ht="14.25" customHeight="1">
      <c r="A235" s="2370" t="s">
        <v>303</v>
      </c>
      <c r="B235" s="2370" t="s">
        <v>132</v>
      </c>
      <c r="C235" s="3099">
        <v>7620</v>
      </c>
      <c r="D235" s="3099">
        <v>7580</v>
      </c>
      <c r="E235" s="3099">
        <v>9360</v>
      </c>
      <c r="F235" s="3099">
        <v>1490</v>
      </c>
      <c r="G235" s="3099">
        <v>4650</v>
      </c>
    </row>
    <row r="236" spans="1:7" s="2235" customFormat="1" ht="14.25" customHeight="1">
      <c r="A236" s="2370" t="s">
        <v>303</v>
      </c>
      <c r="B236" s="2370" t="s">
        <v>141</v>
      </c>
      <c r="C236" s="3099">
        <v>6650</v>
      </c>
      <c r="D236" s="3099">
        <v>6630</v>
      </c>
      <c r="E236" s="3099">
        <v>8330</v>
      </c>
      <c r="F236" s="3099">
        <v>1250</v>
      </c>
      <c r="G236" s="3099">
        <v>4070</v>
      </c>
    </row>
    <row r="237" spans="1:7" s="2235" customFormat="1" ht="14.25" customHeight="1">
      <c r="A237" s="2370" t="s">
        <v>303</v>
      </c>
      <c r="B237" s="2370" t="s">
        <v>150</v>
      </c>
      <c r="C237" s="3099">
        <v>5850</v>
      </c>
      <c r="D237" s="3099">
        <v>5820</v>
      </c>
      <c r="E237" s="3099">
        <v>7260</v>
      </c>
      <c r="F237" s="3099">
        <v>1140</v>
      </c>
      <c r="G237" s="3099">
        <v>3570</v>
      </c>
    </row>
    <row r="238" spans="1:7" s="2235" customFormat="1" ht="14.25" customHeight="1">
      <c r="A238" s="2370" t="s">
        <v>303</v>
      </c>
      <c r="B238" s="2370" t="s">
        <v>2766</v>
      </c>
      <c r="C238" s="3099">
        <v>6920</v>
      </c>
      <c r="D238" s="3099">
        <v>6890</v>
      </c>
      <c r="E238" s="3099">
        <v>8640</v>
      </c>
      <c r="F238" s="3099">
        <v>1310</v>
      </c>
      <c r="G238" s="3099">
        <v>4230</v>
      </c>
    </row>
    <row r="239" spans="1:7" s="2235" customFormat="1" ht="14.25" customHeight="1">
      <c r="A239" s="2370" t="s">
        <v>303</v>
      </c>
      <c r="B239" s="2370" t="s">
        <v>2996</v>
      </c>
      <c r="C239" s="3099">
        <v>6780</v>
      </c>
      <c r="D239" s="3099">
        <v>6750</v>
      </c>
      <c r="E239" s="3099">
        <v>8440</v>
      </c>
      <c r="F239" s="3099">
        <v>1160</v>
      </c>
      <c r="G239" s="3099">
        <v>4140</v>
      </c>
    </row>
    <row r="240" spans="1:7" s="2235" customFormat="1" ht="14.25" customHeight="1">
      <c r="A240" s="2370" t="s">
        <v>303</v>
      </c>
      <c r="B240" s="2370" t="s">
        <v>2997</v>
      </c>
      <c r="C240" s="3099">
        <v>5420</v>
      </c>
      <c r="D240" s="3099">
        <v>5380</v>
      </c>
      <c r="E240" s="3099">
        <v>6640</v>
      </c>
      <c r="F240" s="3099">
        <v>1020</v>
      </c>
      <c r="G240" s="3099">
        <v>3300</v>
      </c>
    </row>
    <row r="241" spans="1:7" s="2235" customFormat="1" ht="14.25" customHeight="1">
      <c r="A241" s="2370" t="s">
        <v>303</v>
      </c>
      <c r="B241" s="2370" t="s">
        <v>2998</v>
      </c>
      <c r="C241" s="3099">
        <v>6660</v>
      </c>
      <c r="D241" s="3099">
        <v>6640</v>
      </c>
      <c r="E241" s="3099">
        <v>8340</v>
      </c>
      <c r="F241" s="3099">
        <v>1130</v>
      </c>
      <c r="G241" s="3099">
        <v>4080</v>
      </c>
    </row>
    <row r="242" spans="1:7" s="2235" customFormat="1" ht="14.25" customHeight="1">
      <c r="A242" s="2370" t="s">
        <v>303</v>
      </c>
      <c r="B242" s="2370" t="s">
        <v>179</v>
      </c>
      <c r="C242" s="3099">
        <v>6580</v>
      </c>
      <c r="D242" s="3099">
        <v>6550</v>
      </c>
      <c r="E242" s="3099">
        <v>8090</v>
      </c>
      <c r="F242" s="3099">
        <v>1240</v>
      </c>
      <c r="G242" s="3099">
        <v>4020</v>
      </c>
    </row>
    <row r="243" spans="1:7" s="2235" customFormat="1" ht="14.25" customHeight="1">
      <c r="A243" s="2370" t="s">
        <v>303</v>
      </c>
      <c r="B243" s="2370" t="s">
        <v>189</v>
      </c>
      <c r="C243" s="3099">
        <v>6000</v>
      </c>
      <c r="D243" s="3099">
        <v>5970</v>
      </c>
      <c r="E243" s="3099">
        <v>7370</v>
      </c>
      <c r="F243" s="3099">
        <v>1070</v>
      </c>
      <c r="G243" s="3099">
        <v>3670</v>
      </c>
    </row>
    <row r="244" spans="1:7" s="2235" customFormat="1" ht="14.25" customHeight="1">
      <c r="A244" s="2370" t="s">
        <v>303</v>
      </c>
      <c r="B244" s="2370" t="s">
        <v>2999</v>
      </c>
      <c r="C244" s="3099">
        <v>5840</v>
      </c>
      <c r="D244" s="3099">
        <v>5810</v>
      </c>
      <c r="E244" s="3099">
        <v>7240</v>
      </c>
      <c r="F244" s="3099">
        <v>1100</v>
      </c>
      <c r="G244" s="3099">
        <v>3560</v>
      </c>
    </row>
    <row r="245" spans="1:7" s="2235" customFormat="1" ht="14.25" customHeight="1">
      <c r="A245" s="2370" t="s">
        <v>303</v>
      </c>
      <c r="B245" s="2370" t="s">
        <v>204</v>
      </c>
      <c r="C245" s="3099">
        <v>6040</v>
      </c>
      <c r="D245" s="3099">
        <v>6000</v>
      </c>
      <c r="E245" s="3099">
        <v>7420</v>
      </c>
      <c r="F245" s="3099">
        <v>1140</v>
      </c>
      <c r="G245" s="3099">
        <v>3690</v>
      </c>
    </row>
    <row r="246" spans="1:7" s="2235" customFormat="1" ht="14.25" customHeight="1">
      <c r="A246" s="2370" t="s">
        <v>303</v>
      </c>
      <c r="B246" s="2370" t="s">
        <v>211</v>
      </c>
      <c r="C246" s="3099">
        <v>5890</v>
      </c>
      <c r="D246" s="3099">
        <v>5860</v>
      </c>
      <c r="E246" s="3099">
        <v>7300</v>
      </c>
      <c r="F246" s="3099">
        <v>1110</v>
      </c>
      <c r="G246" s="3099">
        <v>3590</v>
      </c>
    </row>
    <row r="247" spans="1:7" s="2235" customFormat="1" ht="14.25" customHeight="1">
      <c r="A247" s="2370" t="s">
        <v>303</v>
      </c>
      <c r="B247" s="2370" t="s">
        <v>3000</v>
      </c>
      <c r="C247" s="3099">
        <v>6480</v>
      </c>
      <c r="D247" s="3099">
        <v>6450</v>
      </c>
      <c r="E247" s="3099">
        <v>8010</v>
      </c>
      <c r="F247" s="3099">
        <v>1170</v>
      </c>
      <c r="G247" s="3099">
        <v>3960</v>
      </c>
    </row>
    <row r="248" spans="1:7" s="2235" customFormat="1" ht="14.25" customHeight="1">
      <c r="A248" s="2370" t="s">
        <v>303</v>
      </c>
      <c r="B248" s="2370" t="s">
        <v>225</v>
      </c>
      <c r="C248" s="3099">
        <v>6860</v>
      </c>
      <c r="D248" s="3099">
        <v>6840</v>
      </c>
      <c r="E248" s="3099">
        <v>8520</v>
      </c>
      <c r="F248" s="3099">
        <v>1240</v>
      </c>
      <c r="G248" s="3099">
        <v>4200</v>
      </c>
    </row>
    <row r="249" spans="1:7" s="2235" customFormat="1" ht="14.25" customHeight="1">
      <c r="A249" s="2370" t="s">
        <v>303</v>
      </c>
      <c r="B249" s="2370" t="s">
        <v>3001</v>
      </c>
      <c r="C249" s="3099">
        <v>7180</v>
      </c>
      <c r="D249" s="3099">
        <v>7140</v>
      </c>
      <c r="E249" s="3099">
        <v>8900</v>
      </c>
      <c r="F249" s="3099">
        <v>1350</v>
      </c>
      <c r="G249" s="3099">
        <v>4380</v>
      </c>
    </row>
    <row r="250" spans="1:7" s="2235" customFormat="1" ht="14.25" customHeight="1">
      <c r="A250" s="2370" t="s">
        <v>303</v>
      </c>
      <c r="B250" s="2370" t="s">
        <v>239</v>
      </c>
      <c r="C250" s="3099">
        <v>6880</v>
      </c>
      <c r="D250" s="3099">
        <v>6860</v>
      </c>
      <c r="E250" s="3099">
        <v>8550</v>
      </c>
      <c r="F250" s="3099">
        <v>1220</v>
      </c>
      <c r="G250" s="3099">
        <v>4210</v>
      </c>
    </row>
    <row r="251" spans="1:7" s="2235" customFormat="1" ht="14.25" customHeight="1">
      <c r="A251" s="2370" t="s">
        <v>303</v>
      </c>
      <c r="B251" s="2370" t="s">
        <v>247</v>
      </c>
      <c r="C251" s="3099"/>
      <c r="D251" s="3099"/>
      <c r="E251" s="3099"/>
      <c r="F251" s="3099">
        <v>1100</v>
      </c>
      <c r="G251" s="3099"/>
    </row>
    <row r="252" spans="1:7" s="2235" customFormat="1" ht="14.25" customHeight="1">
      <c r="A252" s="2370" t="s">
        <v>303</v>
      </c>
      <c r="B252" s="2370" t="s">
        <v>3002</v>
      </c>
      <c r="C252" s="3099">
        <v>7240</v>
      </c>
      <c r="D252" s="3099">
        <v>7200</v>
      </c>
      <c r="E252" s="3099">
        <v>9040</v>
      </c>
      <c r="F252" s="3099">
        <v>1380</v>
      </c>
      <c r="G252" s="3099">
        <v>4420</v>
      </c>
    </row>
    <row r="253" spans="1:7" s="2235" customFormat="1" ht="14.25" customHeight="1">
      <c r="A253" s="2370" t="s">
        <v>303</v>
      </c>
      <c r="B253" s="2370" t="s">
        <v>281</v>
      </c>
      <c r="C253" s="3099">
        <v>6670</v>
      </c>
      <c r="D253" s="3099">
        <v>6650</v>
      </c>
      <c r="E253" s="3099">
        <v>8350</v>
      </c>
      <c r="F253" s="3099">
        <v>1260</v>
      </c>
      <c r="G253" s="3099">
        <v>4080</v>
      </c>
    </row>
    <row r="254" spans="1:7" s="2235" customFormat="1" ht="14.25" customHeight="1">
      <c r="A254" s="2370" t="s">
        <v>303</v>
      </c>
      <c r="B254" s="2370" t="s">
        <v>284</v>
      </c>
      <c r="C254" s="3099">
        <v>7630</v>
      </c>
      <c r="D254" s="3099">
        <v>7590</v>
      </c>
      <c r="E254" s="3099">
        <v>9380</v>
      </c>
      <c r="F254" s="3099">
        <v>1320</v>
      </c>
      <c r="G254" s="3099">
        <v>4660</v>
      </c>
    </row>
    <row r="255" spans="1:7" s="2235" customFormat="1" ht="14.25" customHeight="1">
      <c r="A255" s="2370" t="s">
        <v>303</v>
      </c>
      <c r="B255" s="2370" t="s">
        <v>287</v>
      </c>
      <c r="C255" s="3099">
        <v>6940</v>
      </c>
      <c r="D255" s="3099">
        <v>6890</v>
      </c>
      <c r="E255" s="3099">
        <v>8650</v>
      </c>
      <c r="F255" s="3099">
        <v>1210</v>
      </c>
      <c r="G255" s="3099">
        <v>4230</v>
      </c>
    </row>
    <row r="256" spans="1:7" s="2235" customFormat="1" ht="14.25" customHeight="1">
      <c r="A256" s="2370" t="s">
        <v>303</v>
      </c>
      <c r="B256" s="2370" t="s">
        <v>3003</v>
      </c>
      <c r="C256" s="3099">
        <v>7520</v>
      </c>
      <c r="D256" s="3099">
        <v>7490</v>
      </c>
      <c r="E256" s="3099">
        <v>9240</v>
      </c>
      <c r="F256" s="3099">
        <v>1270</v>
      </c>
      <c r="G256" s="3099">
        <v>4590</v>
      </c>
    </row>
    <row r="257" spans="1:7" s="2235" customFormat="1" ht="14.25" customHeight="1">
      <c r="A257" s="2370" t="s">
        <v>303</v>
      </c>
      <c r="B257" s="2370" t="s">
        <v>273</v>
      </c>
      <c r="C257" s="3099">
        <v>6280</v>
      </c>
      <c r="D257" s="3099">
        <v>6230</v>
      </c>
      <c r="E257" s="3099">
        <v>7740</v>
      </c>
      <c r="F257" s="3099">
        <v>1080</v>
      </c>
      <c r="G257" s="3099">
        <v>3830</v>
      </c>
    </row>
    <row r="258" spans="1:7" s="2235" customFormat="1" ht="14.25" customHeight="1">
      <c r="A258" s="2370" t="s">
        <v>303</v>
      </c>
      <c r="B258" s="2370" t="s">
        <v>2828</v>
      </c>
      <c r="C258" s="3099">
        <v>6190</v>
      </c>
      <c r="D258" s="3099">
        <v>6160</v>
      </c>
      <c r="E258" s="3099">
        <v>7680</v>
      </c>
      <c r="F258" s="3099">
        <v>1170</v>
      </c>
      <c r="G258" s="3099">
        <v>3780</v>
      </c>
    </row>
    <row r="259" spans="1:7" s="2235" customFormat="1" ht="14.25" customHeight="1">
      <c r="A259" s="2370" t="s">
        <v>303</v>
      </c>
      <c r="B259" s="2370" t="s">
        <v>3004</v>
      </c>
      <c r="C259" s="3099">
        <v>7610</v>
      </c>
      <c r="D259" s="3099">
        <v>7570</v>
      </c>
      <c r="E259" s="3099">
        <v>9350</v>
      </c>
      <c r="F259" s="3099">
        <v>1350</v>
      </c>
      <c r="G259" s="3099">
        <v>4650</v>
      </c>
    </row>
    <row r="260" spans="1:7" s="2235" customFormat="1" ht="14.25" customHeight="1">
      <c r="A260" s="2370" t="s">
        <v>303</v>
      </c>
      <c r="B260" s="2370" t="s">
        <v>3005</v>
      </c>
      <c r="C260" s="3099">
        <v>6920</v>
      </c>
      <c r="D260" s="3099">
        <v>6880</v>
      </c>
      <c r="E260" s="3099">
        <v>8380</v>
      </c>
      <c r="F260" s="3099">
        <v>1160</v>
      </c>
      <c r="G260" s="3099">
        <v>4220</v>
      </c>
    </row>
    <row r="261" spans="1:7" s="2235" customFormat="1" ht="14.25" customHeight="1">
      <c r="A261" s="2370" t="s">
        <v>303</v>
      </c>
      <c r="B261" s="2370" t="s">
        <v>3006</v>
      </c>
      <c r="C261" s="3099">
        <v>6850</v>
      </c>
      <c r="D261" s="3099">
        <v>6810</v>
      </c>
      <c r="E261" s="3099">
        <v>8290</v>
      </c>
      <c r="F261" s="3099">
        <v>1130</v>
      </c>
      <c r="G261" s="3099">
        <v>4180</v>
      </c>
    </row>
    <row r="262" spans="1:7" s="2235" customFormat="1" ht="14.25" customHeight="1">
      <c r="A262" s="2370" t="s">
        <v>303</v>
      </c>
      <c r="B262" s="2370" t="s">
        <v>3007</v>
      </c>
      <c r="C262" s="3099">
        <v>5860</v>
      </c>
      <c r="D262" s="3099">
        <v>5820</v>
      </c>
      <c r="E262" s="3099">
        <v>7640</v>
      </c>
      <c r="F262" s="3099">
        <v>1070</v>
      </c>
      <c r="G262" s="3099">
        <v>3570</v>
      </c>
    </row>
    <row r="263" spans="1:7" s="2235" customFormat="1" ht="14.25" customHeight="1">
      <c r="A263" s="2370" t="s">
        <v>303</v>
      </c>
      <c r="B263" s="2370" t="s">
        <v>3008</v>
      </c>
      <c r="C263" s="3099">
        <v>5870</v>
      </c>
      <c r="D263" s="3099">
        <v>5840</v>
      </c>
      <c r="E263" s="3099">
        <v>7270</v>
      </c>
      <c r="F263" s="3099">
        <v>1190</v>
      </c>
      <c r="G263" s="3099">
        <v>3580</v>
      </c>
    </row>
    <row r="264" spans="1:7" s="2235" customFormat="1" ht="14.25" customHeight="1">
      <c r="A264" s="2370" t="s">
        <v>303</v>
      </c>
      <c r="B264" s="2370" t="s">
        <v>297</v>
      </c>
      <c r="C264" s="3099">
        <v>6190</v>
      </c>
      <c r="D264" s="3099">
        <v>6150</v>
      </c>
      <c r="E264" s="3099">
        <v>7660</v>
      </c>
      <c r="F264" s="3099">
        <v>1160</v>
      </c>
      <c r="G264" s="3099">
        <v>3770</v>
      </c>
    </row>
    <row r="265" spans="1:7" s="2235" customFormat="1" ht="14.25" customHeight="1">
      <c r="A265" s="2370" t="s">
        <v>303</v>
      </c>
      <c r="B265" s="2370" t="s">
        <v>3009</v>
      </c>
      <c r="C265" s="3099"/>
      <c r="D265" s="3099"/>
      <c r="E265" s="3099"/>
      <c r="F265" s="3099">
        <v>1500</v>
      </c>
      <c r="G265" s="3099"/>
    </row>
    <row r="266" spans="1:7" s="2235" customFormat="1" ht="14.25" customHeight="1">
      <c r="A266" s="2370" t="s">
        <v>303</v>
      </c>
      <c r="B266" s="2370" t="s">
        <v>3010</v>
      </c>
      <c r="C266" s="3099"/>
      <c r="D266" s="3099"/>
      <c r="E266" s="3099"/>
      <c r="F266" s="3099">
        <v>1500</v>
      </c>
      <c r="G266" s="3099"/>
    </row>
    <row r="267" spans="1:7" s="2235" customFormat="1" ht="14.25" customHeight="1">
      <c r="A267" s="2370" t="s">
        <v>303</v>
      </c>
      <c r="B267" s="2370" t="s">
        <v>3011</v>
      </c>
      <c r="C267" s="3099"/>
      <c r="D267" s="3099"/>
      <c r="E267" s="3099"/>
      <c r="F267" s="3099">
        <v>1500</v>
      </c>
      <c r="G267" s="3099"/>
    </row>
    <row r="268" spans="1:7" s="2235" customFormat="1" ht="14.25" customHeight="1">
      <c r="A268" s="2370" t="s">
        <v>303</v>
      </c>
      <c r="B268" s="2370" t="s">
        <v>3012</v>
      </c>
      <c r="C268" s="3099"/>
      <c r="D268" s="3099"/>
      <c r="E268" s="3099"/>
      <c r="F268" s="3099">
        <v>1290</v>
      </c>
      <c r="G268" s="3099"/>
    </row>
    <row r="269" spans="1:7" s="2235" customFormat="1" ht="14.25" customHeight="1">
      <c r="A269" s="2370" t="s">
        <v>303</v>
      </c>
      <c r="B269" s="2370" t="s">
        <v>3013</v>
      </c>
      <c r="C269" s="3099"/>
      <c r="D269" s="3099"/>
      <c r="E269" s="3099"/>
      <c r="F269" s="3099">
        <v>1150</v>
      </c>
      <c r="G269" s="3099"/>
    </row>
    <row r="270" spans="1:7" s="2235" customFormat="1" ht="14.25" customHeight="1">
      <c r="A270" s="2370" t="s">
        <v>303</v>
      </c>
      <c r="B270" s="2370" t="s">
        <v>3014</v>
      </c>
      <c r="C270" s="3099"/>
      <c r="D270" s="3099"/>
      <c r="E270" s="3099"/>
      <c r="F270" s="3099">
        <v>1380</v>
      </c>
      <c r="G270" s="3099"/>
    </row>
    <row r="271" spans="1:7" s="2235" customFormat="1" ht="14.25" customHeight="1">
      <c r="A271" s="2370" t="s">
        <v>303</v>
      </c>
      <c r="B271" s="2370" t="s">
        <v>3015</v>
      </c>
      <c r="C271" s="3099"/>
      <c r="D271" s="3099"/>
      <c r="E271" s="3099"/>
      <c r="F271" s="3099">
        <v>1460</v>
      </c>
      <c r="G271" s="3099"/>
    </row>
    <row r="272" spans="1:7" s="2235" customFormat="1" ht="14.25" customHeight="1">
      <c r="A272" s="2370" t="s">
        <v>303</v>
      </c>
      <c r="B272" s="2370" t="s">
        <v>3016</v>
      </c>
      <c r="C272" s="3099"/>
      <c r="D272" s="3099"/>
      <c r="E272" s="3099"/>
      <c r="F272" s="3099">
        <v>1460</v>
      </c>
      <c r="G272" s="3099"/>
    </row>
    <row r="273" spans="1:7" s="2235" customFormat="1" ht="14.25" customHeight="1">
      <c r="A273" s="2370" t="s">
        <v>303</v>
      </c>
      <c r="B273" s="2370" t="s">
        <v>2909</v>
      </c>
      <c r="C273" s="3099"/>
      <c r="D273" s="3099"/>
      <c r="E273" s="3099"/>
      <c r="F273" s="3099">
        <v>1490</v>
      </c>
      <c r="G273" s="3099"/>
    </row>
    <row r="274" spans="1:7" s="2235" customFormat="1" ht="14.25" customHeight="1">
      <c r="A274" s="2370" t="s">
        <v>303</v>
      </c>
      <c r="B274" s="2370" t="s">
        <v>3017</v>
      </c>
      <c r="C274" s="3099"/>
      <c r="D274" s="3099"/>
      <c r="E274" s="3099"/>
      <c r="F274" s="3099">
        <v>1490</v>
      </c>
      <c r="G274" s="3099"/>
    </row>
    <row r="275" spans="1:7" s="2235" customFormat="1" ht="14.25" customHeight="1">
      <c r="A275" s="2370" t="s">
        <v>303</v>
      </c>
      <c r="B275" s="2370" t="s">
        <v>3018</v>
      </c>
      <c r="C275" s="3099"/>
      <c r="D275" s="3099"/>
      <c r="E275" s="3099"/>
      <c r="F275" s="3099">
        <v>1220</v>
      </c>
      <c r="G275" s="3099"/>
    </row>
    <row r="276" spans="1:7" s="2235" customFormat="1" ht="14.25" customHeight="1" thickBot="1">
      <c r="A276" s="2378" t="s">
        <v>303</v>
      </c>
      <c r="B276" s="2380" t="s">
        <v>3019</v>
      </c>
      <c r="C276" s="3101"/>
      <c r="D276" s="3101"/>
      <c r="E276" s="3101"/>
      <c r="F276" s="3101">
        <v>1380</v>
      </c>
      <c r="G276" s="3101"/>
    </row>
    <row r="277" spans="1:7" s="2235" customFormat="1" ht="14.25" customHeight="1">
      <c r="A277" s="2375" t="s">
        <v>304</v>
      </c>
      <c r="B277" s="2366" t="s">
        <v>3020</v>
      </c>
      <c r="C277" s="3098">
        <v>5790</v>
      </c>
      <c r="D277" s="3098">
        <v>5740</v>
      </c>
      <c r="E277" s="3098">
        <v>6730</v>
      </c>
      <c r="F277" s="3098">
        <v>1110</v>
      </c>
      <c r="G277" s="3102">
        <v>3460</v>
      </c>
    </row>
    <row r="278" spans="1:7" s="2235" customFormat="1" ht="14.25" customHeight="1">
      <c r="A278" s="2370" t="s">
        <v>304</v>
      </c>
      <c r="B278" s="2370" t="s">
        <v>133</v>
      </c>
      <c r="C278" s="3099">
        <v>5740</v>
      </c>
      <c r="D278" s="3099">
        <v>5670</v>
      </c>
      <c r="E278" s="3099">
        <v>6680</v>
      </c>
      <c r="F278" s="3099">
        <v>1070</v>
      </c>
      <c r="G278" s="3103">
        <v>3420</v>
      </c>
    </row>
    <row r="279" spans="1:7" s="2235" customFormat="1" ht="14.25" customHeight="1">
      <c r="A279" s="2370" t="s">
        <v>304</v>
      </c>
      <c r="B279" s="2370" t="s">
        <v>3021</v>
      </c>
      <c r="C279" s="3099">
        <v>4760</v>
      </c>
      <c r="D279" s="3099">
        <v>4720</v>
      </c>
      <c r="E279" s="3099">
        <v>5540</v>
      </c>
      <c r="F279" s="3099">
        <v>810</v>
      </c>
      <c r="G279" s="3103">
        <v>2850</v>
      </c>
    </row>
    <row r="280" spans="1:7" s="2235" customFormat="1" ht="14.25" customHeight="1">
      <c r="A280" s="2370" t="s">
        <v>304</v>
      </c>
      <c r="B280" s="2370" t="s">
        <v>3022</v>
      </c>
      <c r="C280" s="3099">
        <v>4010</v>
      </c>
      <c r="D280" s="3099">
        <v>3950</v>
      </c>
      <c r="E280" s="3099">
        <v>4710</v>
      </c>
      <c r="F280" s="3099">
        <v>800</v>
      </c>
      <c r="G280" s="3103">
        <v>2390</v>
      </c>
    </row>
    <row r="281" spans="1:7" s="2235" customFormat="1" ht="14.25" customHeight="1">
      <c r="A281" s="2370" t="s">
        <v>304</v>
      </c>
      <c r="B281" s="2370" t="s">
        <v>3023</v>
      </c>
      <c r="C281" s="3099">
        <v>4480</v>
      </c>
      <c r="D281" s="3099">
        <v>4420</v>
      </c>
      <c r="E281" s="3099">
        <v>5230</v>
      </c>
      <c r="F281" s="3099">
        <v>870</v>
      </c>
      <c r="G281" s="3103">
        <v>2660</v>
      </c>
    </row>
    <row r="282" spans="1:7" s="2235" customFormat="1" ht="14.25" customHeight="1">
      <c r="A282" s="2370" t="s">
        <v>304</v>
      </c>
      <c r="B282" s="2370" t="s">
        <v>3024</v>
      </c>
      <c r="C282" s="3099">
        <v>5360</v>
      </c>
      <c r="D282" s="3099">
        <v>5300</v>
      </c>
      <c r="E282" s="3099">
        <v>6190</v>
      </c>
      <c r="F282" s="3099">
        <v>950</v>
      </c>
      <c r="G282" s="3103">
        <v>3190</v>
      </c>
    </row>
    <row r="283" spans="1:7" s="2235" customFormat="1" ht="14.25" customHeight="1">
      <c r="A283" s="2370" t="s">
        <v>304</v>
      </c>
      <c r="B283" s="2370" t="s">
        <v>172</v>
      </c>
      <c r="C283" s="3099">
        <v>4950</v>
      </c>
      <c r="D283" s="3099">
        <v>4900</v>
      </c>
      <c r="E283" s="3099">
        <v>5720</v>
      </c>
      <c r="F283" s="3099">
        <v>920</v>
      </c>
      <c r="G283" s="3103">
        <v>2950</v>
      </c>
    </row>
    <row r="284" spans="1:7" s="2235" customFormat="1" ht="14.25" customHeight="1">
      <c r="A284" s="2370" t="s">
        <v>304</v>
      </c>
      <c r="B284" s="2370" t="s">
        <v>180</v>
      </c>
      <c r="C284" s="3099">
        <v>5610</v>
      </c>
      <c r="D284" s="3099">
        <v>5560</v>
      </c>
      <c r="E284" s="3099">
        <v>6520</v>
      </c>
      <c r="F284" s="3099">
        <v>1030</v>
      </c>
      <c r="G284" s="3103">
        <v>3360</v>
      </c>
    </row>
    <row r="285" spans="1:7" s="2235" customFormat="1" ht="14.25" customHeight="1">
      <c r="A285" s="2370" t="s">
        <v>304</v>
      </c>
      <c r="B285" s="2370" t="s">
        <v>190</v>
      </c>
      <c r="C285" s="3099">
        <v>5340</v>
      </c>
      <c r="D285" s="3099">
        <v>5290</v>
      </c>
      <c r="E285" s="3099">
        <v>6170</v>
      </c>
      <c r="F285" s="3099">
        <v>1080</v>
      </c>
      <c r="G285" s="3103">
        <v>3180</v>
      </c>
    </row>
    <row r="286" spans="1:7" s="2235" customFormat="1" ht="14.25" customHeight="1">
      <c r="A286" s="2370" t="s">
        <v>304</v>
      </c>
      <c r="B286" s="2370" t="s">
        <v>197</v>
      </c>
      <c r="C286" s="3099">
        <v>4890</v>
      </c>
      <c r="D286" s="3099">
        <v>4840</v>
      </c>
      <c r="E286" s="3099">
        <v>5640</v>
      </c>
      <c r="F286" s="3099">
        <v>960</v>
      </c>
      <c r="G286" s="3103">
        <v>2910</v>
      </c>
    </row>
    <row r="287" spans="1:7" s="2235" customFormat="1" ht="14.25" customHeight="1">
      <c r="A287" s="2370" t="s">
        <v>304</v>
      </c>
      <c r="B287" s="2370" t="s">
        <v>3025</v>
      </c>
      <c r="C287" s="3099">
        <v>4960</v>
      </c>
      <c r="D287" s="3099">
        <v>4920</v>
      </c>
      <c r="E287" s="3099">
        <v>5730</v>
      </c>
      <c r="F287" s="3099">
        <v>930</v>
      </c>
      <c r="G287" s="3103">
        <v>2960</v>
      </c>
    </row>
    <row r="288" spans="1:7" s="2235" customFormat="1" ht="14.25" customHeight="1">
      <c r="A288" s="2370" t="s">
        <v>304</v>
      </c>
      <c r="B288" s="2370" t="s">
        <v>217</v>
      </c>
      <c r="C288" s="3099">
        <v>4350</v>
      </c>
      <c r="D288" s="3099">
        <v>4300</v>
      </c>
      <c r="E288" s="3099">
        <v>4900</v>
      </c>
      <c r="F288" s="3099">
        <v>820</v>
      </c>
      <c r="G288" s="3103">
        <v>2590</v>
      </c>
    </row>
    <row r="289" spans="1:7" s="2235" customFormat="1" ht="14.25" customHeight="1">
      <c r="A289" s="2370" t="s">
        <v>304</v>
      </c>
      <c r="B289" s="2370" t="s">
        <v>3026</v>
      </c>
      <c r="C289" s="3099">
        <v>5230</v>
      </c>
      <c r="D289" s="3099">
        <v>5170</v>
      </c>
      <c r="E289" s="3099">
        <v>6060</v>
      </c>
      <c r="F289" s="3099">
        <v>900</v>
      </c>
      <c r="G289" s="3103">
        <v>3120</v>
      </c>
    </row>
    <row r="290" spans="1:7" s="2235" customFormat="1" ht="14.25" customHeight="1">
      <c r="A290" s="2370" t="s">
        <v>304</v>
      </c>
      <c r="B290" s="2370" t="s">
        <v>240</v>
      </c>
      <c r="C290" s="3099">
        <v>5550</v>
      </c>
      <c r="D290" s="3099">
        <v>5500</v>
      </c>
      <c r="E290" s="3099">
        <v>6440</v>
      </c>
      <c r="F290" s="3099">
        <v>960</v>
      </c>
      <c r="G290" s="3103">
        <v>3320</v>
      </c>
    </row>
    <row r="291" spans="1:7" s="2235" customFormat="1" ht="14.25" customHeight="1">
      <c r="A291" s="2370" t="s">
        <v>304</v>
      </c>
      <c r="B291" s="2370" t="s">
        <v>248</v>
      </c>
      <c r="C291" s="3099">
        <v>5440</v>
      </c>
      <c r="D291" s="3099">
        <v>5400</v>
      </c>
      <c r="E291" s="3099">
        <v>6320</v>
      </c>
      <c r="F291" s="3099">
        <v>930</v>
      </c>
      <c r="G291" s="3103">
        <v>3250</v>
      </c>
    </row>
    <row r="292" spans="1:7" s="2235" customFormat="1" ht="14.25" customHeight="1">
      <c r="A292" s="2370" t="s">
        <v>304</v>
      </c>
      <c r="B292" s="2370" t="s">
        <v>254</v>
      </c>
      <c r="C292" s="3099">
        <v>5400</v>
      </c>
      <c r="D292" s="3099">
        <v>5360</v>
      </c>
      <c r="E292" s="3099">
        <v>6270</v>
      </c>
      <c r="F292" s="3099">
        <v>1040</v>
      </c>
      <c r="G292" s="3103">
        <v>3230</v>
      </c>
    </row>
    <row r="293" spans="1:7" s="2235" customFormat="1" ht="14.25" customHeight="1">
      <c r="A293" s="2370" t="s">
        <v>304</v>
      </c>
      <c r="B293" s="2370" t="s">
        <v>2801</v>
      </c>
      <c r="C293" s="3099">
        <v>5320</v>
      </c>
      <c r="D293" s="3099">
        <v>5270</v>
      </c>
      <c r="E293" s="3099">
        <v>6160</v>
      </c>
      <c r="F293" s="3099">
        <v>990</v>
      </c>
      <c r="G293" s="3103">
        <v>3170</v>
      </c>
    </row>
    <row r="294" spans="1:7" s="2235" customFormat="1" ht="14.25" customHeight="1">
      <c r="A294" s="2370" t="s">
        <v>304</v>
      </c>
      <c r="B294" s="2370" t="s">
        <v>3027</v>
      </c>
      <c r="C294" s="3099">
        <v>5260</v>
      </c>
      <c r="D294" s="3099">
        <v>5210</v>
      </c>
      <c r="E294" s="3099">
        <v>6100</v>
      </c>
      <c r="F294" s="3099">
        <v>950</v>
      </c>
      <c r="G294" s="3103">
        <v>3150</v>
      </c>
    </row>
    <row r="295" spans="1:7" s="2235" customFormat="1" ht="14.25" customHeight="1">
      <c r="A295" s="2370" t="s">
        <v>304</v>
      </c>
      <c r="B295" s="2370" t="s">
        <v>288</v>
      </c>
      <c r="C295" s="3099">
        <v>5610</v>
      </c>
      <c r="D295" s="3099">
        <v>5570</v>
      </c>
      <c r="E295" s="3099">
        <v>6530</v>
      </c>
      <c r="F295" s="3099">
        <v>960</v>
      </c>
      <c r="G295" s="3103">
        <v>3360</v>
      </c>
    </row>
    <row r="296" spans="1:7" s="2235" customFormat="1" ht="14.25" customHeight="1">
      <c r="A296" s="2370" t="s">
        <v>304</v>
      </c>
      <c r="B296" s="2370" t="s">
        <v>291</v>
      </c>
      <c r="C296" s="3099">
        <v>5540</v>
      </c>
      <c r="D296" s="3099">
        <v>5490</v>
      </c>
      <c r="E296" s="3099">
        <v>6430</v>
      </c>
      <c r="F296" s="3099">
        <v>980</v>
      </c>
      <c r="G296" s="3103">
        <v>3310</v>
      </c>
    </row>
    <row r="297" spans="1:7" s="2235" customFormat="1" ht="14.25" customHeight="1">
      <c r="A297" s="2370" t="s">
        <v>304</v>
      </c>
      <c r="B297" s="2370" t="s">
        <v>293</v>
      </c>
      <c r="C297" s="3099">
        <v>5480</v>
      </c>
      <c r="D297" s="3099">
        <v>5420</v>
      </c>
      <c r="E297" s="3099">
        <v>6370</v>
      </c>
      <c r="F297" s="3099">
        <v>990</v>
      </c>
      <c r="G297" s="3103">
        <v>3270</v>
      </c>
    </row>
    <row r="298" spans="1:7" s="2235" customFormat="1" ht="14.25" customHeight="1">
      <c r="A298" s="2370" t="s">
        <v>304</v>
      </c>
      <c r="B298" s="2370" t="s">
        <v>296</v>
      </c>
      <c r="C298" s="3099">
        <v>5090</v>
      </c>
      <c r="D298" s="3099">
        <v>5050</v>
      </c>
      <c r="E298" s="3099">
        <v>5910</v>
      </c>
      <c r="F298" s="3099">
        <v>900</v>
      </c>
      <c r="G298" s="3103">
        <v>3040</v>
      </c>
    </row>
    <row r="299" spans="1:7" s="2235" customFormat="1" ht="14.25" customHeight="1">
      <c r="A299" s="2370" t="s">
        <v>304</v>
      </c>
      <c r="B299" s="2379" t="s">
        <v>2820</v>
      </c>
      <c r="C299" s="3099">
        <v>5430</v>
      </c>
      <c r="D299" s="3099">
        <v>5380</v>
      </c>
      <c r="E299" s="3099">
        <v>6280</v>
      </c>
      <c r="F299" s="3099">
        <v>1000</v>
      </c>
      <c r="G299" s="3103">
        <v>3240</v>
      </c>
    </row>
    <row r="300" spans="1:7" s="2235" customFormat="1" ht="14.25" customHeight="1">
      <c r="A300" s="2370" t="s">
        <v>304</v>
      </c>
      <c r="B300" s="2379" t="s">
        <v>269</v>
      </c>
      <c r="C300" s="3099">
        <v>4740</v>
      </c>
      <c r="D300" s="3099">
        <v>4680</v>
      </c>
      <c r="E300" s="3099">
        <v>5450</v>
      </c>
      <c r="F300" s="3099">
        <v>900</v>
      </c>
      <c r="G300" s="3103">
        <v>2830</v>
      </c>
    </row>
    <row r="301" spans="1:7" s="2235" customFormat="1" ht="14.25" customHeight="1">
      <c r="A301" s="2370" t="s">
        <v>304</v>
      </c>
      <c r="B301" s="2379" t="s">
        <v>274</v>
      </c>
      <c r="C301" s="3099">
        <v>4870</v>
      </c>
      <c r="D301" s="3099">
        <v>4810</v>
      </c>
      <c r="E301" s="3099">
        <v>5560</v>
      </c>
      <c r="F301" s="3099">
        <v>990</v>
      </c>
      <c r="G301" s="3103">
        <v>2910</v>
      </c>
    </row>
    <row r="302" spans="1:7" s="2235" customFormat="1" ht="14.25" customHeight="1">
      <c r="A302" s="2370" t="s">
        <v>304</v>
      </c>
      <c r="B302" s="2370" t="s">
        <v>3028</v>
      </c>
      <c r="C302" s="3099">
        <v>5520</v>
      </c>
      <c r="D302" s="3099">
        <v>5470</v>
      </c>
      <c r="E302" s="3099">
        <v>6410</v>
      </c>
      <c r="F302" s="3099">
        <v>950</v>
      </c>
      <c r="G302" s="3103">
        <v>3300</v>
      </c>
    </row>
    <row r="303" spans="1:7" s="2235" customFormat="1" ht="14.25" customHeight="1">
      <c r="A303" s="2370" t="s">
        <v>304</v>
      </c>
      <c r="B303" s="2370" t="s">
        <v>2840</v>
      </c>
      <c r="C303" s="3099">
        <v>5630</v>
      </c>
      <c r="D303" s="3099">
        <v>5590</v>
      </c>
      <c r="E303" s="3099">
        <v>6550</v>
      </c>
      <c r="F303" s="3099">
        <v>1010</v>
      </c>
      <c r="G303" s="3103">
        <v>3370</v>
      </c>
    </row>
    <row r="304" spans="1:7" s="2235" customFormat="1" ht="14.25" customHeight="1">
      <c r="A304" s="2370" t="s">
        <v>304</v>
      </c>
      <c r="B304" s="2370" t="s">
        <v>2847</v>
      </c>
      <c r="C304" s="3099">
        <v>5680</v>
      </c>
      <c r="D304" s="3099">
        <v>5620</v>
      </c>
      <c r="E304" s="3099">
        <v>6620</v>
      </c>
      <c r="F304" s="3099">
        <v>1050</v>
      </c>
      <c r="G304" s="3103">
        <v>3390</v>
      </c>
    </row>
    <row r="305" spans="1:7" s="2235" customFormat="1" ht="14.25" customHeight="1">
      <c r="A305" s="2370" t="s">
        <v>304</v>
      </c>
      <c r="B305" s="2370" t="s">
        <v>2853</v>
      </c>
      <c r="C305" s="3099">
        <v>5590</v>
      </c>
      <c r="D305" s="3099">
        <v>5530</v>
      </c>
      <c r="E305" s="3099">
        <v>6460</v>
      </c>
      <c r="F305" s="3099">
        <v>900</v>
      </c>
      <c r="G305" s="3103">
        <v>3340</v>
      </c>
    </row>
    <row r="306" spans="1:7" s="2235" customFormat="1" ht="14.25" customHeight="1">
      <c r="A306" s="2370" t="s">
        <v>304</v>
      </c>
      <c r="B306" s="2370" t="s">
        <v>3029</v>
      </c>
      <c r="C306" s="3099">
        <v>5560</v>
      </c>
      <c r="D306" s="3099">
        <v>5510</v>
      </c>
      <c r="E306" s="3099">
        <v>6440</v>
      </c>
      <c r="F306" s="3099">
        <v>900</v>
      </c>
      <c r="G306" s="3103">
        <v>3320</v>
      </c>
    </row>
    <row r="307" spans="1:7" s="2235" customFormat="1" ht="14.25" customHeight="1">
      <c r="A307" s="2370" t="s">
        <v>304</v>
      </c>
      <c r="B307" s="2370" t="s">
        <v>2865</v>
      </c>
      <c r="C307" s="3099">
        <v>5650</v>
      </c>
      <c r="D307" s="3099">
        <v>5600</v>
      </c>
      <c r="E307" s="3099">
        <v>6590</v>
      </c>
      <c r="F307" s="3099">
        <v>930</v>
      </c>
      <c r="G307" s="3103">
        <v>3380</v>
      </c>
    </row>
    <row r="308" spans="1:7" s="2235" customFormat="1" ht="14.25" customHeight="1">
      <c r="A308" s="2370" t="s">
        <v>304</v>
      </c>
      <c r="B308" s="2370" t="s">
        <v>3030</v>
      </c>
      <c r="C308" s="3099">
        <v>5620</v>
      </c>
      <c r="D308" s="3099">
        <v>5580</v>
      </c>
      <c r="E308" s="3099">
        <v>6540</v>
      </c>
      <c r="F308" s="3099">
        <v>910</v>
      </c>
      <c r="G308" s="3103">
        <v>3370</v>
      </c>
    </row>
    <row r="309" spans="1:7" s="2235" customFormat="1" ht="14.25" customHeight="1">
      <c r="A309" s="2370" t="s">
        <v>304</v>
      </c>
      <c r="B309" s="2370" t="s">
        <v>3031</v>
      </c>
      <c r="C309" s="3099">
        <v>5060</v>
      </c>
      <c r="D309" s="3099">
        <v>5020</v>
      </c>
      <c r="E309" s="3099">
        <v>6370</v>
      </c>
      <c r="F309" s="3099">
        <v>800</v>
      </c>
      <c r="G309" s="3103">
        <v>3020</v>
      </c>
    </row>
    <row r="310" spans="1:7" s="2235" customFormat="1" ht="14.25" customHeight="1">
      <c r="A310" s="2370" t="s">
        <v>304</v>
      </c>
      <c r="B310" s="2370" t="s">
        <v>2880</v>
      </c>
      <c r="C310" s="3099">
        <v>5150</v>
      </c>
      <c r="D310" s="3099">
        <v>5110</v>
      </c>
      <c r="E310" s="3099">
        <v>6500</v>
      </c>
      <c r="F310" s="3099">
        <v>880</v>
      </c>
      <c r="G310" s="3103">
        <v>3080</v>
      </c>
    </row>
    <row r="311" spans="1:7" s="2235" customFormat="1" ht="14.25" customHeight="1">
      <c r="A311" s="2370" t="s">
        <v>304</v>
      </c>
      <c r="B311" s="2370" t="s">
        <v>3032</v>
      </c>
      <c r="C311" s="3099">
        <v>4750</v>
      </c>
      <c r="D311" s="3099">
        <v>4710</v>
      </c>
      <c r="E311" s="3099">
        <v>5510</v>
      </c>
      <c r="F311" s="3099">
        <v>880</v>
      </c>
      <c r="G311" s="3103">
        <v>2840</v>
      </c>
    </row>
    <row r="312" spans="1:7" s="2235" customFormat="1" ht="14.25" customHeight="1">
      <c r="A312" s="2370" t="s">
        <v>304</v>
      </c>
      <c r="B312" s="2370" t="s">
        <v>2890</v>
      </c>
      <c r="C312" s="3099">
        <v>4690</v>
      </c>
      <c r="D312" s="3099">
        <v>4640</v>
      </c>
      <c r="E312" s="3099">
        <v>5420</v>
      </c>
      <c r="F312" s="3099">
        <v>800</v>
      </c>
      <c r="G312" s="3103">
        <v>2800</v>
      </c>
    </row>
    <row r="313" spans="1:7" s="2235" customFormat="1" ht="14.25" customHeight="1">
      <c r="A313" s="2370" t="s">
        <v>304</v>
      </c>
      <c r="B313" s="2370" t="s">
        <v>2895</v>
      </c>
      <c r="C313" s="3099">
        <v>4810</v>
      </c>
      <c r="D313" s="3099">
        <v>4760</v>
      </c>
      <c r="E313" s="3099">
        <v>5550</v>
      </c>
      <c r="F313" s="3099">
        <v>920</v>
      </c>
      <c r="G313" s="3103">
        <v>2870</v>
      </c>
    </row>
    <row r="314" spans="1:7" s="2235" customFormat="1" ht="14.25" customHeight="1">
      <c r="A314" s="2370" t="s">
        <v>304</v>
      </c>
      <c r="B314" s="2370" t="s">
        <v>3033</v>
      </c>
      <c r="C314" s="3099"/>
      <c r="D314" s="3099"/>
      <c r="E314" s="3099"/>
      <c r="F314" s="3099">
        <v>1020</v>
      </c>
      <c r="G314" s="3103"/>
    </row>
    <row r="315" spans="1:7" s="2235" customFormat="1" ht="14.25" customHeight="1">
      <c r="A315" s="2370" t="s">
        <v>304</v>
      </c>
      <c r="B315" s="2370" t="s">
        <v>3034</v>
      </c>
      <c r="C315" s="3099"/>
      <c r="D315" s="3099"/>
      <c r="E315" s="3099"/>
      <c r="F315" s="3099">
        <v>1050</v>
      </c>
      <c r="G315" s="3103"/>
    </row>
    <row r="316" spans="1:7" s="2235" customFormat="1" ht="14.25" customHeight="1">
      <c r="A316" s="2370" t="s">
        <v>304</v>
      </c>
      <c r="B316" s="2370" t="s">
        <v>2910</v>
      </c>
      <c r="C316" s="3099"/>
      <c r="D316" s="3099"/>
      <c r="E316" s="3099"/>
      <c r="F316" s="3099">
        <v>900</v>
      </c>
      <c r="G316" s="3103"/>
    </row>
    <row r="317" spans="1:7" s="2235" customFormat="1" ht="14.25" customHeight="1">
      <c r="A317" s="2370" t="s">
        <v>304</v>
      </c>
      <c r="B317" s="2370" t="s">
        <v>3035</v>
      </c>
      <c r="C317" s="3099"/>
      <c r="D317" s="3099"/>
      <c r="E317" s="3099"/>
      <c r="F317" s="3099">
        <v>920</v>
      </c>
      <c r="G317" s="3103"/>
    </row>
    <row r="318" spans="1:7" s="2235" customFormat="1" ht="14.25" customHeight="1">
      <c r="A318" s="2370" t="s">
        <v>304</v>
      </c>
      <c r="B318" s="2370" t="s">
        <v>3036</v>
      </c>
      <c r="C318" s="3099"/>
      <c r="D318" s="3099"/>
      <c r="E318" s="3099"/>
      <c r="F318" s="3099">
        <v>1080</v>
      </c>
      <c r="G318" s="3103"/>
    </row>
    <row r="319" spans="1:7" s="2235" customFormat="1" ht="14.25" customHeight="1">
      <c r="A319" s="2370" t="s">
        <v>304</v>
      </c>
      <c r="B319" s="2370" t="s">
        <v>2923</v>
      </c>
      <c r="C319" s="3099"/>
      <c r="D319" s="3099"/>
      <c r="E319" s="3099"/>
      <c r="F319" s="3099">
        <v>1020</v>
      </c>
      <c r="G319" s="3103"/>
    </row>
    <row r="320" spans="1:7" s="2235" customFormat="1" ht="14.25" customHeight="1">
      <c r="A320" s="2370" t="s">
        <v>304</v>
      </c>
      <c r="B320" s="2370" t="s">
        <v>2926</v>
      </c>
      <c r="C320" s="3099"/>
      <c r="D320" s="3099"/>
      <c r="E320" s="3099"/>
      <c r="F320" s="3099">
        <v>1050</v>
      </c>
      <c r="G320" s="3103"/>
    </row>
    <row r="321" spans="1:7" s="2235" customFormat="1" ht="14.25" customHeight="1">
      <c r="A321" s="2370" t="s">
        <v>304</v>
      </c>
      <c r="B321" s="2370" t="s">
        <v>2928</v>
      </c>
      <c r="C321" s="3099"/>
      <c r="D321" s="3099"/>
      <c r="E321" s="3099"/>
      <c r="F321" s="3099">
        <v>960</v>
      </c>
      <c r="G321" s="3103"/>
    </row>
    <row r="322" spans="1:7" s="2235" customFormat="1" ht="14.25" customHeight="1">
      <c r="A322" s="2370" t="s">
        <v>304</v>
      </c>
      <c r="B322" s="2370" t="s">
        <v>2930</v>
      </c>
      <c r="C322" s="3099"/>
      <c r="D322" s="3099"/>
      <c r="E322" s="3099"/>
      <c r="F322" s="3099">
        <v>960</v>
      </c>
      <c r="G322" s="3103"/>
    </row>
    <row r="323" spans="1:7" s="2235" customFormat="1" ht="14.25" customHeight="1">
      <c r="A323" s="2370" t="s">
        <v>304</v>
      </c>
      <c r="B323" s="2370" t="s">
        <v>2932</v>
      </c>
      <c r="C323" s="3099"/>
      <c r="D323" s="3099"/>
      <c r="E323" s="3099"/>
      <c r="F323" s="3099">
        <v>880</v>
      </c>
      <c r="G323" s="3103"/>
    </row>
    <row r="324" spans="1:7" s="2235" customFormat="1" ht="14.25" customHeight="1">
      <c r="A324" s="2370" t="s">
        <v>304</v>
      </c>
      <c r="B324" s="2370" t="s">
        <v>2934</v>
      </c>
      <c r="C324" s="3099"/>
      <c r="D324" s="3099"/>
      <c r="E324" s="3099"/>
      <c r="F324" s="3099">
        <v>930</v>
      </c>
      <c r="G324" s="3103"/>
    </row>
    <row r="325" spans="1:7" s="2235" customFormat="1" ht="14.25" customHeight="1">
      <c r="A325" s="2370" t="s">
        <v>304</v>
      </c>
      <c r="B325" s="2371" t="s">
        <v>2936</v>
      </c>
      <c r="C325" s="3099"/>
      <c r="D325" s="3099"/>
      <c r="E325" s="3099"/>
      <c r="F325" s="3099">
        <v>900</v>
      </c>
      <c r="G325" s="3103"/>
    </row>
    <row r="326" spans="1:7" s="2235" customFormat="1" ht="14.25" customHeight="1" thickBot="1">
      <c r="A326" s="2382" t="s">
        <v>304</v>
      </c>
      <c r="B326" s="2377" t="s">
        <v>2938</v>
      </c>
      <c r="C326" s="3100"/>
      <c r="D326" s="3100"/>
      <c r="E326" s="3100"/>
      <c r="F326" s="3100">
        <v>790</v>
      </c>
      <c r="G326" s="3104"/>
    </row>
    <row r="327" spans="1:7" s="2235" customFormat="1" ht="14.25" customHeight="1">
      <c r="A327" s="2375" t="s">
        <v>305</v>
      </c>
      <c r="B327" s="2366" t="s">
        <v>3037</v>
      </c>
      <c r="C327" s="3099">
        <v>3750</v>
      </c>
      <c r="D327" s="3099">
        <v>3710</v>
      </c>
      <c r="E327" s="3099">
        <v>4080</v>
      </c>
      <c r="F327" s="3099">
        <v>860</v>
      </c>
      <c r="G327" s="3099">
        <v>2210</v>
      </c>
    </row>
    <row r="328" spans="1:7" s="2235" customFormat="1" ht="14.25" customHeight="1">
      <c r="A328" s="2370" t="s">
        <v>305</v>
      </c>
      <c r="B328" s="2370" t="s">
        <v>134</v>
      </c>
      <c r="C328" s="3099">
        <v>3330</v>
      </c>
      <c r="D328" s="3099">
        <v>3290</v>
      </c>
      <c r="E328" s="3099">
        <v>3610</v>
      </c>
      <c r="F328" s="3099">
        <v>850</v>
      </c>
      <c r="G328" s="3099">
        <v>1960</v>
      </c>
    </row>
    <row r="329" spans="1:7" s="2235" customFormat="1" ht="14.25" customHeight="1">
      <c r="A329" s="2370" t="s">
        <v>305</v>
      </c>
      <c r="B329" s="2370" t="s">
        <v>3038</v>
      </c>
      <c r="C329" s="3099">
        <v>2730</v>
      </c>
      <c r="D329" s="3099">
        <v>2690</v>
      </c>
      <c r="E329" s="3099">
        <v>3100</v>
      </c>
      <c r="F329" s="3099">
        <v>660</v>
      </c>
      <c r="G329" s="3099">
        <v>1610</v>
      </c>
    </row>
    <row r="330" spans="1:7" s="2235" customFormat="1" ht="14.25" customHeight="1">
      <c r="A330" s="2370" t="s">
        <v>305</v>
      </c>
      <c r="B330" s="2370" t="s">
        <v>3039</v>
      </c>
      <c r="C330" s="3099">
        <v>3270</v>
      </c>
      <c r="D330" s="3099">
        <v>3240</v>
      </c>
      <c r="E330" s="3099">
        <v>3560</v>
      </c>
      <c r="F330" s="3099">
        <v>680</v>
      </c>
      <c r="G330" s="3099">
        <v>1940</v>
      </c>
    </row>
    <row r="331" spans="1:7" s="2235" customFormat="1" ht="14.25" customHeight="1">
      <c r="A331" s="2370" t="s">
        <v>305</v>
      </c>
      <c r="B331" s="2370" t="s">
        <v>159</v>
      </c>
      <c r="C331" s="3099">
        <v>3770</v>
      </c>
      <c r="D331" s="3099">
        <v>3740</v>
      </c>
      <c r="E331" s="3099">
        <v>4110</v>
      </c>
      <c r="F331" s="3099">
        <v>730</v>
      </c>
      <c r="G331" s="3099">
        <v>2230</v>
      </c>
    </row>
    <row r="332" spans="1:7" s="2235" customFormat="1" ht="14.25" customHeight="1">
      <c r="A332" s="2370" t="s">
        <v>305</v>
      </c>
      <c r="B332" s="2370" t="s">
        <v>2772</v>
      </c>
      <c r="C332" s="3099">
        <v>3520</v>
      </c>
      <c r="D332" s="3099">
        <v>3480</v>
      </c>
      <c r="E332" s="3099">
        <v>3830</v>
      </c>
      <c r="F332" s="3099">
        <v>720</v>
      </c>
      <c r="G332" s="3099">
        <v>2090</v>
      </c>
    </row>
    <row r="333" spans="1:7" s="2235" customFormat="1" ht="14.25" customHeight="1">
      <c r="A333" s="2370" t="s">
        <v>305</v>
      </c>
      <c r="B333" s="2370" t="s">
        <v>3040</v>
      </c>
      <c r="C333" s="3099">
        <v>3840</v>
      </c>
      <c r="D333" s="3099">
        <v>3800</v>
      </c>
      <c r="E333" s="3099">
        <v>4200</v>
      </c>
      <c r="F333" s="3099">
        <v>760</v>
      </c>
      <c r="G333" s="3099">
        <v>2270</v>
      </c>
    </row>
    <row r="334" spans="1:7" s="2235" customFormat="1" ht="14.25" customHeight="1">
      <c r="A334" s="2370" t="s">
        <v>305</v>
      </c>
      <c r="B334" s="2370" t="s">
        <v>181</v>
      </c>
      <c r="C334" s="3099">
        <v>3960</v>
      </c>
      <c r="D334" s="3099">
        <v>3910</v>
      </c>
      <c r="E334" s="3099">
        <v>4340</v>
      </c>
      <c r="F334" s="3099">
        <v>780</v>
      </c>
      <c r="G334" s="3099">
        <v>2340</v>
      </c>
    </row>
    <row r="335" spans="1:7" s="2235" customFormat="1" ht="14.25" customHeight="1">
      <c r="A335" s="2370" t="s">
        <v>305</v>
      </c>
      <c r="B335" s="2370" t="s">
        <v>191</v>
      </c>
      <c r="C335" s="3099">
        <v>3710</v>
      </c>
      <c r="D335" s="3099">
        <v>3670</v>
      </c>
      <c r="E335" s="3099">
        <v>4030</v>
      </c>
      <c r="F335" s="3099">
        <v>750</v>
      </c>
      <c r="G335" s="3099">
        <v>2200</v>
      </c>
    </row>
    <row r="336" spans="1:7" s="2235" customFormat="1" ht="14.25" customHeight="1">
      <c r="A336" s="2370" t="s">
        <v>305</v>
      </c>
      <c r="B336" s="2370" t="s">
        <v>2782</v>
      </c>
      <c r="C336" s="3099">
        <v>3570</v>
      </c>
      <c r="D336" s="3099">
        <v>3530</v>
      </c>
      <c r="E336" s="3099">
        <v>3880</v>
      </c>
      <c r="F336" s="3099">
        <v>770</v>
      </c>
      <c r="G336" s="3099">
        <v>2110</v>
      </c>
    </row>
    <row r="337" spans="1:10" s="2235" customFormat="1" ht="14.25" customHeight="1">
      <c r="A337" s="2370" t="s">
        <v>305</v>
      </c>
      <c r="B337" s="2370" t="s">
        <v>3041</v>
      </c>
      <c r="C337" s="3099">
        <v>3780</v>
      </c>
      <c r="D337" s="3099">
        <v>3750</v>
      </c>
      <c r="E337" s="3099">
        <v>4130</v>
      </c>
      <c r="F337" s="3099">
        <v>750</v>
      </c>
      <c r="G337" s="3099">
        <v>2240</v>
      </c>
    </row>
    <row r="338" spans="1:10" s="2235" customFormat="1" ht="14.25" customHeight="1">
      <c r="A338" s="2370" t="s">
        <v>305</v>
      </c>
      <c r="B338" s="2370" t="s">
        <v>218</v>
      </c>
      <c r="C338" s="3099">
        <v>3600</v>
      </c>
      <c r="D338" s="3099">
        <v>3570</v>
      </c>
      <c r="E338" s="3099">
        <v>3920</v>
      </c>
      <c r="F338" s="3099">
        <v>790</v>
      </c>
      <c r="G338" s="3099">
        <v>2140</v>
      </c>
    </row>
    <row r="339" spans="1:10" s="2235" customFormat="1" ht="14.25" customHeight="1">
      <c r="A339" s="2370" t="s">
        <v>305</v>
      </c>
      <c r="B339" s="2370" t="s">
        <v>226</v>
      </c>
      <c r="C339" s="3099">
        <v>3540</v>
      </c>
      <c r="D339" s="3099">
        <v>3500</v>
      </c>
      <c r="E339" s="3099">
        <v>3850</v>
      </c>
      <c r="F339" s="3099">
        <v>780</v>
      </c>
      <c r="G339" s="3099">
        <v>2100</v>
      </c>
    </row>
    <row r="340" spans="1:10" s="2235" customFormat="1" ht="14.25" customHeight="1">
      <c r="A340" s="2370" t="s">
        <v>305</v>
      </c>
      <c r="B340" s="2370" t="s">
        <v>3042</v>
      </c>
      <c r="C340" s="3099">
        <v>3850</v>
      </c>
      <c r="D340" s="3099">
        <v>3810</v>
      </c>
      <c r="E340" s="3099">
        <v>4210</v>
      </c>
      <c r="F340" s="3099">
        <v>750</v>
      </c>
      <c r="G340" s="3099">
        <v>2280</v>
      </c>
    </row>
    <row r="341" spans="1:10" s="2235" customFormat="1" ht="14.25" customHeight="1">
      <c r="A341" s="2370" t="s">
        <v>305</v>
      </c>
      <c r="B341" s="2370" t="s">
        <v>205</v>
      </c>
      <c r="C341" s="3099">
        <v>3780</v>
      </c>
      <c r="D341" s="3099">
        <v>3750</v>
      </c>
      <c r="E341" s="3099">
        <v>4140</v>
      </c>
      <c r="F341" s="3099">
        <v>720</v>
      </c>
      <c r="G341" s="3099">
        <v>2240</v>
      </c>
    </row>
    <row r="342" spans="1:10" s="2235" customFormat="1" ht="14.25" customHeight="1">
      <c r="A342" s="2370" t="s">
        <v>305</v>
      </c>
      <c r="B342" s="2370" t="s">
        <v>3043</v>
      </c>
      <c r="C342" s="3099">
        <v>3670</v>
      </c>
      <c r="D342" s="3099">
        <v>3620</v>
      </c>
      <c r="E342" s="3099">
        <v>3990</v>
      </c>
      <c r="F342" s="3099">
        <v>760</v>
      </c>
      <c r="G342" s="3099">
        <v>2170</v>
      </c>
    </row>
    <row r="343" spans="1:10" s="2235" customFormat="1" ht="14.25" customHeight="1">
      <c r="A343" s="2370" t="s">
        <v>305</v>
      </c>
      <c r="B343" s="2370" t="s">
        <v>255</v>
      </c>
      <c r="C343" s="3099">
        <v>3760</v>
      </c>
      <c r="D343" s="3099">
        <v>3720</v>
      </c>
      <c r="E343" s="3099">
        <v>4090</v>
      </c>
      <c r="F343" s="3099">
        <v>780</v>
      </c>
      <c r="G343" s="3099">
        <v>2220</v>
      </c>
    </row>
    <row r="344" spans="1:10" s="2235" customFormat="1" ht="14.25" customHeight="1">
      <c r="A344" s="2370" t="s">
        <v>305</v>
      </c>
      <c r="B344" s="2370" t="s">
        <v>263</v>
      </c>
      <c r="C344" s="3099">
        <v>3680</v>
      </c>
      <c r="D344" s="3099">
        <v>3640</v>
      </c>
      <c r="E344" s="3099">
        <v>4010</v>
      </c>
      <c r="F344" s="3099">
        <v>750</v>
      </c>
      <c r="G344" s="3099">
        <v>2180</v>
      </c>
    </row>
    <row r="345" spans="1:10">
      <c r="A345" s="2370" t="s">
        <v>305</v>
      </c>
      <c r="B345" s="2370" t="s">
        <v>2807</v>
      </c>
      <c r="C345" s="3099">
        <v>3190</v>
      </c>
      <c r="D345" s="3099">
        <v>3140</v>
      </c>
      <c r="E345" s="3099">
        <v>3450</v>
      </c>
      <c r="F345" s="3099">
        <v>720</v>
      </c>
      <c r="G345" s="3099">
        <v>1880</v>
      </c>
      <c r="J345" s="2235"/>
    </row>
    <row r="346" spans="1:10">
      <c r="A346" s="2370" t="s">
        <v>305</v>
      </c>
      <c r="B346" s="2370" t="s">
        <v>3044</v>
      </c>
      <c r="C346" s="3099">
        <v>3630</v>
      </c>
      <c r="D346" s="3099">
        <v>3590</v>
      </c>
      <c r="E346" s="3099">
        <v>3940</v>
      </c>
      <c r="F346" s="3099">
        <v>730</v>
      </c>
      <c r="G346" s="3099">
        <v>2150</v>
      </c>
      <c r="J346" s="2235"/>
    </row>
    <row r="347" spans="1:10">
      <c r="A347" s="2370" t="s">
        <v>305</v>
      </c>
      <c r="B347" s="2370" t="s">
        <v>241</v>
      </c>
      <c r="C347" s="3099">
        <v>3860</v>
      </c>
      <c r="D347" s="3099">
        <v>3820</v>
      </c>
      <c r="E347" s="3099">
        <v>4220</v>
      </c>
      <c r="F347" s="3099">
        <v>750</v>
      </c>
      <c r="G347" s="3099">
        <v>2280</v>
      </c>
      <c r="J347" s="2235"/>
    </row>
    <row r="348" spans="1:10">
      <c r="A348" s="2370" t="s">
        <v>305</v>
      </c>
      <c r="B348" s="2370" t="s">
        <v>2816</v>
      </c>
      <c r="C348" s="3099">
        <v>4000</v>
      </c>
      <c r="D348" s="3099">
        <v>3950</v>
      </c>
      <c r="E348" s="3099">
        <v>4430</v>
      </c>
      <c r="F348" s="3099">
        <v>760</v>
      </c>
      <c r="G348" s="3099">
        <v>2360</v>
      </c>
      <c r="J348" s="2235"/>
    </row>
    <row r="349" spans="1:10">
      <c r="A349" s="2370" t="s">
        <v>305</v>
      </c>
      <c r="B349" s="2370" t="s">
        <v>2821</v>
      </c>
      <c r="C349" s="3099">
        <v>3820</v>
      </c>
      <c r="D349" s="3099">
        <v>3780</v>
      </c>
      <c r="E349" s="3099">
        <v>4170</v>
      </c>
      <c r="F349" s="3099">
        <v>710</v>
      </c>
      <c r="G349" s="3099">
        <v>2260</v>
      </c>
      <c r="J349" s="2235"/>
    </row>
    <row r="350" spans="1:10">
      <c r="A350" s="2370" t="s">
        <v>305</v>
      </c>
      <c r="B350" s="2370" t="s">
        <v>3045</v>
      </c>
      <c r="C350" s="3099">
        <v>3760</v>
      </c>
      <c r="D350" s="3099">
        <v>3730</v>
      </c>
      <c r="E350" s="3099">
        <v>4100</v>
      </c>
      <c r="F350" s="3099">
        <v>800</v>
      </c>
      <c r="G350" s="3099">
        <v>2230</v>
      </c>
      <c r="J350" s="2235"/>
    </row>
    <row r="351" spans="1:10">
      <c r="A351" s="2370" t="s">
        <v>305</v>
      </c>
      <c r="B351" s="2370" t="s">
        <v>2829</v>
      </c>
      <c r="C351" s="3099">
        <v>3610</v>
      </c>
      <c r="D351" s="3099">
        <v>3580</v>
      </c>
      <c r="E351" s="3099">
        <v>3930</v>
      </c>
      <c r="F351" s="3099">
        <v>700</v>
      </c>
      <c r="G351" s="3099">
        <v>2140</v>
      </c>
      <c r="J351" s="2235"/>
    </row>
    <row r="352" spans="1:10">
      <c r="A352" s="2370" t="s">
        <v>305</v>
      </c>
      <c r="B352" s="2370" t="s">
        <v>2834</v>
      </c>
      <c r="C352" s="3099">
        <v>3670</v>
      </c>
      <c r="D352" s="3099">
        <v>3630</v>
      </c>
      <c r="E352" s="3099">
        <v>4000</v>
      </c>
      <c r="F352" s="3099">
        <v>750</v>
      </c>
      <c r="G352" s="3099">
        <v>2180</v>
      </c>
    </row>
    <row r="353" spans="1:7" s="2236" customFormat="1">
      <c r="A353" s="2370" t="s">
        <v>305</v>
      </c>
      <c r="B353" s="2370" t="s">
        <v>3046</v>
      </c>
      <c r="C353" s="3099">
        <v>3190</v>
      </c>
      <c r="D353" s="3099">
        <v>3150</v>
      </c>
      <c r="E353" s="3099">
        <v>3640</v>
      </c>
      <c r="F353" s="3099">
        <v>630</v>
      </c>
      <c r="G353" s="3099">
        <v>1890</v>
      </c>
    </row>
    <row r="354" spans="1:7" s="2236" customFormat="1">
      <c r="A354" s="2370" t="s">
        <v>305</v>
      </c>
      <c r="B354" s="2370" t="s">
        <v>278</v>
      </c>
      <c r="C354" s="3099">
        <v>3450</v>
      </c>
      <c r="D354" s="3099">
        <v>3420</v>
      </c>
      <c r="E354" s="3099">
        <v>3960</v>
      </c>
      <c r="F354" s="3099">
        <v>660</v>
      </c>
      <c r="G354" s="3099">
        <v>2050</v>
      </c>
    </row>
    <row r="355" spans="1:7" s="2236" customFormat="1">
      <c r="A355" s="2370" t="s">
        <v>305</v>
      </c>
      <c r="B355" s="2370" t="s">
        <v>2854</v>
      </c>
      <c r="C355" s="3099">
        <v>3650</v>
      </c>
      <c r="D355" s="3099">
        <v>3610</v>
      </c>
      <c r="E355" s="3099">
        <v>4200</v>
      </c>
      <c r="F355" s="3099">
        <v>640</v>
      </c>
      <c r="G355" s="3099">
        <v>2160</v>
      </c>
    </row>
    <row r="356" spans="1:7" s="2236" customFormat="1">
      <c r="A356" s="2370" t="s">
        <v>305</v>
      </c>
      <c r="B356" s="2370" t="s">
        <v>2861</v>
      </c>
      <c r="C356" s="3099">
        <v>3260</v>
      </c>
      <c r="D356" s="3099">
        <v>3230</v>
      </c>
      <c r="E356" s="3099">
        <v>3740</v>
      </c>
      <c r="F356" s="3099">
        <v>600</v>
      </c>
      <c r="G356" s="3099">
        <v>1930</v>
      </c>
    </row>
    <row r="357" spans="1:7" s="2236" customFormat="1" ht="12" thickBot="1">
      <c r="A357" s="2378" t="s">
        <v>305</v>
      </c>
      <c r="B357" s="2381" t="s">
        <v>3047</v>
      </c>
      <c r="C357" s="3101">
        <v>3690</v>
      </c>
      <c r="D357" s="3101">
        <v>3650</v>
      </c>
      <c r="E357" s="3101">
        <v>4020</v>
      </c>
      <c r="F357" s="3101">
        <v>700</v>
      </c>
      <c r="G357" s="3101">
        <v>2190</v>
      </c>
    </row>
    <row r="358" spans="1:7" s="2236" customFormat="1">
      <c r="A358" s="2375" t="s">
        <v>3048</v>
      </c>
      <c r="B358" s="2366" t="s">
        <v>3049</v>
      </c>
      <c r="C358" s="3098">
        <v>2080</v>
      </c>
      <c r="D358" s="3098">
        <v>2040</v>
      </c>
      <c r="E358" s="3098">
        <v>2010</v>
      </c>
      <c r="F358" s="3098">
        <v>530</v>
      </c>
      <c r="G358" s="3102">
        <v>1230</v>
      </c>
    </row>
    <row r="359" spans="1:7" s="2236" customFormat="1">
      <c r="A359" s="2370" t="s">
        <v>3048</v>
      </c>
      <c r="B359" s="2370" t="s">
        <v>3050</v>
      </c>
      <c r="C359" s="3099">
        <v>1850</v>
      </c>
      <c r="D359" s="3099">
        <v>1820</v>
      </c>
      <c r="E359" s="3099">
        <v>1780</v>
      </c>
      <c r="F359" s="3099">
        <v>520</v>
      </c>
      <c r="G359" s="3103">
        <v>1100</v>
      </c>
    </row>
    <row r="360" spans="1:7" s="2236" customFormat="1">
      <c r="A360" s="2370" t="s">
        <v>3048</v>
      </c>
      <c r="B360" s="2370" t="s">
        <v>3051</v>
      </c>
      <c r="C360" s="3099">
        <v>2020</v>
      </c>
      <c r="D360" s="3099">
        <v>1990</v>
      </c>
      <c r="E360" s="3099">
        <v>1950</v>
      </c>
      <c r="F360" s="3099">
        <v>500</v>
      </c>
      <c r="G360" s="3103">
        <v>1200</v>
      </c>
    </row>
    <row r="361" spans="1:7" s="2236" customFormat="1">
      <c r="A361" s="2370" t="s">
        <v>3048</v>
      </c>
      <c r="B361" s="2370" t="s">
        <v>151</v>
      </c>
      <c r="C361" s="3099">
        <v>2260</v>
      </c>
      <c r="D361" s="3099">
        <v>2220</v>
      </c>
      <c r="E361" s="3099">
        <v>2180</v>
      </c>
      <c r="F361" s="3099">
        <v>580</v>
      </c>
      <c r="G361" s="3103">
        <v>1340</v>
      </c>
    </row>
    <row r="362" spans="1:7" s="2236" customFormat="1">
      <c r="A362" s="2370" t="s">
        <v>3048</v>
      </c>
      <c r="B362" s="2370" t="s">
        <v>3052</v>
      </c>
      <c r="C362" s="3099">
        <v>2650</v>
      </c>
      <c r="D362" s="3099">
        <v>2610</v>
      </c>
      <c r="E362" s="3099">
        <v>2570</v>
      </c>
      <c r="F362" s="3099">
        <v>630</v>
      </c>
      <c r="G362" s="3103">
        <v>1570</v>
      </c>
    </row>
    <row r="363" spans="1:7" s="2236" customFormat="1">
      <c r="A363" s="2370" t="s">
        <v>3048</v>
      </c>
      <c r="B363" s="2370" t="s">
        <v>2773</v>
      </c>
      <c r="C363" s="3099">
        <v>2390</v>
      </c>
      <c r="D363" s="3099">
        <v>2360</v>
      </c>
      <c r="E363" s="3099">
        <v>2320</v>
      </c>
      <c r="F363" s="3099">
        <v>600</v>
      </c>
      <c r="G363" s="3103">
        <v>1420</v>
      </c>
    </row>
    <row r="364" spans="1:7" s="2236" customFormat="1">
      <c r="A364" s="2370" t="s">
        <v>3048</v>
      </c>
      <c r="B364" s="2370" t="s">
        <v>3053</v>
      </c>
      <c r="C364" s="3099">
        <v>2050</v>
      </c>
      <c r="D364" s="3099">
        <v>2030</v>
      </c>
      <c r="E364" s="3099">
        <v>1990</v>
      </c>
      <c r="F364" s="3099">
        <v>550</v>
      </c>
      <c r="G364" s="3103">
        <v>1220</v>
      </c>
    </row>
    <row r="365" spans="1:7" s="2236" customFormat="1">
      <c r="A365" s="2370" t="s">
        <v>3048</v>
      </c>
      <c r="B365" s="2370" t="s">
        <v>198</v>
      </c>
      <c r="C365" s="3099">
        <v>2140</v>
      </c>
      <c r="D365" s="3099">
        <v>2100</v>
      </c>
      <c r="E365" s="3099">
        <v>2060</v>
      </c>
      <c r="F365" s="3099">
        <v>540</v>
      </c>
      <c r="G365" s="3103">
        <v>1270</v>
      </c>
    </row>
    <row r="366" spans="1:7" s="2236" customFormat="1">
      <c r="A366" s="2370" t="s">
        <v>3048</v>
      </c>
      <c r="B366" s="2370" t="s">
        <v>2780</v>
      </c>
      <c r="C366" s="3099">
        <v>2410</v>
      </c>
      <c r="D366" s="3099">
        <v>2370</v>
      </c>
      <c r="E366" s="3099">
        <v>2330</v>
      </c>
      <c r="F366" s="3099">
        <v>570</v>
      </c>
      <c r="G366" s="3103">
        <v>1440</v>
      </c>
    </row>
    <row r="367" spans="1:7" s="2236" customFormat="1">
      <c r="A367" s="2370" t="s">
        <v>3048</v>
      </c>
      <c r="B367" s="2370" t="s">
        <v>3054</v>
      </c>
      <c r="C367" s="3099">
        <v>2300</v>
      </c>
      <c r="D367" s="3099">
        <v>2260</v>
      </c>
      <c r="E367" s="3099">
        <v>2220</v>
      </c>
      <c r="F367" s="3099">
        <v>560</v>
      </c>
      <c r="G367" s="3103">
        <v>1370</v>
      </c>
    </row>
    <row r="368" spans="1:7" s="2236" customFormat="1">
      <c r="A368" s="2370" t="s">
        <v>3048</v>
      </c>
      <c r="B368" s="2370" t="s">
        <v>3055</v>
      </c>
      <c r="C368" s="3099">
        <v>2430</v>
      </c>
      <c r="D368" s="3099">
        <v>2390</v>
      </c>
      <c r="E368" s="3099">
        <v>2350</v>
      </c>
      <c r="F368" s="3099">
        <v>570</v>
      </c>
      <c r="G368" s="3103">
        <v>1450</v>
      </c>
    </row>
    <row r="369" spans="1:7" s="2236" customFormat="1">
      <c r="A369" s="2370" t="s">
        <v>3048</v>
      </c>
      <c r="B369" s="2370" t="s">
        <v>212</v>
      </c>
      <c r="C369" s="3099">
        <v>2320</v>
      </c>
      <c r="D369" s="3099">
        <v>2290</v>
      </c>
      <c r="E369" s="3099">
        <v>2250</v>
      </c>
      <c r="F369" s="3099">
        <v>550</v>
      </c>
      <c r="G369" s="3103">
        <v>1380</v>
      </c>
    </row>
    <row r="370" spans="1:7" s="2236" customFormat="1">
      <c r="A370" s="2370" t="s">
        <v>3048</v>
      </c>
      <c r="B370" s="2370" t="s">
        <v>219</v>
      </c>
      <c r="C370" s="3099">
        <v>2190</v>
      </c>
      <c r="D370" s="3099">
        <v>2170</v>
      </c>
      <c r="E370" s="3099">
        <v>2130</v>
      </c>
      <c r="F370" s="3099">
        <v>530</v>
      </c>
      <c r="G370" s="3103">
        <v>1310</v>
      </c>
    </row>
    <row r="371" spans="1:7" s="2236" customFormat="1">
      <c r="A371" s="2370" t="s">
        <v>3048</v>
      </c>
      <c r="B371" s="2370" t="s">
        <v>227</v>
      </c>
      <c r="C371" s="3099">
        <v>2460</v>
      </c>
      <c r="D371" s="3099">
        <v>2420</v>
      </c>
      <c r="E371" s="3099">
        <v>2370</v>
      </c>
      <c r="F371" s="3099">
        <v>560</v>
      </c>
      <c r="G371" s="3103">
        <v>1470</v>
      </c>
    </row>
    <row r="372" spans="1:7" s="2236" customFormat="1">
      <c r="A372" s="2370" t="s">
        <v>3048</v>
      </c>
      <c r="B372" s="2370" t="s">
        <v>3056</v>
      </c>
      <c r="C372" s="3099">
        <v>2250</v>
      </c>
      <c r="D372" s="3099">
        <v>2210</v>
      </c>
      <c r="E372" s="3099">
        <v>2180</v>
      </c>
      <c r="F372" s="3099">
        <v>550</v>
      </c>
      <c r="G372" s="3103">
        <v>1340</v>
      </c>
    </row>
    <row r="373" spans="1:7" s="2236" customFormat="1">
      <c r="A373" s="2370" t="s">
        <v>3048</v>
      </c>
      <c r="B373" s="2370" t="s">
        <v>256</v>
      </c>
      <c r="C373" s="3099">
        <v>2210</v>
      </c>
      <c r="D373" s="3099">
        <v>2190</v>
      </c>
      <c r="E373" s="3099">
        <v>2150</v>
      </c>
      <c r="F373" s="3099">
        <v>530</v>
      </c>
      <c r="G373" s="3103">
        <v>1320</v>
      </c>
    </row>
    <row r="374" spans="1:7" s="2236" customFormat="1">
      <c r="A374" s="2370" t="s">
        <v>3048</v>
      </c>
      <c r="B374" s="2370" t="s">
        <v>264</v>
      </c>
      <c r="C374" s="3099">
        <v>2320</v>
      </c>
      <c r="D374" s="3099">
        <v>2280</v>
      </c>
      <c r="E374" s="3099">
        <v>2230</v>
      </c>
      <c r="F374" s="3099">
        <v>580</v>
      </c>
      <c r="G374" s="3103">
        <v>1380</v>
      </c>
    </row>
    <row r="375" spans="1:7" s="2236" customFormat="1">
      <c r="A375" s="2370" t="s">
        <v>3048</v>
      </c>
      <c r="B375" s="2370" t="s">
        <v>3057</v>
      </c>
      <c r="C375" s="3099">
        <v>2090</v>
      </c>
      <c r="D375" s="3099">
        <v>2050</v>
      </c>
      <c r="E375" s="3099">
        <v>2020</v>
      </c>
      <c r="F375" s="3099">
        <v>520</v>
      </c>
      <c r="G375" s="3103">
        <v>1240</v>
      </c>
    </row>
    <row r="376" spans="1:7" s="2236" customFormat="1">
      <c r="A376" s="2370" t="s">
        <v>3048</v>
      </c>
      <c r="B376" s="2370" t="s">
        <v>275</v>
      </c>
      <c r="C376" s="3099">
        <v>2010</v>
      </c>
      <c r="D376" s="3099">
        <v>1980</v>
      </c>
      <c r="E376" s="3099">
        <v>1940</v>
      </c>
      <c r="F376" s="3099">
        <v>540</v>
      </c>
      <c r="G376" s="3103">
        <v>1190</v>
      </c>
    </row>
    <row r="377" spans="1:7" s="2236" customFormat="1" ht="12" thickBot="1">
      <c r="A377" s="2378" t="s">
        <v>3048</v>
      </c>
      <c r="B377" s="2381" t="s">
        <v>2810</v>
      </c>
      <c r="C377" s="3101">
        <v>1930</v>
      </c>
      <c r="D377" s="3101">
        <v>1890</v>
      </c>
      <c r="E377" s="3101">
        <v>1860</v>
      </c>
      <c r="F377" s="3101">
        <v>530</v>
      </c>
      <c r="G377" s="3105">
        <v>1150</v>
      </c>
    </row>
    <row r="378" spans="1:7" s="2236" customFormat="1">
      <c r="A378" s="2383" t="s">
        <v>3058</v>
      </c>
      <c r="B378" s="2366" t="s">
        <v>3059</v>
      </c>
      <c r="C378" s="3098">
        <v>1520</v>
      </c>
      <c r="D378" s="3098">
        <v>1490</v>
      </c>
      <c r="E378" s="3098">
        <v>1460</v>
      </c>
      <c r="F378" s="3098">
        <v>460</v>
      </c>
      <c r="G378" s="3102">
        <v>940</v>
      </c>
    </row>
    <row r="379" spans="1:7" s="2236" customFormat="1">
      <c r="A379" s="2384" t="s">
        <v>3058</v>
      </c>
      <c r="B379" s="2370" t="s">
        <v>3060</v>
      </c>
      <c r="C379" s="3099">
        <v>1500</v>
      </c>
      <c r="D379" s="3099">
        <v>1470</v>
      </c>
      <c r="E379" s="3099">
        <v>1430</v>
      </c>
      <c r="F379" s="3099">
        <v>460</v>
      </c>
      <c r="G379" s="3103">
        <v>920</v>
      </c>
    </row>
    <row r="380" spans="1:7" s="2236" customFormat="1">
      <c r="A380" s="2384" t="s">
        <v>3058</v>
      </c>
      <c r="B380" s="2370" t="s">
        <v>3061</v>
      </c>
      <c r="C380" s="3099">
        <v>1620</v>
      </c>
      <c r="D380" s="3099">
        <v>1590</v>
      </c>
      <c r="E380" s="3099">
        <v>1560</v>
      </c>
      <c r="F380" s="3099">
        <v>480</v>
      </c>
      <c r="G380" s="3103">
        <v>1000</v>
      </c>
    </row>
    <row r="381" spans="1:7" s="2236" customFormat="1">
      <c r="A381" s="2384" t="s">
        <v>3058</v>
      </c>
      <c r="B381" s="2370" t="s">
        <v>3062</v>
      </c>
      <c r="C381" s="3099">
        <v>1460</v>
      </c>
      <c r="D381" s="3099">
        <v>1430</v>
      </c>
      <c r="E381" s="3099">
        <v>1390</v>
      </c>
      <c r="F381" s="3099">
        <v>450</v>
      </c>
      <c r="G381" s="3103">
        <v>900</v>
      </c>
    </row>
    <row r="382" spans="1:7" s="2236" customFormat="1">
      <c r="A382" s="2384" t="s">
        <v>3058</v>
      </c>
      <c r="B382" s="2370" t="s">
        <v>3063</v>
      </c>
      <c r="C382" s="3099">
        <v>1310</v>
      </c>
      <c r="D382" s="3099">
        <v>1280</v>
      </c>
      <c r="E382" s="3099">
        <v>1250</v>
      </c>
      <c r="F382" s="3099">
        <v>440</v>
      </c>
      <c r="G382" s="3103">
        <v>800</v>
      </c>
    </row>
    <row r="383" spans="1:7" s="2236" customFormat="1">
      <c r="A383" s="2384" t="s">
        <v>3058</v>
      </c>
      <c r="B383" s="2370" t="s">
        <v>3064</v>
      </c>
      <c r="C383" s="3099">
        <v>1260</v>
      </c>
      <c r="D383" s="3099">
        <v>1230</v>
      </c>
      <c r="E383" s="3099">
        <v>1200</v>
      </c>
      <c r="F383" s="3099">
        <v>420</v>
      </c>
      <c r="G383" s="3103">
        <v>770</v>
      </c>
    </row>
    <row r="384" spans="1:7" s="2236" customFormat="1" ht="12" thickBot="1">
      <c r="A384" s="2385" t="s">
        <v>3058</v>
      </c>
      <c r="B384" s="2377" t="s">
        <v>3065</v>
      </c>
      <c r="C384" s="3100">
        <v>1170</v>
      </c>
      <c r="D384" s="3100">
        <v>1140</v>
      </c>
      <c r="E384" s="3100">
        <v>1120</v>
      </c>
      <c r="F384" s="3100">
        <v>400</v>
      </c>
      <c r="G384" s="3104">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3.5"/>
  <cols>
    <col min="1" max="1" width="4.875" style="855" customWidth="1"/>
    <col min="2" max="2" width="13.25" style="857" customWidth="1"/>
    <col min="3" max="3" width="15.625" style="857" customWidth="1"/>
    <col min="4" max="4" width="9.375" style="857" bestFit="1" customWidth="1"/>
    <col min="5" max="5" width="13.5" style="857" customWidth="1"/>
    <col min="6" max="6" width="9" style="857"/>
    <col min="7" max="7" width="9.375" style="857" bestFit="1" customWidth="1"/>
    <col min="8" max="8" width="12.25" style="857" customWidth="1"/>
    <col min="9" max="9" width="9" style="857"/>
    <col min="10" max="10" width="9.375" style="857" bestFit="1" customWidth="1"/>
    <col min="11" max="11" width="4" style="855" customWidth="1"/>
    <col min="12" max="12" width="5.125" style="857" customWidth="1"/>
    <col min="13" max="13" width="13.75" style="857" customWidth="1"/>
    <col min="14" max="256" width="9" style="857"/>
    <col min="257" max="257" width="4.875" style="852" customWidth="1"/>
    <col min="258" max="258" width="13.25" style="852" customWidth="1"/>
    <col min="259" max="259" width="15.625" style="852" customWidth="1"/>
    <col min="260" max="260" width="9.375" style="852" bestFit="1" customWidth="1"/>
    <col min="261" max="261" width="13.5" style="852" customWidth="1"/>
    <col min="262" max="262" width="9" style="852"/>
    <col min="263" max="263" width="9.375" style="852" bestFit="1" customWidth="1"/>
    <col min="264" max="265" width="9" style="852"/>
    <col min="266" max="266" width="9.375" style="852" bestFit="1" customWidth="1"/>
    <col min="267" max="267" width="4" style="852" customWidth="1"/>
    <col min="268" max="268" width="5.125" style="852" customWidth="1"/>
    <col min="269" max="269" width="13.75" style="852" customWidth="1"/>
    <col min="270" max="512" width="9" style="852"/>
    <col min="513" max="513" width="4.875" style="852" customWidth="1"/>
    <col min="514" max="514" width="13.25" style="852" customWidth="1"/>
    <col min="515" max="515" width="15.625" style="852" customWidth="1"/>
    <col min="516" max="516" width="9.375" style="852" bestFit="1" customWidth="1"/>
    <col min="517" max="517" width="13.5" style="852" customWidth="1"/>
    <col min="518" max="518" width="9" style="852"/>
    <col min="519" max="519" width="9.375" style="852" bestFit="1" customWidth="1"/>
    <col min="520" max="521" width="9" style="852"/>
    <col min="522" max="522" width="9.375" style="852" bestFit="1" customWidth="1"/>
    <col min="523" max="523" width="4" style="852" customWidth="1"/>
    <col min="524" max="524" width="5.125" style="852" customWidth="1"/>
    <col min="525" max="525" width="13.75" style="852" customWidth="1"/>
    <col min="526" max="768" width="9" style="852"/>
    <col min="769" max="769" width="4.875" style="852" customWidth="1"/>
    <col min="770" max="770" width="13.25" style="852" customWidth="1"/>
    <col min="771" max="771" width="15.625" style="852" customWidth="1"/>
    <col min="772" max="772" width="9.375" style="852" bestFit="1" customWidth="1"/>
    <col min="773" max="773" width="13.5" style="852" customWidth="1"/>
    <col min="774" max="774" width="9" style="852"/>
    <col min="775" max="775" width="9.375" style="852" bestFit="1" customWidth="1"/>
    <col min="776" max="777" width="9" style="852"/>
    <col min="778" max="778" width="9.375" style="852" bestFit="1" customWidth="1"/>
    <col min="779" max="779" width="4" style="852" customWidth="1"/>
    <col min="780" max="780" width="5.125" style="852" customWidth="1"/>
    <col min="781" max="781" width="13.75" style="852" customWidth="1"/>
    <col min="782" max="1024" width="9" style="852"/>
    <col min="1025" max="1025" width="4.875" style="852" customWidth="1"/>
    <col min="1026" max="1026" width="13.25" style="852" customWidth="1"/>
    <col min="1027" max="1027" width="15.625" style="852" customWidth="1"/>
    <col min="1028" max="1028" width="9.375" style="852" bestFit="1" customWidth="1"/>
    <col min="1029" max="1029" width="13.5" style="852" customWidth="1"/>
    <col min="1030" max="1030" width="9" style="852"/>
    <col min="1031" max="1031" width="9.375" style="852" bestFit="1" customWidth="1"/>
    <col min="1032" max="1033" width="9" style="852"/>
    <col min="1034" max="1034" width="9.375" style="852" bestFit="1" customWidth="1"/>
    <col min="1035" max="1035" width="4" style="852" customWidth="1"/>
    <col min="1036" max="1036" width="5.125" style="852" customWidth="1"/>
    <col min="1037" max="1037" width="13.75" style="852" customWidth="1"/>
    <col min="1038" max="1280" width="9" style="852"/>
    <col min="1281" max="1281" width="4.875" style="852" customWidth="1"/>
    <col min="1282" max="1282" width="13.25" style="852" customWidth="1"/>
    <col min="1283" max="1283" width="15.625" style="852" customWidth="1"/>
    <col min="1284" max="1284" width="9.375" style="852" bestFit="1" customWidth="1"/>
    <col min="1285" max="1285" width="13.5" style="852" customWidth="1"/>
    <col min="1286" max="1286" width="9" style="852"/>
    <col min="1287" max="1287" width="9.375" style="852" bestFit="1" customWidth="1"/>
    <col min="1288" max="1289" width="9" style="852"/>
    <col min="1290" max="1290" width="9.375" style="852" bestFit="1" customWidth="1"/>
    <col min="1291" max="1291" width="4" style="852" customWidth="1"/>
    <col min="1292" max="1292" width="5.125" style="852" customWidth="1"/>
    <col min="1293" max="1293" width="13.75" style="852" customWidth="1"/>
    <col min="1294" max="1536" width="9" style="852"/>
    <col min="1537" max="1537" width="4.875" style="852" customWidth="1"/>
    <col min="1538" max="1538" width="13.25" style="852" customWidth="1"/>
    <col min="1539" max="1539" width="15.625" style="852" customWidth="1"/>
    <col min="1540" max="1540" width="9.375" style="852" bestFit="1" customWidth="1"/>
    <col min="1541" max="1541" width="13.5" style="852" customWidth="1"/>
    <col min="1542" max="1542" width="9" style="852"/>
    <col min="1543" max="1543" width="9.375" style="852" bestFit="1" customWidth="1"/>
    <col min="1544" max="1545" width="9" style="852"/>
    <col min="1546" max="1546" width="9.375" style="852" bestFit="1" customWidth="1"/>
    <col min="1547" max="1547" width="4" style="852" customWidth="1"/>
    <col min="1548" max="1548" width="5.125" style="852" customWidth="1"/>
    <col min="1549" max="1549" width="13.75" style="852" customWidth="1"/>
    <col min="1550" max="1792" width="9" style="852"/>
    <col min="1793" max="1793" width="4.875" style="852" customWidth="1"/>
    <col min="1794" max="1794" width="13.25" style="852" customWidth="1"/>
    <col min="1795" max="1795" width="15.625" style="852" customWidth="1"/>
    <col min="1796" max="1796" width="9.375" style="852" bestFit="1" customWidth="1"/>
    <col min="1797" max="1797" width="13.5" style="852" customWidth="1"/>
    <col min="1798" max="1798" width="9" style="852"/>
    <col min="1799" max="1799" width="9.375" style="852" bestFit="1" customWidth="1"/>
    <col min="1800" max="1801" width="9" style="852"/>
    <col min="1802" max="1802" width="9.375" style="852" bestFit="1" customWidth="1"/>
    <col min="1803" max="1803" width="4" style="852" customWidth="1"/>
    <col min="1804" max="1804" width="5.125" style="852" customWidth="1"/>
    <col min="1805" max="1805" width="13.75" style="852" customWidth="1"/>
    <col min="1806" max="2048" width="9" style="852"/>
    <col min="2049" max="2049" width="4.875" style="852" customWidth="1"/>
    <col min="2050" max="2050" width="13.25" style="852" customWidth="1"/>
    <col min="2051" max="2051" width="15.625" style="852" customWidth="1"/>
    <col min="2052" max="2052" width="9.375" style="852" bestFit="1" customWidth="1"/>
    <col min="2053" max="2053" width="13.5" style="852" customWidth="1"/>
    <col min="2054" max="2054" width="9" style="852"/>
    <col min="2055" max="2055" width="9.375" style="852" bestFit="1" customWidth="1"/>
    <col min="2056" max="2057" width="9" style="852"/>
    <col min="2058" max="2058" width="9.375" style="852" bestFit="1" customWidth="1"/>
    <col min="2059" max="2059" width="4" style="852" customWidth="1"/>
    <col min="2060" max="2060" width="5.125" style="852" customWidth="1"/>
    <col min="2061" max="2061" width="13.75" style="852" customWidth="1"/>
    <col min="2062" max="2304" width="9" style="852"/>
    <col min="2305" max="2305" width="4.875" style="852" customWidth="1"/>
    <col min="2306" max="2306" width="13.25" style="852" customWidth="1"/>
    <col min="2307" max="2307" width="15.625" style="852" customWidth="1"/>
    <col min="2308" max="2308" width="9.375" style="852" bestFit="1" customWidth="1"/>
    <col min="2309" max="2309" width="13.5" style="852" customWidth="1"/>
    <col min="2310" max="2310" width="9" style="852"/>
    <col min="2311" max="2311" width="9.375" style="852" bestFit="1" customWidth="1"/>
    <col min="2312" max="2313" width="9" style="852"/>
    <col min="2314" max="2314" width="9.375" style="852" bestFit="1" customWidth="1"/>
    <col min="2315" max="2315" width="4" style="852" customWidth="1"/>
    <col min="2316" max="2316" width="5.125" style="852" customWidth="1"/>
    <col min="2317" max="2317" width="13.75" style="852" customWidth="1"/>
    <col min="2318" max="2560" width="9" style="852"/>
    <col min="2561" max="2561" width="4.875" style="852" customWidth="1"/>
    <col min="2562" max="2562" width="13.25" style="852" customWidth="1"/>
    <col min="2563" max="2563" width="15.625" style="852" customWidth="1"/>
    <col min="2564" max="2564" width="9.375" style="852" bestFit="1" customWidth="1"/>
    <col min="2565" max="2565" width="13.5" style="852" customWidth="1"/>
    <col min="2566" max="2566" width="9" style="852"/>
    <col min="2567" max="2567" width="9.375" style="852" bestFit="1" customWidth="1"/>
    <col min="2568" max="2569" width="9" style="852"/>
    <col min="2570" max="2570" width="9.375" style="852" bestFit="1" customWidth="1"/>
    <col min="2571" max="2571" width="4" style="852" customWidth="1"/>
    <col min="2572" max="2572" width="5.125" style="852" customWidth="1"/>
    <col min="2573" max="2573" width="13.75" style="852" customWidth="1"/>
    <col min="2574" max="2816" width="9" style="852"/>
    <col min="2817" max="2817" width="4.875" style="852" customWidth="1"/>
    <col min="2818" max="2818" width="13.25" style="852" customWidth="1"/>
    <col min="2819" max="2819" width="15.625" style="852" customWidth="1"/>
    <col min="2820" max="2820" width="9.375" style="852" bestFit="1" customWidth="1"/>
    <col min="2821" max="2821" width="13.5" style="852" customWidth="1"/>
    <col min="2822" max="2822" width="9" style="852"/>
    <col min="2823" max="2823" width="9.375" style="852" bestFit="1" customWidth="1"/>
    <col min="2824" max="2825" width="9" style="852"/>
    <col min="2826" max="2826" width="9.375" style="852" bestFit="1" customWidth="1"/>
    <col min="2827" max="2827" width="4" style="852" customWidth="1"/>
    <col min="2828" max="2828" width="5.125" style="852" customWidth="1"/>
    <col min="2829" max="2829" width="13.75" style="852" customWidth="1"/>
    <col min="2830" max="3072" width="9" style="852"/>
    <col min="3073" max="3073" width="4.875" style="852" customWidth="1"/>
    <col min="3074" max="3074" width="13.25" style="852" customWidth="1"/>
    <col min="3075" max="3075" width="15.625" style="852" customWidth="1"/>
    <col min="3076" max="3076" width="9.375" style="852" bestFit="1" customWidth="1"/>
    <col min="3077" max="3077" width="13.5" style="852" customWidth="1"/>
    <col min="3078" max="3078" width="9" style="852"/>
    <col min="3079" max="3079" width="9.375" style="852" bestFit="1" customWidth="1"/>
    <col min="3080" max="3081" width="9" style="852"/>
    <col min="3082" max="3082" width="9.375" style="852" bestFit="1" customWidth="1"/>
    <col min="3083" max="3083" width="4" style="852" customWidth="1"/>
    <col min="3084" max="3084" width="5.125" style="852" customWidth="1"/>
    <col min="3085" max="3085" width="13.75" style="852" customWidth="1"/>
    <col min="3086" max="3328" width="9" style="852"/>
    <col min="3329" max="3329" width="4.875" style="852" customWidth="1"/>
    <col min="3330" max="3330" width="13.25" style="852" customWidth="1"/>
    <col min="3331" max="3331" width="15.625" style="852" customWidth="1"/>
    <col min="3332" max="3332" width="9.375" style="852" bestFit="1" customWidth="1"/>
    <col min="3333" max="3333" width="13.5" style="852" customWidth="1"/>
    <col min="3334" max="3334" width="9" style="852"/>
    <col min="3335" max="3335" width="9.375" style="852" bestFit="1" customWidth="1"/>
    <col min="3336" max="3337" width="9" style="852"/>
    <col min="3338" max="3338" width="9.375" style="852" bestFit="1" customWidth="1"/>
    <col min="3339" max="3339" width="4" style="852" customWidth="1"/>
    <col min="3340" max="3340" width="5.125" style="852" customWidth="1"/>
    <col min="3341" max="3341" width="13.75" style="852" customWidth="1"/>
    <col min="3342" max="3584" width="9" style="852"/>
    <col min="3585" max="3585" width="4.875" style="852" customWidth="1"/>
    <col min="3586" max="3586" width="13.25" style="852" customWidth="1"/>
    <col min="3587" max="3587" width="15.625" style="852" customWidth="1"/>
    <col min="3588" max="3588" width="9.375" style="852" bestFit="1" customWidth="1"/>
    <col min="3589" max="3589" width="13.5" style="852" customWidth="1"/>
    <col min="3590" max="3590" width="9" style="852"/>
    <col min="3591" max="3591" width="9.375" style="852" bestFit="1" customWidth="1"/>
    <col min="3592" max="3593" width="9" style="852"/>
    <col min="3594" max="3594" width="9.375" style="852" bestFit="1" customWidth="1"/>
    <col min="3595" max="3595" width="4" style="852" customWidth="1"/>
    <col min="3596" max="3596" width="5.125" style="852" customWidth="1"/>
    <col min="3597" max="3597" width="13.75" style="852" customWidth="1"/>
    <col min="3598" max="3840" width="9" style="852"/>
    <col min="3841" max="3841" width="4.875" style="852" customWidth="1"/>
    <col min="3842" max="3842" width="13.25" style="852" customWidth="1"/>
    <col min="3843" max="3843" width="15.625" style="852" customWidth="1"/>
    <col min="3844" max="3844" width="9.375" style="852" bestFit="1" customWidth="1"/>
    <col min="3845" max="3845" width="13.5" style="852" customWidth="1"/>
    <col min="3846" max="3846" width="9" style="852"/>
    <col min="3847" max="3847" width="9.375" style="852" bestFit="1" customWidth="1"/>
    <col min="3848" max="3849" width="9" style="852"/>
    <col min="3850" max="3850" width="9.375" style="852" bestFit="1" customWidth="1"/>
    <col min="3851" max="3851" width="4" style="852" customWidth="1"/>
    <col min="3852" max="3852" width="5.125" style="852" customWidth="1"/>
    <col min="3853" max="3853" width="13.75" style="852" customWidth="1"/>
    <col min="3854" max="4096" width="9" style="852"/>
    <col min="4097" max="4097" width="4.875" style="852" customWidth="1"/>
    <col min="4098" max="4098" width="13.25" style="852" customWidth="1"/>
    <col min="4099" max="4099" width="15.625" style="852" customWidth="1"/>
    <col min="4100" max="4100" width="9.375" style="852" bestFit="1" customWidth="1"/>
    <col min="4101" max="4101" width="13.5" style="852" customWidth="1"/>
    <col min="4102" max="4102" width="9" style="852"/>
    <col min="4103" max="4103" width="9.375" style="852" bestFit="1" customWidth="1"/>
    <col min="4104" max="4105" width="9" style="852"/>
    <col min="4106" max="4106" width="9.375" style="852" bestFit="1" customWidth="1"/>
    <col min="4107" max="4107" width="4" style="852" customWidth="1"/>
    <col min="4108" max="4108" width="5.125" style="852" customWidth="1"/>
    <col min="4109" max="4109" width="13.75" style="852" customWidth="1"/>
    <col min="4110" max="4352" width="9" style="852"/>
    <col min="4353" max="4353" width="4.875" style="852" customWidth="1"/>
    <col min="4354" max="4354" width="13.25" style="852" customWidth="1"/>
    <col min="4355" max="4355" width="15.625" style="852" customWidth="1"/>
    <col min="4356" max="4356" width="9.375" style="852" bestFit="1" customWidth="1"/>
    <col min="4357" max="4357" width="13.5" style="852" customWidth="1"/>
    <col min="4358" max="4358" width="9" style="852"/>
    <col min="4359" max="4359" width="9.375" style="852" bestFit="1" customWidth="1"/>
    <col min="4360" max="4361" width="9" style="852"/>
    <col min="4362" max="4362" width="9.375" style="852" bestFit="1" customWidth="1"/>
    <col min="4363" max="4363" width="4" style="852" customWidth="1"/>
    <col min="4364" max="4364" width="5.125" style="852" customWidth="1"/>
    <col min="4365" max="4365" width="13.75" style="852" customWidth="1"/>
    <col min="4366" max="4608" width="9" style="852"/>
    <col min="4609" max="4609" width="4.875" style="852" customWidth="1"/>
    <col min="4610" max="4610" width="13.25" style="852" customWidth="1"/>
    <col min="4611" max="4611" width="15.625" style="852" customWidth="1"/>
    <col min="4612" max="4612" width="9.375" style="852" bestFit="1" customWidth="1"/>
    <col min="4613" max="4613" width="13.5" style="852" customWidth="1"/>
    <col min="4614" max="4614" width="9" style="852"/>
    <col min="4615" max="4615" width="9.375" style="852" bestFit="1" customWidth="1"/>
    <col min="4616" max="4617" width="9" style="852"/>
    <col min="4618" max="4618" width="9.375" style="852" bestFit="1" customWidth="1"/>
    <col min="4619" max="4619" width="4" style="852" customWidth="1"/>
    <col min="4620" max="4620" width="5.125" style="852" customWidth="1"/>
    <col min="4621" max="4621" width="13.75" style="852" customWidth="1"/>
    <col min="4622" max="4864" width="9" style="852"/>
    <col min="4865" max="4865" width="4.875" style="852" customWidth="1"/>
    <col min="4866" max="4866" width="13.25" style="852" customWidth="1"/>
    <col min="4867" max="4867" width="15.625" style="852" customWidth="1"/>
    <col min="4868" max="4868" width="9.375" style="852" bestFit="1" customWidth="1"/>
    <col min="4869" max="4869" width="13.5" style="852" customWidth="1"/>
    <col min="4870" max="4870" width="9" style="852"/>
    <col min="4871" max="4871" width="9.375" style="852" bestFit="1" customWidth="1"/>
    <col min="4872" max="4873" width="9" style="852"/>
    <col min="4874" max="4874" width="9.375" style="852" bestFit="1" customWidth="1"/>
    <col min="4875" max="4875" width="4" style="852" customWidth="1"/>
    <col min="4876" max="4876" width="5.125" style="852" customWidth="1"/>
    <col min="4877" max="4877" width="13.75" style="852" customWidth="1"/>
    <col min="4878" max="5120" width="9" style="852"/>
    <col min="5121" max="5121" width="4.875" style="852" customWidth="1"/>
    <col min="5122" max="5122" width="13.25" style="852" customWidth="1"/>
    <col min="5123" max="5123" width="15.625" style="852" customWidth="1"/>
    <col min="5124" max="5124" width="9.375" style="852" bestFit="1" customWidth="1"/>
    <col min="5125" max="5125" width="13.5" style="852" customWidth="1"/>
    <col min="5126" max="5126" width="9" style="852"/>
    <col min="5127" max="5127" width="9.375" style="852" bestFit="1" customWidth="1"/>
    <col min="5128" max="5129" width="9" style="852"/>
    <col min="5130" max="5130" width="9.375" style="852" bestFit="1" customWidth="1"/>
    <col min="5131" max="5131" width="4" style="852" customWidth="1"/>
    <col min="5132" max="5132" width="5.125" style="852" customWidth="1"/>
    <col min="5133" max="5133" width="13.75" style="852" customWidth="1"/>
    <col min="5134" max="5376" width="9" style="852"/>
    <col min="5377" max="5377" width="4.875" style="852" customWidth="1"/>
    <col min="5378" max="5378" width="13.25" style="852" customWidth="1"/>
    <col min="5379" max="5379" width="15.625" style="852" customWidth="1"/>
    <col min="5380" max="5380" width="9.375" style="852" bestFit="1" customWidth="1"/>
    <col min="5381" max="5381" width="13.5" style="852" customWidth="1"/>
    <col min="5382" max="5382" width="9" style="852"/>
    <col min="5383" max="5383" width="9.375" style="852" bestFit="1" customWidth="1"/>
    <col min="5384" max="5385" width="9" style="852"/>
    <col min="5386" max="5386" width="9.375" style="852" bestFit="1" customWidth="1"/>
    <col min="5387" max="5387" width="4" style="852" customWidth="1"/>
    <col min="5388" max="5388" width="5.125" style="852" customWidth="1"/>
    <col min="5389" max="5389" width="13.75" style="852" customWidth="1"/>
    <col min="5390" max="5632" width="9" style="852"/>
    <col min="5633" max="5633" width="4.875" style="852" customWidth="1"/>
    <col min="5634" max="5634" width="13.25" style="852" customWidth="1"/>
    <col min="5635" max="5635" width="15.625" style="852" customWidth="1"/>
    <col min="5636" max="5636" width="9.375" style="852" bestFit="1" customWidth="1"/>
    <col min="5637" max="5637" width="13.5" style="852" customWidth="1"/>
    <col min="5638" max="5638" width="9" style="852"/>
    <col min="5639" max="5639" width="9.375" style="852" bestFit="1" customWidth="1"/>
    <col min="5640" max="5641" width="9" style="852"/>
    <col min="5642" max="5642" width="9.375" style="852" bestFit="1" customWidth="1"/>
    <col min="5643" max="5643" width="4" style="852" customWidth="1"/>
    <col min="5644" max="5644" width="5.125" style="852" customWidth="1"/>
    <col min="5645" max="5645" width="13.75" style="852" customWidth="1"/>
    <col min="5646" max="5888" width="9" style="852"/>
    <col min="5889" max="5889" width="4.875" style="852" customWidth="1"/>
    <col min="5890" max="5890" width="13.25" style="852" customWidth="1"/>
    <col min="5891" max="5891" width="15.625" style="852" customWidth="1"/>
    <col min="5892" max="5892" width="9.375" style="852" bestFit="1" customWidth="1"/>
    <col min="5893" max="5893" width="13.5" style="852" customWidth="1"/>
    <col min="5894" max="5894" width="9" style="852"/>
    <col min="5895" max="5895" width="9.375" style="852" bestFit="1" customWidth="1"/>
    <col min="5896" max="5897" width="9" style="852"/>
    <col min="5898" max="5898" width="9.375" style="852" bestFit="1" customWidth="1"/>
    <col min="5899" max="5899" width="4" style="852" customWidth="1"/>
    <col min="5900" max="5900" width="5.125" style="852" customWidth="1"/>
    <col min="5901" max="5901" width="13.75" style="852" customWidth="1"/>
    <col min="5902" max="6144" width="9" style="852"/>
    <col min="6145" max="6145" width="4.875" style="852" customWidth="1"/>
    <col min="6146" max="6146" width="13.25" style="852" customWidth="1"/>
    <col min="6147" max="6147" width="15.625" style="852" customWidth="1"/>
    <col min="6148" max="6148" width="9.375" style="852" bestFit="1" customWidth="1"/>
    <col min="6149" max="6149" width="13.5" style="852" customWidth="1"/>
    <col min="6150" max="6150" width="9" style="852"/>
    <col min="6151" max="6151" width="9.375" style="852" bestFit="1" customWidth="1"/>
    <col min="6152" max="6153" width="9" style="852"/>
    <col min="6154" max="6154" width="9.375" style="852" bestFit="1" customWidth="1"/>
    <col min="6155" max="6155" width="4" style="852" customWidth="1"/>
    <col min="6156" max="6156" width="5.125" style="852" customWidth="1"/>
    <col min="6157" max="6157" width="13.75" style="852" customWidth="1"/>
    <col min="6158" max="6400" width="9" style="852"/>
    <col min="6401" max="6401" width="4.875" style="852" customWidth="1"/>
    <col min="6402" max="6402" width="13.25" style="852" customWidth="1"/>
    <col min="6403" max="6403" width="15.625" style="852" customWidth="1"/>
    <col min="6404" max="6404" width="9.375" style="852" bestFit="1" customWidth="1"/>
    <col min="6405" max="6405" width="13.5" style="852" customWidth="1"/>
    <col min="6406" max="6406" width="9" style="852"/>
    <col min="6407" max="6407" width="9.375" style="852" bestFit="1" customWidth="1"/>
    <col min="6408" max="6409" width="9" style="852"/>
    <col min="6410" max="6410" width="9.375" style="852" bestFit="1" customWidth="1"/>
    <col min="6411" max="6411" width="4" style="852" customWidth="1"/>
    <col min="6412" max="6412" width="5.125" style="852" customWidth="1"/>
    <col min="6413" max="6413" width="13.75" style="852" customWidth="1"/>
    <col min="6414" max="6656" width="9" style="852"/>
    <col min="6657" max="6657" width="4.875" style="852" customWidth="1"/>
    <col min="6658" max="6658" width="13.25" style="852" customWidth="1"/>
    <col min="6659" max="6659" width="15.625" style="852" customWidth="1"/>
    <col min="6660" max="6660" width="9.375" style="852" bestFit="1" customWidth="1"/>
    <col min="6661" max="6661" width="13.5" style="852" customWidth="1"/>
    <col min="6662" max="6662" width="9" style="852"/>
    <col min="6663" max="6663" width="9.375" style="852" bestFit="1" customWidth="1"/>
    <col min="6664" max="6665" width="9" style="852"/>
    <col min="6666" max="6666" width="9.375" style="852" bestFit="1" customWidth="1"/>
    <col min="6667" max="6667" width="4" style="852" customWidth="1"/>
    <col min="6668" max="6668" width="5.125" style="852" customWidth="1"/>
    <col min="6669" max="6669" width="13.75" style="852" customWidth="1"/>
    <col min="6670" max="6912" width="9" style="852"/>
    <col min="6913" max="6913" width="4.875" style="852" customWidth="1"/>
    <col min="6914" max="6914" width="13.25" style="852" customWidth="1"/>
    <col min="6915" max="6915" width="15.625" style="852" customWidth="1"/>
    <col min="6916" max="6916" width="9.375" style="852" bestFit="1" customWidth="1"/>
    <col min="6917" max="6917" width="13.5" style="852" customWidth="1"/>
    <col min="6918" max="6918" width="9" style="852"/>
    <col min="6919" max="6919" width="9.375" style="852" bestFit="1" customWidth="1"/>
    <col min="6920" max="6921" width="9" style="852"/>
    <col min="6922" max="6922" width="9.375" style="852" bestFit="1" customWidth="1"/>
    <col min="6923" max="6923" width="4" style="852" customWidth="1"/>
    <col min="6924" max="6924" width="5.125" style="852" customWidth="1"/>
    <col min="6925" max="6925" width="13.75" style="852" customWidth="1"/>
    <col min="6926" max="7168" width="9" style="852"/>
    <col min="7169" max="7169" width="4.875" style="852" customWidth="1"/>
    <col min="7170" max="7170" width="13.25" style="852" customWidth="1"/>
    <col min="7171" max="7171" width="15.625" style="852" customWidth="1"/>
    <col min="7172" max="7172" width="9.375" style="852" bestFit="1" customWidth="1"/>
    <col min="7173" max="7173" width="13.5" style="852" customWidth="1"/>
    <col min="7174" max="7174" width="9" style="852"/>
    <col min="7175" max="7175" width="9.375" style="852" bestFit="1" customWidth="1"/>
    <col min="7176" max="7177" width="9" style="852"/>
    <col min="7178" max="7178" width="9.375" style="852" bestFit="1" customWidth="1"/>
    <col min="7179" max="7179" width="4" style="852" customWidth="1"/>
    <col min="7180" max="7180" width="5.125" style="852" customWidth="1"/>
    <col min="7181" max="7181" width="13.75" style="852" customWidth="1"/>
    <col min="7182" max="7424" width="9" style="852"/>
    <col min="7425" max="7425" width="4.875" style="852" customWidth="1"/>
    <col min="7426" max="7426" width="13.25" style="852" customWidth="1"/>
    <col min="7427" max="7427" width="15.625" style="852" customWidth="1"/>
    <col min="7428" max="7428" width="9.375" style="852" bestFit="1" customWidth="1"/>
    <col min="7429" max="7429" width="13.5" style="852" customWidth="1"/>
    <col min="7430" max="7430" width="9" style="852"/>
    <col min="7431" max="7431" width="9.375" style="852" bestFit="1" customWidth="1"/>
    <col min="7432" max="7433" width="9" style="852"/>
    <col min="7434" max="7434" width="9.375" style="852" bestFit="1" customWidth="1"/>
    <col min="7435" max="7435" width="4" style="852" customWidth="1"/>
    <col min="7436" max="7436" width="5.125" style="852" customWidth="1"/>
    <col min="7437" max="7437" width="13.75" style="852" customWidth="1"/>
    <col min="7438" max="7680" width="9" style="852"/>
    <col min="7681" max="7681" width="4.875" style="852" customWidth="1"/>
    <col min="7682" max="7682" width="13.25" style="852" customWidth="1"/>
    <col min="7683" max="7683" width="15.625" style="852" customWidth="1"/>
    <col min="7684" max="7684" width="9.375" style="852" bestFit="1" customWidth="1"/>
    <col min="7685" max="7685" width="13.5" style="852" customWidth="1"/>
    <col min="7686" max="7686" width="9" style="852"/>
    <col min="7687" max="7687" width="9.375" style="852" bestFit="1" customWidth="1"/>
    <col min="7688" max="7689" width="9" style="852"/>
    <col min="7690" max="7690" width="9.375" style="852" bestFit="1" customWidth="1"/>
    <col min="7691" max="7691" width="4" style="852" customWidth="1"/>
    <col min="7692" max="7692" width="5.125" style="852" customWidth="1"/>
    <col min="7693" max="7693" width="13.75" style="852" customWidth="1"/>
    <col min="7694" max="7936" width="9" style="852"/>
    <col min="7937" max="7937" width="4.875" style="852" customWidth="1"/>
    <col min="7938" max="7938" width="13.25" style="852" customWidth="1"/>
    <col min="7939" max="7939" width="15.625" style="852" customWidth="1"/>
    <col min="7940" max="7940" width="9.375" style="852" bestFit="1" customWidth="1"/>
    <col min="7941" max="7941" width="13.5" style="852" customWidth="1"/>
    <col min="7942" max="7942" width="9" style="852"/>
    <col min="7943" max="7943" width="9.375" style="852" bestFit="1" customWidth="1"/>
    <col min="7944" max="7945" width="9" style="852"/>
    <col min="7946" max="7946" width="9.375" style="852" bestFit="1" customWidth="1"/>
    <col min="7947" max="7947" width="4" style="852" customWidth="1"/>
    <col min="7948" max="7948" width="5.125" style="852" customWidth="1"/>
    <col min="7949" max="7949" width="13.75" style="852" customWidth="1"/>
    <col min="7950" max="8192" width="9" style="852"/>
    <col min="8193" max="8193" width="4.875" style="852" customWidth="1"/>
    <col min="8194" max="8194" width="13.25" style="852" customWidth="1"/>
    <col min="8195" max="8195" width="15.625" style="852" customWidth="1"/>
    <col min="8196" max="8196" width="9.375" style="852" bestFit="1" customWidth="1"/>
    <col min="8197" max="8197" width="13.5" style="852" customWidth="1"/>
    <col min="8198" max="8198" width="9" style="852"/>
    <col min="8199" max="8199" width="9.375" style="852" bestFit="1" customWidth="1"/>
    <col min="8200" max="8201" width="9" style="852"/>
    <col min="8202" max="8202" width="9.375" style="852" bestFit="1" customWidth="1"/>
    <col min="8203" max="8203" width="4" style="852" customWidth="1"/>
    <col min="8204" max="8204" width="5.125" style="852" customWidth="1"/>
    <col min="8205" max="8205" width="13.75" style="852" customWidth="1"/>
    <col min="8206" max="8448" width="9" style="852"/>
    <col min="8449" max="8449" width="4.875" style="852" customWidth="1"/>
    <col min="8450" max="8450" width="13.25" style="852" customWidth="1"/>
    <col min="8451" max="8451" width="15.625" style="852" customWidth="1"/>
    <col min="8452" max="8452" width="9.375" style="852" bestFit="1" customWidth="1"/>
    <col min="8453" max="8453" width="13.5" style="852" customWidth="1"/>
    <col min="8454" max="8454" width="9" style="852"/>
    <col min="8455" max="8455" width="9.375" style="852" bestFit="1" customWidth="1"/>
    <col min="8456" max="8457" width="9" style="852"/>
    <col min="8458" max="8458" width="9.375" style="852" bestFit="1" customWidth="1"/>
    <col min="8459" max="8459" width="4" style="852" customWidth="1"/>
    <col min="8460" max="8460" width="5.125" style="852" customWidth="1"/>
    <col min="8461" max="8461" width="13.75" style="852" customWidth="1"/>
    <col min="8462" max="8704" width="9" style="852"/>
    <col min="8705" max="8705" width="4.875" style="852" customWidth="1"/>
    <col min="8706" max="8706" width="13.25" style="852" customWidth="1"/>
    <col min="8707" max="8707" width="15.625" style="852" customWidth="1"/>
    <col min="8708" max="8708" width="9.375" style="852" bestFit="1" customWidth="1"/>
    <col min="8709" max="8709" width="13.5" style="852" customWidth="1"/>
    <col min="8710" max="8710" width="9" style="852"/>
    <col min="8711" max="8711" width="9.375" style="852" bestFit="1" customWidth="1"/>
    <col min="8712" max="8713" width="9" style="852"/>
    <col min="8714" max="8714" width="9.375" style="852" bestFit="1" customWidth="1"/>
    <col min="8715" max="8715" width="4" style="852" customWidth="1"/>
    <col min="8716" max="8716" width="5.125" style="852" customWidth="1"/>
    <col min="8717" max="8717" width="13.75" style="852" customWidth="1"/>
    <col min="8718" max="8960" width="9" style="852"/>
    <col min="8961" max="8961" width="4.875" style="852" customWidth="1"/>
    <col min="8962" max="8962" width="13.25" style="852" customWidth="1"/>
    <col min="8963" max="8963" width="15.625" style="852" customWidth="1"/>
    <col min="8964" max="8964" width="9.375" style="852" bestFit="1" customWidth="1"/>
    <col min="8965" max="8965" width="13.5" style="852" customWidth="1"/>
    <col min="8966" max="8966" width="9" style="852"/>
    <col min="8967" max="8967" width="9.375" style="852" bestFit="1" customWidth="1"/>
    <col min="8968" max="8969" width="9" style="852"/>
    <col min="8970" max="8970" width="9.375" style="852" bestFit="1" customWidth="1"/>
    <col min="8971" max="8971" width="4" style="852" customWidth="1"/>
    <col min="8972" max="8972" width="5.125" style="852" customWidth="1"/>
    <col min="8973" max="8973" width="13.75" style="852" customWidth="1"/>
    <col min="8974" max="9216" width="9" style="852"/>
    <col min="9217" max="9217" width="4.875" style="852" customWidth="1"/>
    <col min="9218" max="9218" width="13.25" style="852" customWidth="1"/>
    <col min="9219" max="9219" width="15.625" style="852" customWidth="1"/>
    <col min="9220" max="9220" width="9.375" style="852" bestFit="1" customWidth="1"/>
    <col min="9221" max="9221" width="13.5" style="852" customWidth="1"/>
    <col min="9222" max="9222" width="9" style="852"/>
    <col min="9223" max="9223" width="9.375" style="852" bestFit="1" customWidth="1"/>
    <col min="9224" max="9225" width="9" style="852"/>
    <col min="9226" max="9226" width="9.375" style="852" bestFit="1" customWidth="1"/>
    <col min="9227" max="9227" width="4" style="852" customWidth="1"/>
    <col min="9228" max="9228" width="5.125" style="852" customWidth="1"/>
    <col min="9229" max="9229" width="13.75" style="852" customWidth="1"/>
    <col min="9230" max="9472" width="9" style="852"/>
    <col min="9473" max="9473" width="4.875" style="852" customWidth="1"/>
    <col min="9474" max="9474" width="13.25" style="852" customWidth="1"/>
    <col min="9475" max="9475" width="15.625" style="852" customWidth="1"/>
    <col min="9476" max="9476" width="9.375" style="852" bestFit="1" customWidth="1"/>
    <col min="9477" max="9477" width="13.5" style="852" customWidth="1"/>
    <col min="9478" max="9478" width="9" style="852"/>
    <col min="9479" max="9479" width="9.375" style="852" bestFit="1" customWidth="1"/>
    <col min="9480" max="9481" width="9" style="852"/>
    <col min="9482" max="9482" width="9.375" style="852" bestFit="1" customWidth="1"/>
    <col min="9483" max="9483" width="4" style="852" customWidth="1"/>
    <col min="9484" max="9484" width="5.125" style="852" customWidth="1"/>
    <col min="9485" max="9485" width="13.75" style="852" customWidth="1"/>
    <col min="9486" max="9728" width="9" style="852"/>
    <col min="9729" max="9729" width="4.875" style="852" customWidth="1"/>
    <col min="9730" max="9730" width="13.25" style="852" customWidth="1"/>
    <col min="9731" max="9731" width="15.625" style="852" customWidth="1"/>
    <col min="9732" max="9732" width="9.375" style="852" bestFit="1" customWidth="1"/>
    <col min="9733" max="9733" width="13.5" style="852" customWidth="1"/>
    <col min="9734" max="9734" width="9" style="852"/>
    <col min="9735" max="9735" width="9.375" style="852" bestFit="1" customWidth="1"/>
    <col min="9736" max="9737" width="9" style="852"/>
    <col min="9738" max="9738" width="9.375" style="852" bestFit="1" customWidth="1"/>
    <col min="9739" max="9739" width="4" style="852" customWidth="1"/>
    <col min="9740" max="9740" width="5.125" style="852" customWidth="1"/>
    <col min="9741" max="9741" width="13.75" style="852" customWidth="1"/>
    <col min="9742" max="9984" width="9" style="852"/>
    <col min="9985" max="9985" width="4.875" style="852" customWidth="1"/>
    <col min="9986" max="9986" width="13.25" style="852" customWidth="1"/>
    <col min="9987" max="9987" width="15.625" style="852" customWidth="1"/>
    <col min="9988" max="9988" width="9.375" style="852" bestFit="1" customWidth="1"/>
    <col min="9989" max="9989" width="13.5" style="852" customWidth="1"/>
    <col min="9990" max="9990" width="9" style="852"/>
    <col min="9991" max="9991" width="9.375" style="852" bestFit="1" customWidth="1"/>
    <col min="9992" max="9993" width="9" style="852"/>
    <col min="9994" max="9994" width="9.375" style="852" bestFit="1" customWidth="1"/>
    <col min="9995" max="9995" width="4" style="852" customWidth="1"/>
    <col min="9996" max="9996" width="5.125" style="852" customWidth="1"/>
    <col min="9997" max="9997" width="13.75" style="852" customWidth="1"/>
    <col min="9998" max="10240" width="9" style="852"/>
    <col min="10241" max="10241" width="4.875" style="852" customWidth="1"/>
    <col min="10242" max="10242" width="13.25" style="852" customWidth="1"/>
    <col min="10243" max="10243" width="15.625" style="852" customWidth="1"/>
    <col min="10244" max="10244" width="9.375" style="852" bestFit="1" customWidth="1"/>
    <col min="10245" max="10245" width="13.5" style="852" customWidth="1"/>
    <col min="10246" max="10246" width="9" style="852"/>
    <col min="10247" max="10247" width="9.375" style="852" bestFit="1" customWidth="1"/>
    <col min="10248" max="10249" width="9" style="852"/>
    <col min="10250" max="10250" width="9.375" style="852" bestFit="1" customWidth="1"/>
    <col min="10251" max="10251" width="4" style="852" customWidth="1"/>
    <col min="10252" max="10252" width="5.125" style="852" customWidth="1"/>
    <col min="10253" max="10253" width="13.75" style="852" customWidth="1"/>
    <col min="10254" max="10496" width="9" style="852"/>
    <col min="10497" max="10497" width="4.875" style="852" customWidth="1"/>
    <col min="10498" max="10498" width="13.25" style="852" customWidth="1"/>
    <col min="10499" max="10499" width="15.625" style="852" customWidth="1"/>
    <col min="10500" max="10500" width="9.375" style="852" bestFit="1" customWidth="1"/>
    <col min="10501" max="10501" width="13.5" style="852" customWidth="1"/>
    <col min="10502" max="10502" width="9" style="852"/>
    <col min="10503" max="10503" width="9.375" style="852" bestFit="1" customWidth="1"/>
    <col min="10504" max="10505" width="9" style="852"/>
    <col min="10506" max="10506" width="9.375" style="852" bestFit="1" customWidth="1"/>
    <col min="10507" max="10507" width="4" style="852" customWidth="1"/>
    <col min="10508" max="10508" width="5.125" style="852" customWidth="1"/>
    <col min="10509" max="10509" width="13.75" style="852" customWidth="1"/>
    <col min="10510" max="10752" width="9" style="852"/>
    <col min="10753" max="10753" width="4.875" style="852" customWidth="1"/>
    <col min="10754" max="10754" width="13.25" style="852" customWidth="1"/>
    <col min="10755" max="10755" width="15.625" style="852" customWidth="1"/>
    <col min="10756" max="10756" width="9.375" style="852" bestFit="1" customWidth="1"/>
    <col min="10757" max="10757" width="13.5" style="852" customWidth="1"/>
    <col min="10758" max="10758" width="9" style="852"/>
    <col min="10759" max="10759" width="9.375" style="852" bestFit="1" customWidth="1"/>
    <col min="10760" max="10761" width="9" style="852"/>
    <col min="10762" max="10762" width="9.375" style="852" bestFit="1" customWidth="1"/>
    <col min="10763" max="10763" width="4" style="852" customWidth="1"/>
    <col min="10764" max="10764" width="5.125" style="852" customWidth="1"/>
    <col min="10765" max="10765" width="13.75" style="852" customWidth="1"/>
    <col min="10766" max="11008" width="9" style="852"/>
    <col min="11009" max="11009" width="4.875" style="852" customWidth="1"/>
    <col min="11010" max="11010" width="13.25" style="852" customWidth="1"/>
    <col min="11011" max="11011" width="15.625" style="852" customWidth="1"/>
    <col min="11012" max="11012" width="9.375" style="852" bestFit="1" customWidth="1"/>
    <col min="11013" max="11013" width="13.5" style="852" customWidth="1"/>
    <col min="11014" max="11014" width="9" style="852"/>
    <col min="11015" max="11015" width="9.375" style="852" bestFit="1" customWidth="1"/>
    <col min="11016" max="11017" width="9" style="852"/>
    <col min="11018" max="11018" width="9.375" style="852" bestFit="1" customWidth="1"/>
    <col min="11019" max="11019" width="4" style="852" customWidth="1"/>
    <col min="11020" max="11020" width="5.125" style="852" customWidth="1"/>
    <col min="11021" max="11021" width="13.75" style="852" customWidth="1"/>
    <col min="11022" max="11264" width="9" style="852"/>
    <col min="11265" max="11265" width="4.875" style="852" customWidth="1"/>
    <col min="11266" max="11266" width="13.25" style="852" customWidth="1"/>
    <col min="11267" max="11267" width="15.625" style="852" customWidth="1"/>
    <col min="11268" max="11268" width="9.375" style="852" bestFit="1" customWidth="1"/>
    <col min="11269" max="11269" width="13.5" style="852" customWidth="1"/>
    <col min="11270" max="11270" width="9" style="852"/>
    <col min="11271" max="11271" width="9.375" style="852" bestFit="1" customWidth="1"/>
    <col min="11272" max="11273" width="9" style="852"/>
    <col min="11274" max="11274" width="9.375" style="852" bestFit="1" customWidth="1"/>
    <col min="11275" max="11275" width="4" style="852" customWidth="1"/>
    <col min="11276" max="11276" width="5.125" style="852" customWidth="1"/>
    <col min="11277" max="11277" width="13.75" style="852" customWidth="1"/>
    <col min="11278" max="11520" width="9" style="852"/>
    <col min="11521" max="11521" width="4.875" style="852" customWidth="1"/>
    <col min="11522" max="11522" width="13.25" style="852" customWidth="1"/>
    <col min="11523" max="11523" width="15.625" style="852" customWidth="1"/>
    <col min="11524" max="11524" width="9.375" style="852" bestFit="1" customWidth="1"/>
    <col min="11525" max="11525" width="13.5" style="852" customWidth="1"/>
    <col min="11526" max="11526" width="9" style="852"/>
    <col min="11527" max="11527" width="9.375" style="852" bestFit="1" customWidth="1"/>
    <col min="11528" max="11529" width="9" style="852"/>
    <col min="11530" max="11530" width="9.375" style="852" bestFit="1" customWidth="1"/>
    <col min="11531" max="11531" width="4" style="852" customWidth="1"/>
    <col min="11532" max="11532" width="5.125" style="852" customWidth="1"/>
    <col min="11533" max="11533" width="13.75" style="852" customWidth="1"/>
    <col min="11534" max="11776" width="9" style="852"/>
    <col min="11777" max="11777" width="4.875" style="852" customWidth="1"/>
    <col min="11778" max="11778" width="13.25" style="852" customWidth="1"/>
    <col min="11779" max="11779" width="15.625" style="852" customWidth="1"/>
    <col min="11780" max="11780" width="9.375" style="852" bestFit="1" customWidth="1"/>
    <col min="11781" max="11781" width="13.5" style="852" customWidth="1"/>
    <col min="11782" max="11782" width="9" style="852"/>
    <col min="11783" max="11783" width="9.375" style="852" bestFit="1" customWidth="1"/>
    <col min="11784" max="11785" width="9" style="852"/>
    <col min="11786" max="11786" width="9.375" style="852" bestFit="1" customWidth="1"/>
    <col min="11787" max="11787" width="4" style="852" customWidth="1"/>
    <col min="11788" max="11788" width="5.125" style="852" customWidth="1"/>
    <col min="11789" max="11789" width="13.75" style="852" customWidth="1"/>
    <col min="11790" max="12032" width="9" style="852"/>
    <col min="12033" max="12033" width="4.875" style="852" customWidth="1"/>
    <col min="12034" max="12034" width="13.25" style="852" customWidth="1"/>
    <col min="12035" max="12035" width="15.625" style="852" customWidth="1"/>
    <col min="12036" max="12036" width="9.375" style="852" bestFit="1" customWidth="1"/>
    <col min="12037" max="12037" width="13.5" style="852" customWidth="1"/>
    <col min="12038" max="12038" width="9" style="852"/>
    <col min="12039" max="12039" width="9.375" style="852" bestFit="1" customWidth="1"/>
    <col min="12040" max="12041" width="9" style="852"/>
    <col min="12042" max="12042" width="9.375" style="852" bestFit="1" customWidth="1"/>
    <col min="12043" max="12043" width="4" style="852" customWidth="1"/>
    <col min="12044" max="12044" width="5.125" style="852" customWidth="1"/>
    <col min="12045" max="12045" width="13.75" style="852" customWidth="1"/>
    <col min="12046" max="12288" width="9" style="852"/>
    <col min="12289" max="12289" width="4.875" style="852" customWidth="1"/>
    <col min="12290" max="12290" width="13.25" style="852" customWidth="1"/>
    <col min="12291" max="12291" width="15.625" style="852" customWidth="1"/>
    <col min="12292" max="12292" width="9.375" style="852" bestFit="1" customWidth="1"/>
    <col min="12293" max="12293" width="13.5" style="852" customWidth="1"/>
    <col min="12294" max="12294" width="9" style="852"/>
    <col min="12295" max="12295" width="9.375" style="852" bestFit="1" customWidth="1"/>
    <col min="12296" max="12297" width="9" style="852"/>
    <col min="12298" max="12298" width="9.375" style="852" bestFit="1" customWidth="1"/>
    <col min="12299" max="12299" width="4" style="852" customWidth="1"/>
    <col min="12300" max="12300" width="5.125" style="852" customWidth="1"/>
    <col min="12301" max="12301" width="13.75" style="852" customWidth="1"/>
    <col min="12302" max="12544" width="9" style="852"/>
    <col min="12545" max="12545" width="4.875" style="852" customWidth="1"/>
    <col min="12546" max="12546" width="13.25" style="852" customWidth="1"/>
    <col min="12547" max="12547" width="15.625" style="852" customWidth="1"/>
    <col min="12548" max="12548" width="9.375" style="852" bestFit="1" customWidth="1"/>
    <col min="12549" max="12549" width="13.5" style="852" customWidth="1"/>
    <col min="12550" max="12550" width="9" style="852"/>
    <col min="12551" max="12551" width="9.375" style="852" bestFit="1" customWidth="1"/>
    <col min="12552" max="12553" width="9" style="852"/>
    <col min="12554" max="12554" width="9.375" style="852" bestFit="1" customWidth="1"/>
    <col min="12555" max="12555" width="4" style="852" customWidth="1"/>
    <col min="12556" max="12556" width="5.125" style="852" customWidth="1"/>
    <col min="12557" max="12557" width="13.75" style="852" customWidth="1"/>
    <col min="12558" max="12800" width="9" style="852"/>
    <col min="12801" max="12801" width="4.875" style="852" customWidth="1"/>
    <col min="12802" max="12802" width="13.25" style="852" customWidth="1"/>
    <col min="12803" max="12803" width="15.625" style="852" customWidth="1"/>
    <col min="12804" max="12804" width="9.375" style="852" bestFit="1" customWidth="1"/>
    <col min="12805" max="12805" width="13.5" style="852" customWidth="1"/>
    <col min="12806" max="12806" width="9" style="852"/>
    <col min="12807" max="12807" width="9.375" style="852" bestFit="1" customWidth="1"/>
    <col min="12808" max="12809" width="9" style="852"/>
    <col min="12810" max="12810" width="9.375" style="852" bestFit="1" customWidth="1"/>
    <col min="12811" max="12811" width="4" style="852" customWidth="1"/>
    <col min="12812" max="12812" width="5.125" style="852" customWidth="1"/>
    <col min="12813" max="12813" width="13.75" style="852" customWidth="1"/>
    <col min="12814" max="13056" width="9" style="852"/>
    <col min="13057" max="13057" width="4.875" style="852" customWidth="1"/>
    <col min="13058" max="13058" width="13.25" style="852" customWidth="1"/>
    <col min="13059" max="13059" width="15.625" style="852" customWidth="1"/>
    <col min="13060" max="13060" width="9.375" style="852" bestFit="1" customWidth="1"/>
    <col min="13061" max="13061" width="13.5" style="852" customWidth="1"/>
    <col min="13062" max="13062" width="9" style="852"/>
    <col min="13063" max="13063" width="9.375" style="852" bestFit="1" customWidth="1"/>
    <col min="13064" max="13065" width="9" style="852"/>
    <col min="13066" max="13066" width="9.375" style="852" bestFit="1" customWidth="1"/>
    <col min="13067" max="13067" width="4" style="852" customWidth="1"/>
    <col min="13068" max="13068" width="5.125" style="852" customWidth="1"/>
    <col min="13069" max="13069" width="13.75" style="852" customWidth="1"/>
    <col min="13070" max="13312" width="9" style="852"/>
    <col min="13313" max="13313" width="4.875" style="852" customWidth="1"/>
    <col min="13314" max="13314" width="13.25" style="852" customWidth="1"/>
    <col min="13315" max="13315" width="15.625" style="852" customWidth="1"/>
    <col min="13316" max="13316" width="9.375" style="852" bestFit="1" customWidth="1"/>
    <col min="13317" max="13317" width="13.5" style="852" customWidth="1"/>
    <col min="13318" max="13318" width="9" style="852"/>
    <col min="13319" max="13319" width="9.375" style="852" bestFit="1" customWidth="1"/>
    <col min="13320" max="13321" width="9" style="852"/>
    <col min="13322" max="13322" width="9.375" style="852" bestFit="1" customWidth="1"/>
    <col min="13323" max="13323" width="4" style="852" customWidth="1"/>
    <col min="13324" max="13324" width="5.125" style="852" customWidth="1"/>
    <col min="13325" max="13325" width="13.75" style="852" customWidth="1"/>
    <col min="13326" max="13568" width="9" style="852"/>
    <col min="13569" max="13569" width="4.875" style="852" customWidth="1"/>
    <col min="13570" max="13570" width="13.25" style="852" customWidth="1"/>
    <col min="13571" max="13571" width="15.625" style="852" customWidth="1"/>
    <col min="13572" max="13572" width="9.375" style="852" bestFit="1" customWidth="1"/>
    <col min="13573" max="13573" width="13.5" style="852" customWidth="1"/>
    <col min="13574" max="13574" width="9" style="852"/>
    <col min="13575" max="13575" width="9.375" style="852" bestFit="1" customWidth="1"/>
    <col min="13576" max="13577" width="9" style="852"/>
    <col min="13578" max="13578" width="9.375" style="852" bestFit="1" customWidth="1"/>
    <col min="13579" max="13579" width="4" style="852" customWidth="1"/>
    <col min="13580" max="13580" width="5.125" style="852" customWidth="1"/>
    <col min="13581" max="13581" width="13.75" style="852" customWidth="1"/>
    <col min="13582" max="13824" width="9" style="852"/>
    <col min="13825" max="13825" width="4.875" style="852" customWidth="1"/>
    <col min="13826" max="13826" width="13.25" style="852" customWidth="1"/>
    <col min="13827" max="13827" width="15.625" style="852" customWidth="1"/>
    <col min="13828" max="13828" width="9.375" style="852" bestFit="1" customWidth="1"/>
    <col min="13829" max="13829" width="13.5" style="852" customWidth="1"/>
    <col min="13830" max="13830" width="9" style="852"/>
    <col min="13831" max="13831" width="9.375" style="852" bestFit="1" customWidth="1"/>
    <col min="13832" max="13833" width="9" style="852"/>
    <col min="13834" max="13834" width="9.375" style="852" bestFit="1" customWidth="1"/>
    <col min="13835" max="13835" width="4" style="852" customWidth="1"/>
    <col min="13836" max="13836" width="5.125" style="852" customWidth="1"/>
    <col min="13837" max="13837" width="13.75" style="852" customWidth="1"/>
    <col min="13838" max="14080" width="9" style="852"/>
    <col min="14081" max="14081" width="4.875" style="852" customWidth="1"/>
    <col min="14082" max="14082" width="13.25" style="852" customWidth="1"/>
    <col min="14083" max="14083" width="15.625" style="852" customWidth="1"/>
    <col min="14084" max="14084" width="9.375" style="852" bestFit="1" customWidth="1"/>
    <col min="14085" max="14085" width="13.5" style="852" customWidth="1"/>
    <col min="14086" max="14086" width="9" style="852"/>
    <col min="14087" max="14087" width="9.375" style="852" bestFit="1" customWidth="1"/>
    <col min="14088" max="14089" width="9" style="852"/>
    <col min="14090" max="14090" width="9.375" style="852" bestFit="1" customWidth="1"/>
    <col min="14091" max="14091" width="4" style="852" customWidth="1"/>
    <col min="14092" max="14092" width="5.125" style="852" customWidth="1"/>
    <col min="14093" max="14093" width="13.75" style="852" customWidth="1"/>
    <col min="14094" max="14336" width="9" style="852"/>
    <col min="14337" max="14337" width="4.875" style="852" customWidth="1"/>
    <col min="14338" max="14338" width="13.25" style="852" customWidth="1"/>
    <col min="14339" max="14339" width="15.625" style="852" customWidth="1"/>
    <col min="14340" max="14340" width="9.375" style="852" bestFit="1" customWidth="1"/>
    <col min="14341" max="14341" width="13.5" style="852" customWidth="1"/>
    <col min="14342" max="14342" width="9" style="852"/>
    <col min="14343" max="14343" width="9.375" style="852" bestFit="1" customWidth="1"/>
    <col min="14344" max="14345" width="9" style="852"/>
    <col min="14346" max="14346" width="9.375" style="852" bestFit="1" customWidth="1"/>
    <col min="14347" max="14347" width="4" style="852" customWidth="1"/>
    <col min="14348" max="14348" width="5.125" style="852" customWidth="1"/>
    <col min="14349" max="14349" width="13.75" style="852" customWidth="1"/>
    <col min="14350" max="14592" width="9" style="852"/>
    <col min="14593" max="14593" width="4.875" style="852" customWidth="1"/>
    <col min="14594" max="14594" width="13.25" style="852" customWidth="1"/>
    <col min="14595" max="14595" width="15.625" style="852" customWidth="1"/>
    <col min="14596" max="14596" width="9.375" style="852" bestFit="1" customWidth="1"/>
    <col min="14597" max="14597" width="13.5" style="852" customWidth="1"/>
    <col min="14598" max="14598" width="9" style="852"/>
    <col min="14599" max="14599" width="9.375" style="852" bestFit="1" customWidth="1"/>
    <col min="14600" max="14601" width="9" style="852"/>
    <col min="14602" max="14602" width="9.375" style="852" bestFit="1" customWidth="1"/>
    <col min="14603" max="14603" width="4" style="852" customWidth="1"/>
    <col min="14604" max="14604" width="5.125" style="852" customWidth="1"/>
    <col min="14605" max="14605" width="13.75" style="852" customWidth="1"/>
    <col min="14606" max="14848" width="9" style="852"/>
    <col min="14849" max="14849" width="4.875" style="852" customWidth="1"/>
    <col min="14850" max="14850" width="13.25" style="852" customWidth="1"/>
    <col min="14851" max="14851" width="15.625" style="852" customWidth="1"/>
    <col min="14852" max="14852" width="9.375" style="852" bestFit="1" customWidth="1"/>
    <col min="14853" max="14853" width="13.5" style="852" customWidth="1"/>
    <col min="14854" max="14854" width="9" style="852"/>
    <col min="14855" max="14855" width="9.375" style="852" bestFit="1" customWidth="1"/>
    <col min="14856" max="14857" width="9" style="852"/>
    <col min="14858" max="14858" width="9.375" style="852" bestFit="1" customWidth="1"/>
    <col min="14859" max="14859" width="4" style="852" customWidth="1"/>
    <col min="14860" max="14860" width="5.125" style="852" customWidth="1"/>
    <col min="14861" max="14861" width="13.75" style="852" customWidth="1"/>
    <col min="14862" max="15104" width="9" style="852"/>
    <col min="15105" max="15105" width="4.875" style="852" customWidth="1"/>
    <col min="15106" max="15106" width="13.25" style="852" customWidth="1"/>
    <col min="15107" max="15107" width="15.625" style="852" customWidth="1"/>
    <col min="15108" max="15108" width="9.375" style="852" bestFit="1" customWidth="1"/>
    <col min="15109" max="15109" width="13.5" style="852" customWidth="1"/>
    <col min="15110" max="15110" width="9" style="852"/>
    <col min="15111" max="15111" width="9.375" style="852" bestFit="1" customWidth="1"/>
    <col min="15112" max="15113" width="9" style="852"/>
    <col min="15114" max="15114" width="9.375" style="852" bestFit="1" customWidth="1"/>
    <col min="15115" max="15115" width="4" style="852" customWidth="1"/>
    <col min="15116" max="15116" width="5.125" style="852" customWidth="1"/>
    <col min="15117" max="15117" width="13.75" style="852" customWidth="1"/>
    <col min="15118" max="15360" width="9" style="852"/>
    <col min="15361" max="15361" width="4.875" style="852" customWidth="1"/>
    <col min="15362" max="15362" width="13.25" style="852" customWidth="1"/>
    <col min="15363" max="15363" width="15.625" style="852" customWidth="1"/>
    <col min="15364" max="15364" width="9.375" style="852" bestFit="1" customWidth="1"/>
    <col min="15365" max="15365" width="13.5" style="852" customWidth="1"/>
    <col min="15366" max="15366" width="9" style="852"/>
    <col min="15367" max="15367" width="9.375" style="852" bestFit="1" customWidth="1"/>
    <col min="15368" max="15369" width="9" style="852"/>
    <col min="15370" max="15370" width="9.375" style="852" bestFit="1" customWidth="1"/>
    <col min="15371" max="15371" width="4" style="852" customWidth="1"/>
    <col min="15372" max="15372" width="5.125" style="852" customWidth="1"/>
    <col min="15373" max="15373" width="13.75" style="852" customWidth="1"/>
    <col min="15374" max="15616" width="9" style="852"/>
    <col min="15617" max="15617" width="4.875" style="852" customWidth="1"/>
    <col min="15618" max="15618" width="13.25" style="852" customWidth="1"/>
    <col min="15619" max="15619" width="15.625" style="852" customWidth="1"/>
    <col min="15620" max="15620" width="9.375" style="852" bestFit="1" customWidth="1"/>
    <col min="15621" max="15621" width="13.5" style="852" customWidth="1"/>
    <col min="15622" max="15622" width="9" style="852"/>
    <col min="15623" max="15623" width="9.375" style="852" bestFit="1" customWidth="1"/>
    <col min="15624" max="15625" width="9" style="852"/>
    <col min="15626" max="15626" width="9.375" style="852" bestFit="1" customWidth="1"/>
    <col min="15627" max="15627" width="4" style="852" customWidth="1"/>
    <col min="15628" max="15628" width="5.125" style="852" customWidth="1"/>
    <col min="15629" max="15629" width="13.75" style="852" customWidth="1"/>
    <col min="15630" max="15872" width="9" style="852"/>
    <col min="15873" max="15873" width="4.875" style="852" customWidth="1"/>
    <col min="15874" max="15874" width="13.25" style="852" customWidth="1"/>
    <col min="15875" max="15875" width="15.625" style="852" customWidth="1"/>
    <col min="15876" max="15876" width="9.375" style="852" bestFit="1" customWidth="1"/>
    <col min="15877" max="15877" width="13.5" style="852" customWidth="1"/>
    <col min="15878" max="15878" width="9" style="852"/>
    <col min="15879" max="15879" width="9.375" style="852" bestFit="1" customWidth="1"/>
    <col min="15880" max="15881" width="9" style="852"/>
    <col min="15882" max="15882" width="9.375" style="852" bestFit="1" customWidth="1"/>
    <col min="15883" max="15883" width="4" style="852" customWidth="1"/>
    <col min="15884" max="15884" width="5.125" style="852" customWidth="1"/>
    <col min="15885" max="15885" width="13.75" style="852" customWidth="1"/>
    <col min="15886" max="16128" width="9" style="852"/>
    <col min="16129" max="16129" width="4.875" style="852" customWidth="1"/>
    <col min="16130" max="16130" width="13.25" style="852" customWidth="1"/>
    <col min="16131" max="16131" width="15.625" style="852" customWidth="1"/>
    <col min="16132" max="16132" width="9.375" style="852" bestFit="1" customWidth="1"/>
    <col min="16133" max="16133" width="13.5" style="852" customWidth="1"/>
    <col min="16134" max="16134" width="9" style="852"/>
    <col min="16135" max="16135" width="9.375" style="852" bestFit="1" customWidth="1"/>
    <col min="16136" max="16137" width="9" style="852"/>
    <col min="16138" max="16138" width="9.375" style="852" bestFit="1" customWidth="1"/>
    <col min="16139" max="16139" width="4" style="852" customWidth="1"/>
    <col min="16140" max="16140" width="5.125" style="852" customWidth="1"/>
    <col min="16141" max="16141" width="13.75" style="852" customWidth="1"/>
    <col min="16142" max="16384" width="9" style="852"/>
  </cols>
  <sheetData>
    <row r="1" spans="1:257" s="898" customFormat="1" ht="14.25" thickBot="1">
      <c r="A1" s="893"/>
      <c r="B1" s="899" t="s">
        <v>596</v>
      </c>
      <c r="C1" s="894">
        <f>项目基本情况!D3</f>
        <v>46049</v>
      </c>
      <c r="D1" s="899" t="s">
        <v>597</v>
      </c>
      <c r="E1" s="3106">
        <f>'数据-取费表'!B22</f>
        <v>2</v>
      </c>
      <c r="F1" s="899" t="s">
        <v>598</v>
      </c>
      <c r="G1" s="895">
        <f ca="1">IF(OR(C1&lt;C27,E1&lt;=1),INDIRECT("d"&amp;$K$1)/100,ROUND((D5+(E1-C5)*(D7-D5)/(C7-C5))/100,4))</f>
        <v>3.1300000000000001E-2</v>
      </c>
      <c r="H1" s="899" t="s">
        <v>628</v>
      </c>
      <c r="I1" s="895">
        <f ca="1">F4/100</f>
        <v>1.4999999999999999E-2</v>
      </c>
      <c r="J1" s="900">
        <f>IF(C1&gt;C13,0,MATCH(C1,C$13:C$115,-1))+IF(SUMIF(C13:C115,C1,D13:D115)=0,13,12)</f>
        <v>13</v>
      </c>
      <c r="K1" s="900">
        <f>MATCH(E1,C3:C7,1)+IF(SUMIF(C3:C7,E1,D3:D7)=0,2,1)</f>
        <v>5</v>
      </c>
      <c r="L1" s="900">
        <f>IF(C1&gt;M13,0,MATCH(C1,M$13:M$100,-1))+IF(SUMIF(M13:M100,C1,N13:N100)=0,13,12)</f>
        <v>13</v>
      </c>
      <c r="M1" s="893"/>
      <c r="N1" s="893"/>
      <c r="O1" s="893"/>
      <c r="P1" s="893"/>
      <c r="Q1" s="893"/>
      <c r="R1" s="893"/>
      <c r="S1" s="893"/>
      <c r="T1" s="893"/>
      <c r="U1" s="893"/>
      <c r="V1" s="893"/>
      <c r="W1" s="893"/>
      <c r="X1" s="893"/>
      <c r="Y1" s="893"/>
      <c r="Z1" s="893"/>
      <c r="AA1" s="896"/>
      <c r="AB1" s="896"/>
      <c r="AC1" s="896"/>
      <c r="AD1" s="896"/>
      <c r="AE1" s="896"/>
      <c r="AF1" s="896"/>
      <c r="AG1" s="896"/>
      <c r="AH1" s="896"/>
      <c r="AI1" s="896"/>
      <c r="AJ1" s="896"/>
      <c r="AK1" s="896"/>
      <c r="AL1" s="896"/>
      <c r="AM1" s="896"/>
      <c r="AN1" s="896"/>
      <c r="AO1" s="896"/>
      <c r="AP1" s="896"/>
      <c r="AQ1" s="896"/>
      <c r="AR1" s="896"/>
      <c r="AS1" s="896"/>
      <c r="AT1" s="896"/>
      <c r="AU1" s="896"/>
      <c r="AV1" s="896"/>
      <c r="AW1" s="896"/>
      <c r="AX1" s="896"/>
      <c r="AY1" s="896"/>
      <c r="AZ1" s="896"/>
      <c r="BA1" s="896"/>
      <c r="BB1" s="896"/>
      <c r="BC1" s="896"/>
      <c r="BD1" s="896"/>
      <c r="BE1" s="896"/>
      <c r="BF1" s="896"/>
      <c r="BG1" s="896"/>
      <c r="BH1" s="896"/>
      <c r="BI1" s="896"/>
      <c r="BJ1" s="896"/>
      <c r="BK1" s="896"/>
      <c r="BL1" s="896"/>
      <c r="BM1" s="896"/>
      <c r="BN1" s="896"/>
      <c r="BO1" s="896"/>
      <c r="BP1" s="896"/>
      <c r="BQ1" s="896"/>
      <c r="BR1" s="896"/>
      <c r="BS1" s="896"/>
      <c r="BT1" s="896"/>
      <c r="BU1" s="896"/>
      <c r="BV1" s="896"/>
      <c r="BW1" s="896"/>
      <c r="BX1" s="896"/>
      <c r="BY1" s="896"/>
      <c r="BZ1" s="896"/>
      <c r="CA1" s="896"/>
      <c r="CB1" s="896"/>
      <c r="CC1" s="896"/>
      <c r="CD1" s="896"/>
      <c r="CE1" s="896"/>
      <c r="CF1" s="896"/>
      <c r="CG1" s="896"/>
      <c r="CH1" s="896"/>
      <c r="CI1" s="896"/>
      <c r="CJ1" s="896"/>
      <c r="CK1" s="896"/>
      <c r="CL1" s="896"/>
      <c r="CM1" s="896"/>
      <c r="CN1" s="896"/>
      <c r="CO1" s="896"/>
      <c r="CP1" s="896"/>
      <c r="CQ1" s="896"/>
      <c r="CR1" s="896"/>
      <c r="CS1" s="896"/>
      <c r="CT1" s="896"/>
      <c r="CU1" s="896"/>
      <c r="CV1" s="896"/>
      <c r="CW1" s="896"/>
      <c r="CX1" s="896"/>
      <c r="CY1" s="896"/>
      <c r="CZ1" s="896"/>
      <c r="DA1" s="896"/>
      <c r="DB1" s="896"/>
      <c r="DC1" s="896"/>
      <c r="DD1" s="896"/>
      <c r="DE1" s="896"/>
      <c r="DF1" s="896"/>
      <c r="DG1" s="896"/>
      <c r="DH1" s="896"/>
      <c r="DI1" s="896"/>
      <c r="DJ1" s="896"/>
      <c r="DK1" s="896"/>
      <c r="DL1" s="896"/>
      <c r="DM1" s="896"/>
      <c r="DN1" s="896"/>
      <c r="DO1" s="896"/>
      <c r="DP1" s="896"/>
      <c r="DQ1" s="896"/>
      <c r="DR1" s="896"/>
      <c r="DS1" s="896"/>
      <c r="DT1" s="896"/>
      <c r="DU1" s="896"/>
      <c r="DV1" s="896"/>
      <c r="DW1" s="896"/>
      <c r="DX1" s="896"/>
      <c r="DY1" s="896"/>
      <c r="DZ1" s="896"/>
      <c r="EA1" s="896"/>
      <c r="EB1" s="896"/>
      <c r="EC1" s="896"/>
      <c r="ED1" s="896"/>
      <c r="EE1" s="896"/>
      <c r="EF1" s="896"/>
      <c r="EG1" s="896"/>
      <c r="EH1" s="896"/>
      <c r="EI1" s="896"/>
      <c r="EJ1" s="896"/>
      <c r="EK1" s="896"/>
      <c r="EL1" s="896"/>
      <c r="EM1" s="896"/>
      <c r="EN1" s="896"/>
      <c r="EO1" s="896"/>
      <c r="EP1" s="896"/>
      <c r="EQ1" s="896"/>
      <c r="ER1" s="896"/>
      <c r="ES1" s="896"/>
      <c r="ET1" s="896"/>
      <c r="EU1" s="896"/>
      <c r="EV1" s="896"/>
      <c r="EW1" s="896"/>
      <c r="EX1" s="896"/>
      <c r="EY1" s="896"/>
      <c r="EZ1" s="896"/>
      <c r="FA1" s="896"/>
      <c r="FB1" s="896"/>
      <c r="FC1" s="896"/>
      <c r="FD1" s="896"/>
      <c r="FE1" s="896"/>
      <c r="FF1" s="896"/>
      <c r="FG1" s="896"/>
      <c r="FH1" s="896"/>
      <c r="FI1" s="896"/>
      <c r="FJ1" s="896"/>
      <c r="FK1" s="896"/>
      <c r="FL1" s="896"/>
      <c r="FM1" s="896"/>
      <c r="FN1" s="896"/>
      <c r="FO1" s="896"/>
      <c r="FP1" s="896"/>
      <c r="FQ1" s="896"/>
      <c r="FR1" s="896"/>
      <c r="FS1" s="896"/>
      <c r="FT1" s="896"/>
      <c r="FU1" s="896"/>
      <c r="FV1" s="896"/>
      <c r="FW1" s="896"/>
      <c r="FX1" s="896"/>
      <c r="FY1" s="896"/>
      <c r="FZ1" s="896"/>
      <c r="GA1" s="896"/>
      <c r="GB1" s="896"/>
      <c r="GC1" s="896"/>
      <c r="GD1" s="896"/>
      <c r="GE1" s="896"/>
      <c r="GF1" s="896"/>
      <c r="GG1" s="896"/>
      <c r="GH1" s="896"/>
      <c r="GI1" s="896"/>
      <c r="GJ1" s="896"/>
      <c r="GK1" s="896"/>
      <c r="GL1" s="896"/>
      <c r="GM1" s="896"/>
      <c r="GN1" s="896"/>
      <c r="GO1" s="896"/>
      <c r="GP1" s="896"/>
      <c r="GQ1" s="896"/>
      <c r="GR1" s="896"/>
      <c r="GS1" s="896"/>
      <c r="GT1" s="896"/>
      <c r="GU1" s="896"/>
      <c r="GV1" s="896"/>
      <c r="GW1" s="896"/>
      <c r="GX1" s="896"/>
      <c r="GY1" s="896"/>
      <c r="GZ1" s="896"/>
      <c r="HA1" s="896"/>
      <c r="HB1" s="896"/>
      <c r="HC1" s="896"/>
      <c r="HD1" s="896"/>
      <c r="HE1" s="896"/>
      <c r="HF1" s="896"/>
      <c r="HG1" s="896"/>
      <c r="HH1" s="896"/>
      <c r="HI1" s="896"/>
      <c r="HJ1" s="896"/>
      <c r="HK1" s="896"/>
      <c r="HL1" s="896"/>
      <c r="HM1" s="896"/>
      <c r="HN1" s="896"/>
      <c r="HO1" s="896"/>
      <c r="HP1" s="896"/>
      <c r="HQ1" s="896"/>
      <c r="HR1" s="896"/>
      <c r="HS1" s="896"/>
      <c r="HT1" s="896"/>
      <c r="HU1" s="896"/>
      <c r="HV1" s="896"/>
      <c r="HW1" s="896"/>
      <c r="HX1" s="896"/>
      <c r="HY1" s="896"/>
      <c r="HZ1" s="896"/>
      <c r="IA1" s="896"/>
      <c r="IB1" s="896"/>
      <c r="IC1" s="896"/>
      <c r="ID1" s="896"/>
      <c r="IE1" s="896"/>
      <c r="IF1" s="896"/>
      <c r="IG1" s="896"/>
      <c r="IH1" s="896"/>
      <c r="II1" s="896"/>
      <c r="IJ1" s="896"/>
      <c r="IK1" s="896"/>
      <c r="IL1" s="896"/>
      <c r="IM1" s="896"/>
      <c r="IN1" s="896"/>
      <c r="IO1" s="896"/>
      <c r="IP1" s="896"/>
      <c r="IQ1" s="896"/>
      <c r="IR1" s="896"/>
      <c r="IS1" s="896"/>
      <c r="IT1" s="896"/>
      <c r="IU1" s="896"/>
      <c r="IV1" s="896"/>
      <c r="IW1" s="897"/>
    </row>
    <row r="2" spans="1:257" ht="15" thickTop="1" thickBot="1">
      <c r="A2" s="853"/>
      <c r="B2" s="853"/>
      <c r="C2" s="853"/>
      <c r="D2" s="853" t="s">
        <v>599</v>
      </c>
      <c r="E2" s="853"/>
      <c r="F2" s="853" t="s">
        <v>600</v>
      </c>
      <c r="G2" s="854"/>
      <c r="H2" s="853"/>
      <c r="I2" s="853"/>
      <c r="J2" s="853"/>
      <c r="K2" s="853"/>
      <c r="L2" s="853"/>
      <c r="M2" s="853"/>
      <c r="N2" s="853"/>
      <c r="O2" s="853"/>
      <c r="P2" s="853"/>
      <c r="Q2" s="853"/>
      <c r="R2" s="853"/>
      <c r="S2" s="853"/>
      <c r="T2" s="853"/>
      <c r="U2" s="853"/>
      <c r="V2" s="853"/>
      <c r="W2" s="853"/>
      <c r="X2" s="853"/>
      <c r="Y2" s="853"/>
      <c r="Z2" s="853"/>
      <c r="AA2" s="853"/>
      <c r="AB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FX2" s="853"/>
      <c r="FY2" s="853"/>
      <c r="FZ2" s="853"/>
      <c r="GA2" s="853"/>
      <c r="GB2" s="853"/>
      <c r="GC2" s="853"/>
      <c r="GD2" s="853"/>
      <c r="GE2" s="853"/>
      <c r="GF2" s="853"/>
      <c r="GG2" s="853"/>
      <c r="GH2" s="853"/>
      <c r="GI2" s="853"/>
      <c r="GJ2" s="853"/>
      <c r="GK2" s="853"/>
      <c r="GL2" s="853"/>
      <c r="GM2" s="853"/>
      <c r="GN2" s="853"/>
      <c r="GO2" s="853"/>
      <c r="GP2" s="853"/>
      <c r="GQ2" s="853"/>
      <c r="GR2" s="853"/>
      <c r="GS2" s="853"/>
      <c r="GT2" s="853"/>
      <c r="GU2" s="853"/>
      <c r="GV2" s="853"/>
      <c r="GW2" s="853"/>
      <c r="GX2" s="853"/>
      <c r="GY2" s="853"/>
      <c r="GZ2" s="853"/>
      <c r="HA2" s="853"/>
      <c r="HB2" s="853"/>
      <c r="HC2" s="853"/>
      <c r="HD2" s="853"/>
      <c r="HE2" s="853"/>
      <c r="HF2" s="853"/>
      <c r="HG2" s="853"/>
      <c r="HH2" s="853"/>
      <c r="HI2" s="853"/>
      <c r="HJ2" s="853"/>
      <c r="HK2" s="853"/>
      <c r="HL2" s="853"/>
      <c r="HM2" s="853"/>
      <c r="HN2" s="853"/>
      <c r="HO2" s="853"/>
      <c r="HP2" s="853"/>
      <c r="HQ2" s="853"/>
      <c r="HR2" s="853"/>
      <c r="HS2" s="853"/>
      <c r="HT2" s="853"/>
      <c r="HU2" s="853"/>
      <c r="HV2" s="853"/>
      <c r="HW2" s="853"/>
      <c r="HX2" s="853"/>
      <c r="HY2" s="853"/>
      <c r="HZ2" s="853"/>
      <c r="IA2" s="853"/>
      <c r="IB2" s="853"/>
      <c r="IC2" s="853"/>
      <c r="ID2" s="853"/>
      <c r="IE2" s="853"/>
      <c r="IF2" s="853"/>
      <c r="IG2" s="853"/>
      <c r="IH2" s="853"/>
      <c r="II2" s="853"/>
      <c r="IJ2" s="853"/>
      <c r="IK2" s="853"/>
      <c r="IL2" s="853"/>
      <c r="IM2" s="853"/>
      <c r="IN2" s="853"/>
      <c r="IO2" s="853"/>
      <c r="IP2" s="853"/>
      <c r="IQ2" s="853"/>
      <c r="IR2" s="853"/>
      <c r="IS2" s="853"/>
      <c r="IT2" s="853"/>
      <c r="IU2" s="853"/>
      <c r="IV2" s="853"/>
      <c r="IW2" s="853"/>
    </row>
    <row r="3" spans="1:257">
      <c r="B3" s="856" t="s">
        <v>601</v>
      </c>
      <c r="C3" s="3107">
        <v>0</v>
      </c>
      <c r="D3" s="3110">
        <f ca="1">INDIRECT("d"&amp;$J$1)</f>
        <v>3</v>
      </c>
      <c r="E3" s="3111">
        <v>0.5</v>
      </c>
      <c r="F3" s="3112">
        <f ca="1">INDIRECT("p"&amp;$L$1)</f>
        <v>1.3</v>
      </c>
      <c r="G3" s="855"/>
      <c r="H3" s="855"/>
      <c r="I3" s="855"/>
      <c r="J3" s="855"/>
      <c r="L3" s="855"/>
      <c r="M3" s="855"/>
      <c r="N3" s="855"/>
      <c r="O3" s="855"/>
      <c r="P3" s="855"/>
      <c r="Q3" s="855"/>
      <c r="R3" s="855"/>
      <c r="S3" s="855"/>
      <c r="T3" s="855"/>
      <c r="U3" s="855"/>
      <c r="V3" s="855"/>
      <c r="W3" s="855"/>
      <c r="X3" s="855"/>
      <c r="Y3" s="855"/>
      <c r="Z3" s="855"/>
    </row>
    <row r="4" spans="1:257">
      <c r="B4" s="858" t="s">
        <v>602</v>
      </c>
      <c r="C4" s="3108">
        <v>0.5</v>
      </c>
      <c r="D4" s="3113">
        <f ca="1">INDIRECT("e"&amp;$J$1)</f>
        <v>3</v>
      </c>
      <c r="E4" s="3114">
        <v>1</v>
      </c>
      <c r="F4" s="3115">
        <f ca="1">INDIRECT("q"&amp;$L$1)</f>
        <v>1.5</v>
      </c>
      <c r="G4" s="855"/>
      <c r="H4" s="855"/>
      <c r="I4" s="855"/>
      <c r="J4" s="855"/>
      <c r="L4" s="855"/>
      <c r="M4" s="855"/>
      <c r="N4" s="855"/>
      <c r="O4" s="855"/>
      <c r="P4" s="855"/>
      <c r="Q4" s="855"/>
      <c r="R4" s="855"/>
      <c r="S4" s="855"/>
      <c r="T4" s="855"/>
      <c r="U4" s="855"/>
      <c r="V4" s="855"/>
      <c r="W4" s="855"/>
      <c r="X4" s="855"/>
      <c r="Y4" s="855"/>
      <c r="Z4" s="855"/>
    </row>
    <row r="5" spans="1:257">
      <c r="B5" s="858" t="s">
        <v>603</v>
      </c>
      <c r="C5" s="3108">
        <v>1</v>
      </c>
      <c r="D5" s="3113">
        <f ca="1">INDIRECT("f"&amp;$J$1)</f>
        <v>3</v>
      </c>
      <c r="E5" s="3114">
        <v>2</v>
      </c>
      <c r="F5" s="3115">
        <f ca="1">INDIRECT("r"&amp;$L$1)</f>
        <v>2.1</v>
      </c>
      <c r="G5" s="855"/>
      <c r="H5" s="855"/>
      <c r="I5" s="855"/>
      <c r="J5" s="855"/>
      <c r="L5" s="855"/>
      <c r="M5" s="855"/>
      <c r="N5" s="855"/>
      <c r="O5" s="855"/>
      <c r="P5" s="855"/>
      <c r="Q5" s="855"/>
      <c r="R5" s="855"/>
      <c r="S5" s="855"/>
      <c r="T5" s="855"/>
      <c r="U5" s="855"/>
      <c r="V5" s="855"/>
      <c r="W5" s="855"/>
      <c r="X5" s="855"/>
      <c r="Y5" s="855"/>
      <c r="Z5" s="855"/>
    </row>
    <row r="6" spans="1:257">
      <c r="B6" s="858" t="s">
        <v>604</v>
      </c>
      <c r="C6" s="3108">
        <v>3</v>
      </c>
      <c r="D6" s="3113">
        <f ca="1">INDIRECT("g"&amp;$J$1)</f>
        <v>3</v>
      </c>
      <c r="E6" s="3114">
        <v>3</v>
      </c>
      <c r="F6" s="3115">
        <f ca="1">INDIRECT("s"&amp;$L$1)</f>
        <v>2.75</v>
      </c>
      <c r="G6" s="855"/>
      <c r="H6" s="855"/>
      <c r="I6" s="855"/>
      <c r="J6" s="855"/>
      <c r="L6" s="855"/>
      <c r="M6" s="855"/>
      <c r="N6" s="855"/>
      <c r="O6" s="855"/>
      <c r="P6" s="855"/>
      <c r="Q6" s="855"/>
      <c r="R6" s="855"/>
      <c r="S6" s="855"/>
      <c r="T6" s="855"/>
      <c r="U6" s="855"/>
      <c r="V6" s="855"/>
      <c r="W6" s="855"/>
      <c r="X6" s="855"/>
      <c r="Y6" s="855"/>
      <c r="Z6" s="855"/>
    </row>
    <row r="7" spans="1:257" ht="14.25" thickBot="1">
      <c r="B7" s="859" t="s">
        <v>605</v>
      </c>
      <c r="C7" s="3109">
        <v>5</v>
      </c>
      <c r="D7" s="3116">
        <f ca="1">INDIRECT("h"&amp;$J$1)</f>
        <v>3.5</v>
      </c>
      <c r="E7" s="3117">
        <v>5</v>
      </c>
      <c r="F7" s="3118">
        <f ca="1">INDIRECT("t"&amp;$L$1)</f>
        <v>0</v>
      </c>
      <c r="G7" s="855"/>
      <c r="H7" s="855"/>
      <c r="I7" s="855"/>
      <c r="J7" s="855"/>
      <c r="L7" s="855"/>
      <c r="M7" s="855"/>
      <c r="N7" s="855"/>
      <c r="O7" s="855"/>
      <c r="P7" s="855"/>
      <c r="Q7" s="855"/>
      <c r="R7" s="855"/>
      <c r="S7" s="855"/>
      <c r="T7" s="855"/>
      <c r="U7" s="855"/>
      <c r="V7" s="855"/>
      <c r="W7" s="855"/>
      <c r="X7" s="855"/>
      <c r="Y7" s="855"/>
      <c r="Z7" s="855"/>
    </row>
    <row r="8" spans="1:257">
      <c r="A8" s="860"/>
      <c r="B8" s="861"/>
      <c r="C8" s="862"/>
      <c r="D8" s="855"/>
      <c r="E8" s="855"/>
      <c r="F8" s="855"/>
      <c r="G8" s="855"/>
      <c r="H8" s="855"/>
      <c r="I8" s="855"/>
      <c r="J8" s="855"/>
      <c r="L8" s="855"/>
      <c r="M8" s="855"/>
      <c r="N8" s="855"/>
      <c r="O8" s="855"/>
      <c r="P8" s="855"/>
      <c r="Q8" s="855"/>
      <c r="R8" s="855"/>
      <c r="S8" s="855"/>
      <c r="T8" s="855"/>
      <c r="U8" s="855"/>
      <c r="V8" s="855"/>
      <c r="W8" s="855"/>
      <c r="X8" s="855"/>
      <c r="Y8" s="855"/>
      <c r="Z8" s="855"/>
    </row>
    <row r="9" spans="1:257" ht="20.25">
      <c r="A9" s="863"/>
      <c r="B9" s="864" t="s">
        <v>606</v>
      </c>
      <c r="C9" s="865"/>
      <c r="D9" s="866"/>
      <c r="E9" s="866"/>
      <c r="F9" s="866"/>
      <c r="G9" s="866"/>
      <c r="H9" s="866"/>
      <c r="I9" s="866"/>
      <c r="J9" s="866"/>
      <c r="K9" s="866"/>
      <c r="L9" s="866"/>
      <c r="M9" s="866"/>
      <c r="N9" s="866"/>
      <c r="O9" s="866"/>
      <c r="P9" s="866"/>
      <c r="Q9" s="866"/>
      <c r="R9" s="866"/>
      <c r="S9" s="866"/>
      <c r="T9" s="866"/>
      <c r="U9" s="866"/>
      <c r="V9" s="866"/>
      <c r="W9" s="866"/>
      <c r="X9" s="866"/>
      <c r="Y9" s="866"/>
      <c r="Z9" s="866"/>
      <c r="AA9" s="867"/>
      <c r="AB9" s="867"/>
      <c r="AC9" s="867"/>
      <c r="AD9" s="867"/>
      <c r="AE9" s="867"/>
      <c r="AF9" s="867"/>
      <c r="AG9" s="867"/>
      <c r="AH9" s="867"/>
      <c r="AI9" s="867"/>
      <c r="AJ9" s="867"/>
      <c r="AK9" s="867"/>
      <c r="AL9" s="867"/>
      <c r="AM9" s="867"/>
      <c r="AN9" s="867"/>
      <c r="AO9" s="867"/>
      <c r="AP9" s="867"/>
      <c r="AQ9" s="867"/>
      <c r="AR9" s="867"/>
      <c r="AS9" s="867"/>
      <c r="AT9" s="867"/>
      <c r="AU9" s="867"/>
      <c r="AV9" s="867"/>
      <c r="AW9" s="867"/>
      <c r="AX9" s="867"/>
      <c r="AY9" s="867"/>
      <c r="AZ9" s="867"/>
      <c r="BA9" s="867"/>
      <c r="BB9" s="867"/>
      <c r="BC9" s="867"/>
      <c r="BD9" s="867"/>
      <c r="BE9" s="867"/>
      <c r="BF9" s="867"/>
      <c r="BG9" s="867"/>
      <c r="BH9" s="867"/>
      <c r="BI9" s="867"/>
      <c r="BJ9" s="867"/>
      <c r="BK9" s="867"/>
      <c r="BL9" s="867"/>
      <c r="BM9" s="867"/>
      <c r="BN9" s="867"/>
      <c r="BO9" s="867"/>
      <c r="BP9" s="867"/>
      <c r="BQ9" s="867"/>
      <c r="BR9" s="867"/>
      <c r="BS9" s="867"/>
      <c r="BT9" s="867"/>
      <c r="BU9" s="867"/>
      <c r="BV9" s="867"/>
      <c r="BW9" s="867"/>
      <c r="BX9" s="867"/>
      <c r="BY9" s="867"/>
      <c r="BZ9" s="867"/>
      <c r="CA9" s="867"/>
      <c r="CB9" s="867"/>
      <c r="CC9" s="867"/>
      <c r="CD9" s="867"/>
      <c r="CE9" s="867"/>
      <c r="CF9" s="867"/>
      <c r="CG9" s="867"/>
      <c r="CH9" s="867"/>
      <c r="CI9" s="867"/>
      <c r="CJ9" s="867"/>
      <c r="CK9" s="867"/>
      <c r="CL9" s="867"/>
      <c r="CM9" s="867"/>
      <c r="CN9" s="867"/>
      <c r="CO9" s="867"/>
      <c r="CP9" s="867"/>
      <c r="CQ9" s="867"/>
      <c r="CR9" s="867"/>
      <c r="CS9" s="867"/>
      <c r="CT9" s="867"/>
      <c r="CU9" s="867"/>
      <c r="CV9" s="867"/>
      <c r="CW9" s="867"/>
      <c r="CX9" s="867"/>
      <c r="CY9" s="867"/>
      <c r="CZ9" s="867"/>
      <c r="DA9" s="867"/>
      <c r="DB9" s="867"/>
      <c r="DC9" s="867"/>
      <c r="DD9" s="867"/>
      <c r="DE9" s="867"/>
      <c r="DF9" s="867"/>
      <c r="DG9" s="867"/>
      <c r="DH9" s="867"/>
      <c r="DI9" s="867"/>
      <c r="DJ9" s="867"/>
      <c r="DK9" s="867"/>
      <c r="DL9" s="867"/>
      <c r="DM9" s="867"/>
      <c r="DN9" s="867"/>
      <c r="DO9" s="867"/>
      <c r="DP9" s="867"/>
      <c r="DQ9" s="867"/>
      <c r="DR9" s="867"/>
      <c r="DS9" s="867"/>
      <c r="DT9" s="867"/>
      <c r="DU9" s="867"/>
      <c r="DV9" s="867"/>
      <c r="DW9" s="867"/>
      <c r="DX9" s="867"/>
      <c r="DY9" s="867"/>
      <c r="DZ9" s="867"/>
      <c r="EA9" s="867"/>
      <c r="EB9" s="867"/>
      <c r="EC9" s="867"/>
      <c r="ED9" s="867"/>
      <c r="EE9" s="867"/>
      <c r="EF9" s="867"/>
      <c r="EG9" s="867"/>
      <c r="EH9" s="867"/>
      <c r="EI9" s="867"/>
      <c r="EJ9" s="867"/>
      <c r="EK9" s="867"/>
      <c r="EL9" s="867"/>
      <c r="EM9" s="867"/>
      <c r="EN9" s="867"/>
      <c r="EO9" s="867"/>
      <c r="EP9" s="867"/>
      <c r="EQ9" s="867"/>
      <c r="ER9" s="867"/>
      <c r="ES9" s="867"/>
      <c r="ET9" s="867"/>
      <c r="EU9" s="867"/>
      <c r="EV9" s="867"/>
      <c r="EW9" s="867"/>
      <c r="EX9" s="867"/>
      <c r="EY9" s="867"/>
      <c r="EZ9" s="867"/>
      <c r="FA9" s="867"/>
      <c r="FB9" s="867"/>
      <c r="FC9" s="867"/>
      <c r="FD9" s="867"/>
      <c r="FE9" s="867"/>
      <c r="FF9" s="867"/>
      <c r="FG9" s="867"/>
      <c r="FH9" s="867"/>
      <c r="FI9" s="867"/>
      <c r="FJ9" s="867"/>
      <c r="FK9" s="867"/>
      <c r="FL9" s="867"/>
      <c r="FM9" s="867"/>
      <c r="FN9" s="867"/>
      <c r="FO9" s="867"/>
      <c r="FP9" s="867"/>
      <c r="FQ9" s="867"/>
      <c r="FR9" s="867"/>
      <c r="FS9" s="867"/>
      <c r="FT9" s="867"/>
      <c r="FU9" s="867"/>
      <c r="FV9" s="867"/>
      <c r="FW9" s="867"/>
      <c r="FX9" s="867"/>
      <c r="FY9" s="867"/>
      <c r="FZ9" s="867"/>
      <c r="GA9" s="867"/>
      <c r="GB9" s="867"/>
      <c r="GC9" s="867"/>
      <c r="GD9" s="867"/>
      <c r="GE9" s="867"/>
      <c r="GF9" s="867"/>
      <c r="GG9" s="867"/>
      <c r="GH9" s="867"/>
      <c r="GI9" s="867"/>
      <c r="GJ9" s="867"/>
      <c r="GK9" s="867"/>
      <c r="GL9" s="867"/>
      <c r="GM9" s="867"/>
      <c r="GN9" s="867"/>
      <c r="GO9" s="867"/>
      <c r="GP9" s="867"/>
      <c r="GQ9" s="867"/>
      <c r="GR9" s="867"/>
      <c r="GS9" s="867"/>
      <c r="GT9" s="867"/>
      <c r="GU9" s="867"/>
      <c r="GV9" s="867"/>
      <c r="GW9" s="867"/>
      <c r="GX9" s="867"/>
      <c r="GY9" s="867"/>
      <c r="GZ9" s="867"/>
      <c r="HA9" s="867"/>
      <c r="HB9" s="867"/>
      <c r="HC9" s="867"/>
      <c r="HD9" s="867"/>
      <c r="HE9" s="867"/>
      <c r="HF9" s="867"/>
      <c r="HG9" s="867"/>
      <c r="HH9" s="867"/>
      <c r="HI9" s="867"/>
      <c r="HJ9" s="867"/>
      <c r="HK9" s="867"/>
      <c r="HL9" s="867"/>
      <c r="HM9" s="867"/>
      <c r="HN9" s="867"/>
      <c r="HO9" s="867"/>
      <c r="HP9" s="867"/>
      <c r="HQ9" s="867"/>
      <c r="HR9" s="867"/>
      <c r="HS9" s="867"/>
      <c r="HT9" s="867"/>
      <c r="HU9" s="867"/>
      <c r="HV9" s="867"/>
      <c r="HW9" s="867"/>
      <c r="HX9" s="867"/>
      <c r="HY9" s="867"/>
      <c r="HZ9" s="867"/>
      <c r="IA9" s="867"/>
      <c r="IB9" s="867"/>
      <c r="IC9" s="867"/>
      <c r="ID9" s="867"/>
      <c r="IE9" s="867"/>
      <c r="IF9" s="867"/>
      <c r="IG9" s="867"/>
      <c r="IH9" s="867"/>
      <c r="II9" s="867"/>
      <c r="IJ9" s="867"/>
      <c r="IK9" s="867"/>
      <c r="IL9" s="867"/>
      <c r="IM9" s="867"/>
      <c r="IN9" s="867"/>
      <c r="IO9" s="867"/>
      <c r="IP9" s="867"/>
      <c r="IQ9" s="867"/>
      <c r="IR9" s="867"/>
      <c r="IS9" s="867"/>
      <c r="IT9" s="867"/>
      <c r="IU9" s="867"/>
      <c r="IV9" s="867"/>
      <c r="IW9" s="868"/>
    </row>
    <row r="10" spans="1:257" ht="22.5">
      <c r="A10" s="869"/>
      <c r="B10" s="870" t="s">
        <v>607</v>
      </c>
      <c r="C10" s="869"/>
      <c r="D10" s="869"/>
      <c r="E10" s="869"/>
      <c r="F10" s="869"/>
      <c r="G10" s="869"/>
      <c r="H10" s="869"/>
      <c r="I10" s="855"/>
      <c r="J10" s="855"/>
      <c r="K10" s="869"/>
      <c r="L10" s="870" t="s">
        <v>608</v>
      </c>
      <c r="M10" s="869"/>
      <c r="N10" s="869"/>
      <c r="O10" s="869"/>
      <c r="P10" s="869"/>
      <c r="Q10" s="869"/>
      <c r="R10" s="869"/>
      <c r="S10" s="869"/>
      <c r="T10" s="869"/>
      <c r="U10" s="869"/>
      <c r="V10" s="869"/>
      <c r="W10" s="869"/>
      <c r="X10" s="869"/>
      <c r="Y10" s="869"/>
      <c r="Z10" s="869"/>
      <c r="AA10" s="871"/>
      <c r="AB10" s="871"/>
      <c r="AC10" s="871"/>
      <c r="AD10" s="871"/>
      <c r="AE10" s="871"/>
      <c r="AF10" s="871"/>
      <c r="AG10" s="871"/>
      <c r="AH10" s="871"/>
      <c r="AI10" s="871"/>
      <c r="AJ10" s="871"/>
      <c r="AK10" s="871"/>
      <c r="AL10" s="871"/>
      <c r="AM10" s="871"/>
      <c r="AN10" s="871"/>
      <c r="AO10" s="871"/>
      <c r="AP10" s="871"/>
      <c r="AQ10" s="871"/>
      <c r="AR10" s="871"/>
      <c r="AS10" s="871"/>
      <c r="AT10" s="871"/>
      <c r="AU10" s="871"/>
      <c r="AV10" s="871"/>
      <c r="AW10" s="871"/>
      <c r="AX10" s="871"/>
      <c r="AY10" s="871"/>
      <c r="AZ10" s="871"/>
      <c r="BA10" s="871"/>
      <c r="BB10" s="871"/>
      <c r="BC10" s="871"/>
      <c r="BD10" s="871"/>
      <c r="BE10" s="871"/>
      <c r="BF10" s="871"/>
      <c r="BG10" s="871"/>
      <c r="BH10" s="871"/>
      <c r="BI10" s="871"/>
      <c r="BJ10" s="871"/>
      <c r="BK10" s="871"/>
      <c r="BL10" s="871"/>
      <c r="BM10" s="871"/>
      <c r="BN10" s="871"/>
      <c r="BO10" s="871"/>
      <c r="BP10" s="871"/>
      <c r="BQ10" s="871"/>
      <c r="BR10" s="871"/>
      <c r="BS10" s="871"/>
      <c r="BT10" s="871"/>
      <c r="BU10" s="871"/>
      <c r="BV10" s="871"/>
      <c r="BW10" s="871"/>
      <c r="BX10" s="871"/>
      <c r="BY10" s="871"/>
      <c r="BZ10" s="871"/>
      <c r="CA10" s="871"/>
      <c r="CB10" s="871"/>
      <c r="CC10" s="871"/>
      <c r="CD10" s="871"/>
      <c r="CE10" s="871"/>
      <c r="CF10" s="871"/>
      <c r="CG10" s="871"/>
      <c r="CH10" s="871"/>
      <c r="CI10" s="871"/>
      <c r="CJ10" s="871"/>
      <c r="CK10" s="871"/>
      <c r="CL10" s="871"/>
      <c r="CM10" s="871"/>
      <c r="CN10" s="871"/>
      <c r="CO10" s="871"/>
      <c r="CP10" s="871"/>
      <c r="CQ10" s="871"/>
      <c r="CR10" s="871"/>
      <c r="CS10" s="871"/>
      <c r="CT10" s="871"/>
      <c r="CU10" s="871"/>
      <c r="CV10" s="871"/>
      <c r="CW10" s="871"/>
      <c r="CX10" s="871"/>
      <c r="CY10" s="871"/>
      <c r="CZ10" s="871"/>
      <c r="DA10" s="871"/>
      <c r="DB10" s="871"/>
      <c r="DC10" s="871"/>
      <c r="DD10" s="871"/>
      <c r="DE10" s="871"/>
      <c r="DF10" s="871"/>
      <c r="DG10" s="871"/>
      <c r="DH10" s="871"/>
      <c r="DI10" s="871"/>
      <c r="DJ10" s="871"/>
      <c r="DK10" s="871"/>
      <c r="DL10" s="871"/>
      <c r="DM10" s="871"/>
      <c r="DN10" s="871"/>
      <c r="DO10" s="871"/>
      <c r="DP10" s="871"/>
      <c r="DQ10" s="871"/>
      <c r="DR10" s="871"/>
      <c r="DS10" s="871"/>
      <c r="DT10" s="871"/>
      <c r="DU10" s="871"/>
      <c r="DV10" s="871"/>
      <c r="DW10" s="871"/>
      <c r="DX10" s="871"/>
      <c r="DY10" s="871"/>
      <c r="DZ10" s="871"/>
      <c r="EA10" s="871"/>
      <c r="EB10" s="871"/>
      <c r="EC10" s="871"/>
      <c r="ED10" s="871"/>
      <c r="EE10" s="871"/>
      <c r="EF10" s="871"/>
      <c r="EG10" s="871"/>
      <c r="EH10" s="871"/>
      <c r="EI10" s="871"/>
      <c r="EJ10" s="871"/>
      <c r="EK10" s="871"/>
      <c r="EL10" s="871"/>
      <c r="EM10" s="871"/>
      <c r="EN10" s="871"/>
      <c r="EO10" s="871"/>
      <c r="EP10" s="871"/>
      <c r="EQ10" s="871"/>
      <c r="ER10" s="871"/>
      <c r="ES10" s="871"/>
      <c r="ET10" s="871"/>
      <c r="EU10" s="871"/>
      <c r="EV10" s="871"/>
      <c r="EW10" s="871"/>
      <c r="EX10" s="871"/>
      <c r="EY10" s="871"/>
      <c r="EZ10" s="871"/>
      <c r="FA10" s="871"/>
      <c r="FB10" s="871"/>
      <c r="FC10" s="871"/>
      <c r="FD10" s="871"/>
      <c r="FE10" s="871"/>
      <c r="FF10" s="871"/>
      <c r="FG10" s="871"/>
      <c r="FH10" s="871"/>
      <c r="FI10" s="871"/>
      <c r="FJ10" s="871"/>
      <c r="FK10" s="871"/>
      <c r="FL10" s="871"/>
      <c r="FM10" s="871"/>
      <c r="FN10" s="871"/>
      <c r="FO10" s="871"/>
      <c r="FP10" s="871"/>
      <c r="FQ10" s="871"/>
      <c r="FR10" s="871"/>
      <c r="FS10" s="871"/>
      <c r="FT10" s="871"/>
      <c r="FU10" s="871"/>
      <c r="FV10" s="871"/>
      <c r="FW10" s="871"/>
      <c r="FX10" s="871"/>
      <c r="FY10" s="871"/>
      <c r="FZ10" s="871"/>
      <c r="GA10" s="871"/>
      <c r="GB10" s="871"/>
      <c r="GC10" s="871"/>
      <c r="GD10" s="871"/>
      <c r="GE10" s="871"/>
      <c r="GF10" s="871"/>
      <c r="GG10" s="871"/>
      <c r="GH10" s="871"/>
      <c r="GI10" s="871"/>
      <c r="GJ10" s="871"/>
      <c r="GK10" s="871"/>
      <c r="GL10" s="871"/>
      <c r="GM10" s="871"/>
      <c r="GN10" s="871"/>
      <c r="GO10" s="871"/>
      <c r="GP10" s="871"/>
      <c r="GQ10" s="871"/>
      <c r="GR10" s="871"/>
      <c r="GS10" s="871"/>
      <c r="GT10" s="871"/>
      <c r="GU10" s="871"/>
      <c r="GV10" s="871"/>
      <c r="GW10" s="871"/>
      <c r="GX10" s="871"/>
      <c r="GY10" s="871"/>
      <c r="GZ10" s="871"/>
      <c r="HA10" s="871"/>
      <c r="HB10" s="871"/>
      <c r="HC10" s="871"/>
      <c r="HD10" s="871"/>
      <c r="HE10" s="871"/>
      <c r="HF10" s="871"/>
      <c r="HG10" s="871"/>
      <c r="HH10" s="871"/>
      <c r="HI10" s="871"/>
      <c r="HJ10" s="871"/>
      <c r="HK10" s="871"/>
      <c r="HL10" s="871"/>
      <c r="HM10" s="871"/>
      <c r="HN10" s="871"/>
      <c r="HO10" s="871"/>
      <c r="HP10" s="871"/>
      <c r="HQ10" s="871"/>
      <c r="HR10" s="871"/>
      <c r="HS10" s="871"/>
      <c r="HT10" s="871"/>
      <c r="HU10" s="871"/>
      <c r="HV10" s="871"/>
      <c r="HW10" s="871"/>
      <c r="HX10" s="871"/>
      <c r="HY10" s="871"/>
      <c r="HZ10" s="871"/>
      <c r="IA10" s="871"/>
      <c r="IB10" s="871"/>
      <c r="IC10" s="871"/>
      <c r="ID10" s="871"/>
      <c r="IE10" s="871"/>
      <c r="IF10" s="871"/>
      <c r="IG10" s="871"/>
      <c r="IH10" s="871"/>
      <c r="II10" s="871"/>
      <c r="IJ10" s="871"/>
      <c r="IK10" s="871"/>
      <c r="IL10" s="871"/>
      <c r="IM10" s="871"/>
      <c r="IN10" s="871"/>
      <c r="IO10" s="871"/>
      <c r="IP10" s="871"/>
      <c r="IQ10" s="871"/>
      <c r="IR10" s="871"/>
      <c r="IS10" s="871"/>
      <c r="IT10" s="871"/>
      <c r="IU10" s="871"/>
      <c r="IV10" s="871"/>
    </row>
    <row r="11" spans="1:257">
      <c r="A11" s="872"/>
      <c r="B11" s="873" t="s">
        <v>609</v>
      </c>
      <c r="C11" s="874" t="s">
        <v>610</v>
      </c>
      <c r="D11" s="875" t="s">
        <v>611</v>
      </c>
      <c r="E11" s="876"/>
      <c r="F11" s="875" t="s">
        <v>612</v>
      </c>
      <c r="G11" s="877"/>
      <c r="H11" s="876"/>
      <c r="I11" s="875" t="s">
        <v>613</v>
      </c>
      <c r="J11" s="876"/>
      <c r="K11" s="872"/>
      <c r="L11" s="873" t="s">
        <v>609</v>
      </c>
      <c r="M11" s="874" t="s">
        <v>610</v>
      </c>
      <c r="N11" s="873" t="s">
        <v>614</v>
      </c>
      <c r="O11" s="875" t="s">
        <v>615</v>
      </c>
      <c r="P11" s="877"/>
      <c r="Q11" s="877"/>
      <c r="R11" s="877"/>
      <c r="S11" s="877"/>
      <c r="T11" s="876"/>
      <c r="U11" s="875" t="s">
        <v>616</v>
      </c>
      <c r="V11" s="877"/>
      <c r="W11" s="876"/>
      <c r="X11" s="873" t="s">
        <v>617</v>
      </c>
      <c r="Y11" s="873" t="s">
        <v>618</v>
      </c>
      <c r="Z11" s="873" t="s">
        <v>619</v>
      </c>
      <c r="AA11" s="878"/>
      <c r="AB11" s="878"/>
      <c r="AC11" s="878"/>
      <c r="AD11" s="878"/>
      <c r="AE11" s="878"/>
      <c r="AF11" s="878"/>
      <c r="AG11" s="878"/>
      <c r="AH11" s="878"/>
      <c r="AI11" s="878"/>
      <c r="AJ11" s="878"/>
      <c r="AK11" s="878"/>
      <c r="AL11" s="878"/>
      <c r="AM11" s="878"/>
      <c r="AN11" s="878"/>
      <c r="AO11" s="878"/>
      <c r="AP11" s="878"/>
      <c r="AQ11" s="878"/>
      <c r="AR11" s="878"/>
      <c r="AS11" s="878"/>
      <c r="AT11" s="878"/>
      <c r="AU11" s="878"/>
      <c r="AV11" s="878"/>
      <c r="AW11" s="878"/>
      <c r="AX11" s="878"/>
      <c r="AY11" s="878"/>
      <c r="AZ11" s="878"/>
      <c r="BA11" s="878"/>
      <c r="BB11" s="878"/>
      <c r="BC11" s="878"/>
      <c r="BD11" s="878"/>
      <c r="BE11" s="878"/>
      <c r="BF11" s="878"/>
      <c r="BG11" s="878"/>
      <c r="BH11" s="878"/>
      <c r="BI11" s="878"/>
      <c r="BJ11" s="878"/>
      <c r="BK11" s="878"/>
      <c r="BL11" s="878"/>
      <c r="BM11" s="878"/>
      <c r="BN11" s="878"/>
      <c r="BO11" s="878"/>
      <c r="BP11" s="878"/>
      <c r="BQ11" s="878"/>
      <c r="BR11" s="878"/>
      <c r="BS11" s="878"/>
      <c r="BT11" s="878"/>
      <c r="BU11" s="878"/>
      <c r="BV11" s="878"/>
      <c r="BW11" s="878"/>
      <c r="BX11" s="878"/>
      <c r="BY11" s="878"/>
      <c r="BZ11" s="878"/>
      <c r="CA11" s="878"/>
      <c r="CB11" s="878"/>
      <c r="CC11" s="878"/>
      <c r="CD11" s="878"/>
      <c r="CE11" s="878"/>
      <c r="CF11" s="878"/>
      <c r="CG11" s="878"/>
      <c r="CH11" s="878"/>
      <c r="CI11" s="878"/>
      <c r="CJ11" s="878"/>
      <c r="CK11" s="878"/>
      <c r="CL11" s="878"/>
      <c r="CM11" s="878"/>
      <c r="CN11" s="878"/>
      <c r="CO11" s="878"/>
      <c r="CP11" s="878"/>
      <c r="CQ11" s="878"/>
      <c r="CR11" s="878"/>
      <c r="CS11" s="878"/>
      <c r="CT11" s="878"/>
      <c r="CU11" s="878"/>
      <c r="CV11" s="878"/>
      <c r="CW11" s="878"/>
      <c r="CX11" s="878"/>
      <c r="CY11" s="878"/>
      <c r="CZ11" s="878"/>
      <c r="DA11" s="878"/>
      <c r="DB11" s="878"/>
      <c r="DC11" s="878"/>
      <c r="DD11" s="878"/>
      <c r="DE11" s="878"/>
      <c r="DF11" s="878"/>
      <c r="DG11" s="878"/>
      <c r="DH11" s="878"/>
      <c r="DI11" s="878"/>
      <c r="DJ11" s="878"/>
      <c r="DK11" s="878"/>
      <c r="DL11" s="878"/>
      <c r="DM11" s="878"/>
      <c r="DN11" s="878"/>
      <c r="DO11" s="878"/>
      <c r="DP11" s="878"/>
      <c r="DQ11" s="878"/>
      <c r="DR11" s="878"/>
      <c r="DS11" s="878"/>
      <c r="DT11" s="878"/>
      <c r="DU11" s="878"/>
      <c r="DV11" s="878"/>
      <c r="DW11" s="878"/>
      <c r="DX11" s="878"/>
      <c r="DY11" s="878"/>
      <c r="DZ11" s="878"/>
      <c r="EA11" s="878"/>
      <c r="EB11" s="878"/>
      <c r="EC11" s="878"/>
      <c r="ED11" s="878"/>
      <c r="EE11" s="878"/>
      <c r="EF11" s="878"/>
      <c r="EG11" s="878"/>
      <c r="EH11" s="878"/>
      <c r="EI11" s="878"/>
      <c r="EJ11" s="878"/>
      <c r="EK11" s="878"/>
      <c r="EL11" s="878"/>
      <c r="EM11" s="878"/>
      <c r="EN11" s="878"/>
      <c r="EO11" s="878"/>
      <c r="EP11" s="878"/>
      <c r="EQ11" s="878"/>
      <c r="ER11" s="878"/>
      <c r="ES11" s="878"/>
      <c r="ET11" s="878"/>
      <c r="EU11" s="878"/>
      <c r="EV11" s="878"/>
      <c r="EW11" s="878"/>
      <c r="EX11" s="878"/>
      <c r="EY11" s="878"/>
      <c r="EZ11" s="878"/>
      <c r="FA11" s="878"/>
      <c r="FB11" s="878"/>
      <c r="FC11" s="878"/>
      <c r="FD11" s="878"/>
      <c r="FE11" s="878"/>
      <c r="FF11" s="878"/>
      <c r="FG11" s="878"/>
      <c r="FH11" s="878"/>
      <c r="FI11" s="878"/>
      <c r="FJ11" s="878"/>
      <c r="FK11" s="878"/>
      <c r="FL11" s="878"/>
      <c r="FM11" s="878"/>
      <c r="FN11" s="878"/>
      <c r="FO11" s="878"/>
      <c r="FP11" s="878"/>
      <c r="FQ11" s="878"/>
      <c r="FR11" s="878"/>
      <c r="FS11" s="878"/>
      <c r="FT11" s="878"/>
      <c r="FU11" s="878"/>
      <c r="FV11" s="878"/>
      <c r="FW11" s="878"/>
      <c r="FX11" s="878"/>
      <c r="FY11" s="878"/>
      <c r="FZ11" s="878"/>
      <c r="GA11" s="878"/>
      <c r="GB11" s="878"/>
      <c r="GC11" s="878"/>
      <c r="GD11" s="878"/>
      <c r="GE11" s="878"/>
      <c r="GF11" s="878"/>
      <c r="GG11" s="878"/>
      <c r="GH11" s="878"/>
      <c r="GI11" s="878"/>
      <c r="GJ11" s="878"/>
      <c r="GK11" s="878"/>
      <c r="GL11" s="878"/>
      <c r="GM11" s="878"/>
      <c r="GN11" s="878"/>
      <c r="GO11" s="878"/>
      <c r="GP11" s="878"/>
      <c r="GQ11" s="878"/>
      <c r="GR11" s="878"/>
      <c r="GS11" s="878"/>
      <c r="GT11" s="878"/>
      <c r="GU11" s="878"/>
      <c r="GV11" s="878"/>
      <c r="GW11" s="878"/>
      <c r="GX11" s="878"/>
      <c r="GY11" s="878"/>
      <c r="GZ11" s="878"/>
      <c r="HA11" s="878"/>
      <c r="HB11" s="878"/>
      <c r="HC11" s="878"/>
      <c r="HD11" s="878"/>
      <c r="HE11" s="878"/>
      <c r="HF11" s="878"/>
      <c r="HG11" s="878"/>
      <c r="HH11" s="878"/>
      <c r="HI11" s="878"/>
      <c r="HJ11" s="878"/>
      <c r="HK11" s="878"/>
      <c r="HL11" s="878"/>
      <c r="HM11" s="878"/>
      <c r="HN11" s="878"/>
      <c r="HO11" s="878"/>
      <c r="HP11" s="878"/>
      <c r="HQ11" s="878"/>
      <c r="HR11" s="878"/>
      <c r="HS11" s="878"/>
      <c r="HT11" s="878"/>
      <c r="HU11" s="878"/>
      <c r="HV11" s="878"/>
      <c r="HW11" s="878"/>
      <c r="HX11" s="878"/>
      <c r="HY11" s="878"/>
      <c r="HZ11" s="878"/>
      <c r="IA11" s="878"/>
      <c r="IB11" s="878"/>
      <c r="IC11" s="878"/>
      <c r="ID11" s="878"/>
      <c r="IE11" s="878"/>
      <c r="IF11" s="878"/>
      <c r="IG11" s="878"/>
      <c r="IH11" s="878"/>
      <c r="II11" s="878"/>
      <c r="IJ11" s="878"/>
      <c r="IK11" s="878"/>
      <c r="IL11" s="878"/>
      <c r="IM11" s="878"/>
      <c r="IN11" s="878"/>
      <c r="IO11" s="878"/>
      <c r="IP11" s="878"/>
      <c r="IQ11" s="878"/>
      <c r="IR11" s="878"/>
      <c r="IS11" s="878"/>
      <c r="IT11" s="878"/>
      <c r="IU11" s="878"/>
      <c r="IV11" s="878"/>
    </row>
    <row r="12" spans="1:257">
      <c r="A12" s="872"/>
      <c r="B12" s="879"/>
      <c r="C12" s="880"/>
      <c r="D12" s="881" t="s">
        <v>620</v>
      </c>
      <c r="E12" s="881" t="s">
        <v>621</v>
      </c>
      <c r="F12" s="881" t="s">
        <v>622</v>
      </c>
      <c r="G12" s="881" t="s">
        <v>623</v>
      </c>
      <c r="H12" s="881" t="s">
        <v>605</v>
      </c>
      <c r="I12" s="882" t="s">
        <v>624</v>
      </c>
      <c r="J12" s="882" t="s">
        <v>624</v>
      </c>
      <c r="K12" s="872"/>
      <c r="L12" s="879"/>
      <c r="M12" s="880"/>
      <c r="N12" s="879"/>
      <c r="O12" s="882" t="s">
        <v>625</v>
      </c>
      <c r="P12" s="882">
        <v>0.5</v>
      </c>
      <c r="Q12" s="882">
        <v>1</v>
      </c>
      <c r="R12" s="882">
        <v>2</v>
      </c>
      <c r="S12" s="882">
        <v>3</v>
      </c>
      <c r="T12" s="882">
        <v>5</v>
      </c>
      <c r="U12" s="882">
        <v>1</v>
      </c>
      <c r="V12" s="882">
        <v>3</v>
      </c>
      <c r="W12" s="882">
        <v>5</v>
      </c>
      <c r="X12" s="879"/>
      <c r="Y12" s="879"/>
      <c r="Z12" s="879"/>
      <c r="AA12" s="878"/>
      <c r="AB12" s="878"/>
      <c r="AC12" s="878"/>
      <c r="AD12" s="878"/>
      <c r="AE12" s="878"/>
      <c r="AF12" s="878"/>
      <c r="AG12" s="878"/>
      <c r="AH12" s="878"/>
      <c r="AI12" s="878"/>
      <c r="AJ12" s="878"/>
      <c r="AK12" s="878"/>
      <c r="AL12" s="878"/>
      <c r="AM12" s="878"/>
      <c r="AN12" s="878"/>
      <c r="AO12" s="878"/>
      <c r="AP12" s="878"/>
      <c r="AQ12" s="878"/>
      <c r="AR12" s="878"/>
      <c r="AS12" s="878"/>
      <c r="AT12" s="878"/>
      <c r="AU12" s="878"/>
      <c r="AV12" s="878"/>
      <c r="AW12" s="878"/>
      <c r="AX12" s="878"/>
      <c r="AY12" s="878"/>
      <c r="AZ12" s="878"/>
      <c r="BA12" s="878"/>
      <c r="BB12" s="878"/>
      <c r="BC12" s="878"/>
      <c r="BD12" s="878"/>
      <c r="BE12" s="878"/>
      <c r="BF12" s="878"/>
      <c r="BG12" s="878"/>
      <c r="BH12" s="878"/>
      <c r="BI12" s="878"/>
      <c r="BJ12" s="878"/>
      <c r="BK12" s="878"/>
      <c r="BL12" s="878"/>
      <c r="BM12" s="878"/>
      <c r="BN12" s="878"/>
      <c r="BO12" s="878"/>
      <c r="BP12" s="878"/>
      <c r="BQ12" s="878"/>
      <c r="BR12" s="878"/>
      <c r="BS12" s="878"/>
      <c r="BT12" s="878"/>
      <c r="BU12" s="878"/>
      <c r="BV12" s="878"/>
      <c r="BW12" s="878"/>
      <c r="BX12" s="878"/>
      <c r="BY12" s="878"/>
      <c r="BZ12" s="878"/>
      <c r="CA12" s="878"/>
      <c r="CB12" s="878"/>
      <c r="CC12" s="878"/>
      <c r="CD12" s="878"/>
      <c r="CE12" s="878"/>
      <c r="CF12" s="878"/>
      <c r="CG12" s="878"/>
      <c r="CH12" s="878"/>
      <c r="CI12" s="878"/>
      <c r="CJ12" s="878"/>
      <c r="CK12" s="878"/>
      <c r="CL12" s="878"/>
      <c r="CM12" s="878"/>
      <c r="CN12" s="878"/>
      <c r="CO12" s="878"/>
      <c r="CP12" s="878"/>
      <c r="CQ12" s="878"/>
      <c r="CR12" s="878"/>
      <c r="CS12" s="878"/>
      <c r="CT12" s="878"/>
      <c r="CU12" s="878"/>
      <c r="CV12" s="878"/>
      <c r="CW12" s="878"/>
      <c r="CX12" s="878"/>
      <c r="CY12" s="878"/>
      <c r="CZ12" s="878"/>
      <c r="DA12" s="878"/>
      <c r="DB12" s="878"/>
      <c r="DC12" s="878"/>
      <c r="DD12" s="878"/>
      <c r="DE12" s="878"/>
      <c r="DF12" s="878"/>
      <c r="DG12" s="878"/>
      <c r="DH12" s="878"/>
      <c r="DI12" s="878"/>
      <c r="DJ12" s="878"/>
      <c r="DK12" s="878"/>
      <c r="DL12" s="878"/>
      <c r="DM12" s="878"/>
      <c r="DN12" s="878"/>
      <c r="DO12" s="878"/>
      <c r="DP12" s="878"/>
      <c r="DQ12" s="878"/>
      <c r="DR12" s="878"/>
      <c r="DS12" s="878"/>
      <c r="DT12" s="878"/>
      <c r="DU12" s="878"/>
      <c r="DV12" s="878"/>
      <c r="DW12" s="878"/>
      <c r="DX12" s="878"/>
      <c r="DY12" s="878"/>
      <c r="DZ12" s="878"/>
      <c r="EA12" s="878"/>
      <c r="EB12" s="878"/>
      <c r="EC12" s="878"/>
      <c r="ED12" s="878"/>
      <c r="EE12" s="878"/>
      <c r="EF12" s="878"/>
      <c r="EG12" s="878"/>
      <c r="EH12" s="878"/>
      <c r="EI12" s="878"/>
      <c r="EJ12" s="878"/>
      <c r="EK12" s="878"/>
      <c r="EL12" s="878"/>
      <c r="EM12" s="878"/>
      <c r="EN12" s="878"/>
      <c r="EO12" s="878"/>
      <c r="EP12" s="878"/>
      <c r="EQ12" s="878"/>
      <c r="ER12" s="878"/>
      <c r="ES12" s="878"/>
      <c r="ET12" s="878"/>
      <c r="EU12" s="878"/>
      <c r="EV12" s="878"/>
      <c r="EW12" s="878"/>
      <c r="EX12" s="878"/>
      <c r="EY12" s="878"/>
      <c r="EZ12" s="878"/>
      <c r="FA12" s="878"/>
      <c r="FB12" s="878"/>
      <c r="FC12" s="878"/>
      <c r="FD12" s="878"/>
      <c r="FE12" s="878"/>
      <c r="FF12" s="878"/>
      <c r="FG12" s="878"/>
      <c r="FH12" s="878"/>
      <c r="FI12" s="878"/>
      <c r="FJ12" s="878"/>
      <c r="FK12" s="878"/>
      <c r="FL12" s="878"/>
      <c r="FM12" s="878"/>
      <c r="FN12" s="878"/>
      <c r="FO12" s="878"/>
      <c r="FP12" s="878"/>
      <c r="FQ12" s="878"/>
      <c r="FR12" s="878"/>
      <c r="FS12" s="878"/>
      <c r="FT12" s="878"/>
      <c r="FU12" s="878"/>
      <c r="FV12" s="878"/>
      <c r="FW12" s="878"/>
      <c r="FX12" s="878"/>
      <c r="FY12" s="878"/>
      <c r="FZ12" s="878"/>
      <c r="GA12" s="878"/>
      <c r="GB12" s="878"/>
      <c r="GC12" s="878"/>
      <c r="GD12" s="878"/>
      <c r="GE12" s="878"/>
      <c r="GF12" s="878"/>
      <c r="GG12" s="878"/>
      <c r="GH12" s="878"/>
      <c r="GI12" s="878"/>
      <c r="GJ12" s="878"/>
      <c r="GK12" s="878"/>
      <c r="GL12" s="878"/>
      <c r="GM12" s="878"/>
      <c r="GN12" s="878"/>
      <c r="GO12" s="878"/>
      <c r="GP12" s="878"/>
      <c r="GQ12" s="878"/>
      <c r="GR12" s="878"/>
      <c r="GS12" s="878"/>
      <c r="GT12" s="878"/>
      <c r="GU12" s="878"/>
      <c r="GV12" s="878"/>
      <c r="GW12" s="878"/>
      <c r="GX12" s="878"/>
      <c r="GY12" s="878"/>
      <c r="GZ12" s="878"/>
      <c r="HA12" s="878"/>
      <c r="HB12" s="878"/>
      <c r="HC12" s="878"/>
      <c r="HD12" s="878"/>
      <c r="HE12" s="878"/>
      <c r="HF12" s="878"/>
      <c r="HG12" s="878"/>
      <c r="HH12" s="878"/>
      <c r="HI12" s="878"/>
      <c r="HJ12" s="878"/>
      <c r="HK12" s="878"/>
      <c r="HL12" s="878"/>
      <c r="HM12" s="878"/>
      <c r="HN12" s="878"/>
      <c r="HO12" s="878"/>
      <c r="HP12" s="878"/>
      <c r="HQ12" s="878"/>
      <c r="HR12" s="878"/>
      <c r="HS12" s="878"/>
      <c r="HT12" s="878"/>
      <c r="HU12" s="878"/>
      <c r="HV12" s="878"/>
      <c r="HW12" s="878"/>
      <c r="HX12" s="878"/>
      <c r="HY12" s="878"/>
      <c r="HZ12" s="878"/>
      <c r="IA12" s="878"/>
      <c r="IB12" s="878"/>
      <c r="IC12" s="878"/>
      <c r="ID12" s="878"/>
      <c r="IE12" s="878"/>
      <c r="IF12" s="878"/>
      <c r="IG12" s="878"/>
      <c r="IH12" s="878"/>
      <c r="II12" s="878"/>
      <c r="IJ12" s="878"/>
      <c r="IK12" s="878"/>
      <c r="IL12" s="878"/>
      <c r="IM12" s="878"/>
      <c r="IN12" s="878"/>
      <c r="IO12" s="878"/>
      <c r="IP12" s="878"/>
      <c r="IQ12" s="878"/>
      <c r="IR12" s="878"/>
      <c r="IS12" s="878"/>
      <c r="IT12" s="878"/>
      <c r="IU12" s="878"/>
      <c r="IV12" s="878"/>
    </row>
    <row r="13" spans="1:257" ht="14.25">
      <c r="A13" s="883"/>
      <c r="B13" s="884" t="s">
        <v>626</v>
      </c>
      <c r="C13" s="2083">
        <v>45797</v>
      </c>
      <c r="D13" s="3119">
        <v>3</v>
      </c>
      <c r="E13" s="3119">
        <v>3</v>
      </c>
      <c r="F13" s="3119">
        <f t="shared" ref="F13:F18" si="0">D13</f>
        <v>3</v>
      </c>
      <c r="G13" s="3119">
        <f t="shared" ref="G13:G18" si="1">D13</f>
        <v>3</v>
      </c>
      <c r="H13" s="3119">
        <v>3.5</v>
      </c>
      <c r="I13" s="3119"/>
      <c r="J13" s="3119"/>
      <c r="K13" s="883"/>
      <c r="L13" s="884" t="s">
        <v>626</v>
      </c>
      <c r="M13" s="885">
        <v>42301</v>
      </c>
      <c r="N13" s="3119">
        <v>0.35</v>
      </c>
      <c r="O13" s="3119">
        <v>1.1000000000000001</v>
      </c>
      <c r="P13" s="3119">
        <v>1.3</v>
      </c>
      <c r="Q13" s="3119">
        <v>1.5</v>
      </c>
      <c r="R13" s="3119">
        <v>2.1</v>
      </c>
      <c r="S13" s="3119">
        <v>2.75</v>
      </c>
      <c r="T13" s="3119"/>
      <c r="U13" s="3119"/>
      <c r="V13" s="3119"/>
      <c r="W13" s="3119"/>
      <c r="X13" s="3119"/>
      <c r="Y13" s="3119"/>
      <c r="Z13" s="3119"/>
      <c r="AA13" s="886"/>
      <c r="AB13" s="886"/>
      <c r="AC13" s="886"/>
      <c r="AD13" s="886"/>
      <c r="AE13" s="886"/>
      <c r="AF13" s="886"/>
      <c r="AG13" s="886"/>
      <c r="AH13" s="886"/>
      <c r="AI13" s="886"/>
      <c r="AJ13" s="886"/>
      <c r="AK13" s="886"/>
      <c r="AL13" s="886"/>
      <c r="AM13" s="886"/>
      <c r="AN13" s="886"/>
      <c r="AO13" s="886"/>
      <c r="AP13" s="886"/>
      <c r="AQ13" s="886"/>
      <c r="AR13" s="886"/>
      <c r="AS13" s="886"/>
      <c r="AT13" s="886"/>
      <c r="AU13" s="886"/>
      <c r="AV13" s="886"/>
      <c r="AW13" s="886"/>
      <c r="AX13" s="886"/>
      <c r="AY13" s="886"/>
      <c r="AZ13" s="886"/>
      <c r="BA13" s="886"/>
      <c r="BB13" s="886"/>
      <c r="BC13" s="886"/>
      <c r="BD13" s="886"/>
      <c r="BE13" s="886"/>
      <c r="BF13" s="886"/>
      <c r="BG13" s="886"/>
      <c r="BH13" s="886"/>
      <c r="BI13" s="886"/>
      <c r="BJ13" s="886"/>
      <c r="BK13" s="886"/>
      <c r="BL13" s="886"/>
      <c r="BM13" s="886"/>
      <c r="BN13" s="886"/>
      <c r="BO13" s="886"/>
      <c r="BP13" s="886"/>
      <c r="BQ13" s="886"/>
      <c r="BR13" s="886"/>
      <c r="BS13" s="886"/>
      <c r="BT13" s="886"/>
      <c r="BU13" s="886"/>
      <c r="BV13" s="886"/>
      <c r="BW13" s="886"/>
      <c r="BX13" s="886"/>
      <c r="BY13" s="886"/>
      <c r="BZ13" s="886"/>
      <c r="CA13" s="886"/>
      <c r="CB13" s="886"/>
      <c r="CC13" s="886"/>
      <c r="CD13" s="886"/>
      <c r="CE13" s="886"/>
      <c r="CF13" s="886"/>
      <c r="CG13" s="886"/>
      <c r="CH13" s="886"/>
      <c r="CI13" s="886"/>
      <c r="CJ13" s="886"/>
      <c r="CK13" s="886"/>
      <c r="CL13" s="886"/>
      <c r="CM13" s="886"/>
      <c r="CN13" s="886"/>
      <c r="CO13" s="886"/>
      <c r="CP13" s="886"/>
      <c r="CQ13" s="886"/>
      <c r="CR13" s="886"/>
      <c r="CS13" s="886"/>
      <c r="CT13" s="886"/>
      <c r="CU13" s="886"/>
      <c r="CV13" s="886"/>
      <c r="CW13" s="886"/>
      <c r="CX13" s="886"/>
      <c r="CY13" s="886"/>
      <c r="CZ13" s="886"/>
      <c r="DA13" s="886"/>
      <c r="DB13" s="886"/>
      <c r="DC13" s="886"/>
      <c r="DD13" s="886"/>
      <c r="DE13" s="886"/>
      <c r="DF13" s="886"/>
      <c r="DG13" s="886"/>
      <c r="DH13" s="886"/>
      <c r="DI13" s="886"/>
      <c r="DJ13" s="886"/>
      <c r="DK13" s="886"/>
      <c r="DL13" s="886"/>
      <c r="DM13" s="886"/>
      <c r="DN13" s="886"/>
      <c r="DO13" s="886"/>
      <c r="DP13" s="886"/>
      <c r="DQ13" s="886"/>
      <c r="DR13" s="886"/>
      <c r="DS13" s="886"/>
      <c r="DT13" s="886"/>
      <c r="DU13" s="886"/>
      <c r="DV13" s="886"/>
      <c r="DW13" s="886"/>
      <c r="DX13" s="886"/>
      <c r="DY13" s="886"/>
      <c r="DZ13" s="886"/>
      <c r="EA13" s="886"/>
      <c r="EB13" s="886"/>
      <c r="EC13" s="886"/>
      <c r="ED13" s="886"/>
      <c r="EE13" s="886"/>
      <c r="EF13" s="886"/>
      <c r="EG13" s="886"/>
      <c r="EH13" s="886"/>
      <c r="EI13" s="886"/>
      <c r="EJ13" s="886"/>
      <c r="EK13" s="886"/>
      <c r="EL13" s="886"/>
      <c r="EM13" s="886"/>
      <c r="EN13" s="886"/>
      <c r="EO13" s="886"/>
      <c r="EP13" s="886"/>
      <c r="EQ13" s="886"/>
      <c r="ER13" s="886"/>
      <c r="ES13" s="886"/>
      <c r="ET13" s="886"/>
      <c r="EU13" s="886"/>
      <c r="EV13" s="886"/>
      <c r="EW13" s="886"/>
      <c r="EX13" s="886"/>
      <c r="EY13" s="886"/>
      <c r="EZ13" s="886"/>
      <c r="FA13" s="886"/>
      <c r="FB13" s="886"/>
      <c r="FC13" s="886"/>
      <c r="FD13" s="886"/>
      <c r="FE13" s="886"/>
      <c r="FF13" s="886"/>
      <c r="FG13" s="886"/>
      <c r="FH13" s="886"/>
      <c r="FI13" s="886"/>
      <c r="FJ13" s="886"/>
      <c r="FK13" s="886"/>
      <c r="FL13" s="886"/>
      <c r="FM13" s="886"/>
      <c r="FN13" s="886"/>
      <c r="FO13" s="886"/>
      <c r="FP13" s="886"/>
      <c r="FQ13" s="886"/>
      <c r="FR13" s="886"/>
      <c r="FS13" s="886"/>
      <c r="FT13" s="886"/>
      <c r="FU13" s="886"/>
      <c r="FV13" s="886"/>
      <c r="FW13" s="886"/>
      <c r="FX13" s="886"/>
      <c r="FY13" s="886"/>
      <c r="FZ13" s="886"/>
      <c r="GA13" s="886"/>
      <c r="GB13" s="886"/>
      <c r="GC13" s="886"/>
      <c r="GD13" s="886"/>
      <c r="GE13" s="886"/>
      <c r="GF13" s="886"/>
      <c r="GG13" s="886"/>
      <c r="GH13" s="886"/>
      <c r="GI13" s="886"/>
      <c r="GJ13" s="886"/>
      <c r="GK13" s="886"/>
      <c r="GL13" s="886"/>
      <c r="GM13" s="886"/>
      <c r="GN13" s="886"/>
      <c r="GO13" s="886"/>
      <c r="GP13" s="886"/>
      <c r="GQ13" s="886"/>
      <c r="GR13" s="886"/>
      <c r="GS13" s="886"/>
      <c r="GT13" s="886"/>
      <c r="GU13" s="886"/>
      <c r="GV13" s="886"/>
      <c r="GW13" s="886"/>
      <c r="GX13" s="886"/>
      <c r="GY13" s="886"/>
      <c r="GZ13" s="886"/>
      <c r="HA13" s="886"/>
      <c r="HB13" s="886"/>
      <c r="HC13" s="886"/>
      <c r="HD13" s="886"/>
      <c r="HE13" s="886"/>
      <c r="HF13" s="886"/>
      <c r="HG13" s="886"/>
      <c r="HH13" s="886"/>
      <c r="HI13" s="886"/>
      <c r="HJ13" s="886"/>
      <c r="HK13" s="886"/>
      <c r="HL13" s="886"/>
      <c r="HM13" s="886"/>
      <c r="HN13" s="886"/>
      <c r="HO13" s="886"/>
      <c r="HP13" s="886"/>
      <c r="HQ13" s="886"/>
      <c r="HR13" s="886"/>
      <c r="HS13" s="886"/>
      <c r="HT13" s="886"/>
      <c r="HU13" s="886"/>
      <c r="HV13" s="886"/>
      <c r="HW13" s="886"/>
      <c r="HX13" s="886"/>
      <c r="HY13" s="886"/>
      <c r="HZ13" s="886"/>
      <c r="IA13" s="886"/>
      <c r="IB13" s="886"/>
      <c r="IC13" s="886"/>
      <c r="ID13" s="886"/>
      <c r="IE13" s="886"/>
      <c r="IF13" s="886"/>
      <c r="IG13" s="886"/>
      <c r="IH13" s="886"/>
      <c r="II13" s="886"/>
      <c r="IJ13" s="886"/>
      <c r="IK13" s="886"/>
      <c r="IL13" s="886"/>
      <c r="IM13" s="886"/>
      <c r="IN13" s="886"/>
      <c r="IO13" s="886"/>
      <c r="IP13" s="886"/>
      <c r="IQ13" s="886"/>
      <c r="IR13" s="886"/>
      <c r="IS13" s="886"/>
      <c r="IT13" s="886"/>
      <c r="IU13" s="886"/>
      <c r="IV13" s="886"/>
      <c r="IW13" s="887"/>
    </row>
    <row r="14" spans="1:257" ht="14.25">
      <c r="A14" s="883"/>
      <c r="B14" s="884"/>
      <c r="C14" s="889">
        <v>45586</v>
      </c>
      <c r="D14" s="3120">
        <v>3.1</v>
      </c>
      <c r="E14" s="3120">
        <f>D14</f>
        <v>3.1</v>
      </c>
      <c r="F14" s="3120">
        <f t="shared" si="0"/>
        <v>3.1</v>
      </c>
      <c r="G14" s="3120">
        <f t="shared" si="1"/>
        <v>3.1</v>
      </c>
      <c r="H14" s="3120">
        <v>3.6</v>
      </c>
      <c r="I14" s="3119"/>
      <c r="J14" s="3119"/>
      <c r="K14" s="883"/>
      <c r="L14" s="888"/>
      <c r="M14" s="889">
        <v>42242</v>
      </c>
      <c r="N14" s="3120">
        <v>0.35</v>
      </c>
      <c r="O14" s="3120">
        <v>1.35</v>
      </c>
      <c r="P14" s="3120">
        <v>1.55</v>
      </c>
      <c r="Q14" s="3120">
        <v>1.75</v>
      </c>
      <c r="R14" s="3120">
        <v>2.35</v>
      </c>
      <c r="S14" s="3120">
        <v>3</v>
      </c>
      <c r="T14" s="3120"/>
      <c r="U14" s="3120"/>
      <c r="V14" s="3120"/>
      <c r="W14" s="3120"/>
      <c r="X14" s="3120"/>
      <c r="Y14" s="3120"/>
      <c r="Z14" s="3120"/>
    </row>
    <row r="15" spans="1:257" ht="14.25">
      <c r="A15" s="883"/>
      <c r="B15" s="884"/>
      <c r="C15" s="889">
        <v>45495</v>
      </c>
      <c r="D15" s="3120">
        <v>3.35</v>
      </c>
      <c r="E15" s="3120">
        <f>D15</f>
        <v>3.35</v>
      </c>
      <c r="F15" s="3120">
        <f t="shared" si="0"/>
        <v>3.35</v>
      </c>
      <c r="G15" s="3120">
        <f t="shared" si="1"/>
        <v>3.35</v>
      </c>
      <c r="H15" s="3120">
        <v>3.85</v>
      </c>
      <c r="I15" s="3119"/>
      <c r="J15" s="3119"/>
      <c r="K15" s="883"/>
      <c r="L15" s="888"/>
      <c r="M15" s="889">
        <v>42183</v>
      </c>
      <c r="N15" s="3120">
        <v>0.35</v>
      </c>
      <c r="O15" s="3120">
        <v>1.6</v>
      </c>
      <c r="P15" s="3120">
        <v>1.8</v>
      </c>
      <c r="Q15" s="3120">
        <v>2</v>
      </c>
      <c r="R15" s="3120">
        <v>2.6</v>
      </c>
      <c r="S15" s="3120">
        <v>3.25</v>
      </c>
      <c r="T15" s="3120"/>
      <c r="U15" s="3120"/>
      <c r="V15" s="3120"/>
      <c r="W15" s="3120"/>
      <c r="X15" s="3120"/>
      <c r="Y15" s="3120"/>
      <c r="Z15" s="3120"/>
    </row>
    <row r="16" spans="1:257" ht="14.25">
      <c r="A16" s="883"/>
      <c r="B16" s="884"/>
      <c r="C16" s="889">
        <v>45342</v>
      </c>
      <c r="D16" s="3120">
        <v>3.45</v>
      </c>
      <c r="E16" s="3120">
        <f>D16</f>
        <v>3.45</v>
      </c>
      <c r="F16" s="3120">
        <f t="shared" si="0"/>
        <v>3.45</v>
      </c>
      <c r="G16" s="3120">
        <f t="shared" si="1"/>
        <v>3.45</v>
      </c>
      <c r="H16" s="3120">
        <v>3.95</v>
      </c>
      <c r="I16" s="3119"/>
      <c r="J16" s="3119"/>
      <c r="K16" s="883"/>
      <c r="L16" s="888"/>
      <c r="M16" s="889">
        <v>42135</v>
      </c>
      <c r="N16" s="3120">
        <v>0.35</v>
      </c>
      <c r="O16" s="3120">
        <v>1.85</v>
      </c>
      <c r="P16" s="3120">
        <v>2.0499999999999998</v>
      </c>
      <c r="Q16" s="3120">
        <v>2.25</v>
      </c>
      <c r="R16" s="3120">
        <v>2.85</v>
      </c>
      <c r="S16" s="3120">
        <v>3.5</v>
      </c>
      <c r="T16" s="3120"/>
      <c r="U16" s="3120"/>
      <c r="V16" s="3120"/>
      <c r="W16" s="3120"/>
      <c r="X16" s="3120"/>
      <c r="Y16" s="3120"/>
      <c r="Z16" s="3120"/>
    </row>
    <row r="17" spans="1:256" ht="14.25">
      <c r="A17" s="883"/>
      <c r="B17" s="884"/>
      <c r="C17" s="889">
        <v>45159</v>
      </c>
      <c r="D17" s="3120">
        <v>3.45</v>
      </c>
      <c r="E17" s="3120">
        <f>D17</f>
        <v>3.45</v>
      </c>
      <c r="F17" s="3120">
        <f t="shared" si="0"/>
        <v>3.45</v>
      </c>
      <c r="G17" s="3120">
        <f t="shared" si="1"/>
        <v>3.45</v>
      </c>
      <c r="H17" s="3120">
        <v>4.2</v>
      </c>
      <c r="I17" s="3119"/>
      <c r="J17" s="3119"/>
      <c r="L17" s="888"/>
      <c r="M17" s="889">
        <v>42064</v>
      </c>
      <c r="N17" s="3120">
        <v>0.35</v>
      </c>
      <c r="O17" s="3120">
        <v>2.1</v>
      </c>
      <c r="P17" s="3120">
        <v>2.2999999999999998</v>
      </c>
      <c r="Q17" s="3120">
        <v>2.5</v>
      </c>
      <c r="R17" s="3120">
        <v>3.1</v>
      </c>
      <c r="S17" s="3120">
        <v>3.75</v>
      </c>
      <c r="T17" s="3120">
        <v>4.5</v>
      </c>
      <c r="U17" s="3120">
        <v>2.35</v>
      </c>
      <c r="V17" s="3120">
        <v>2.5499999999999998</v>
      </c>
      <c r="W17" s="3120">
        <v>2.75</v>
      </c>
      <c r="X17" s="3120"/>
      <c r="Y17" s="3120">
        <v>0.8</v>
      </c>
      <c r="Z17" s="3120">
        <v>1.35</v>
      </c>
    </row>
    <row r="18" spans="1:256" ht="15">
      <c r="A18" s="883"/>
      <c r="B18" s="884"/>
      <c r="C18" s="889">
        <v>45097</v>
      </c>
      <c r="D18" s="3120">
        <v>3.55</v>
      </c>
      <c r="E18" s="3120">
        <f>D18</f>
        <v>3.55</v>
      </c>
      <c r="F18" s="3120">
        <f t="shared" si="0"/>
        <v>3.55</v>
      </c>
      <c r="G18" s="3120">
        <f t="shared" si="1"/>
        <v>3.55</v>
      </c>
      <c r="H18" s="3120">
        <v>4.2</v>
      </c>
      <c r="I18" s="3119"/>
      <c r="J18" s="3119"/>
      <c r="L18" s="2087"/>
      <c r="M18" s="2086">
        <v>41965</v>
      </c>
      <c r="N18" s="3122">
        <v>0.35</v>
      </c>
      <c r="O18" s="3122">
        <v>2.35</v>
      </c>
      <c r="P18" s="3122">
        <v>2.5499999999999998</v>
      </c>
      <c r="Q18" s="3122">
        <v>2.75</v>
      </c>
      <c r="R18" s="3122">
        <v>3.35</v>
      </c>
      <c r="S18" s="3122">
        <v>4</v>
      </c>
      <c r="T18" s="3122">
        <v>4.75</v>
      </c>
      <c r="U18" s="3123">
        <v>2.35</v>
      </c>
      <c r="V18" s="3123">
        <v>2.5499999999999998</v>
      </c>
      <c r="W18" s="3123">
        <v>2.75</v>
      </c>
      <c r="X18" s="3122"/>
      <c r="Y18" s="3123">
        <v>0.8</v>
      </c>
      <c r="Z18" s="3123">
        <v>1.35</v>
      </c>
    </row>
    <row r="19" spans="1:256" s="2088" customFormat="1" ht="14.25">
      <c r="A19" s="883"/>
      <c r="B19" s="884"/>
      <c r="C19" s="889">
        <v>44795</v>
      </c>
      <c r="D19" s="3120">
        <v>3.65</v>
      </c>
      <c r="E19" s="3120">
        <v>3.65</v>
      </c>
      <c r="F19" s="3120">
        <v>3.65</v>
      </c>
      <c r="G19" s="3120">
        <v>3.65</v>
      </c>
      <c r="H19" s="3120">
        <v>4.3</v>
      </c>
      <c r="I19" s="3119"/>
      <c r="J19" s="3119"/>
      <c r="K19" s="855"/>
      <c r="L19" s="888"/>
      <c r="M19" s="889">
        <v>41096</v>
      </c>
      <c r="N19" s="3120">
        <v>0.35</v>
      </c>
      <c r="O19" s="3120">
        <v>2.6</v>
      </c>
      <c r="P19" s="3120">
        <v>2.8</v>
      </c>
      <c r="Q19" s="3120">
        <v>3</v>
      </c>
      <c r="R19" s="3120">
        <v>3.75</v>
      </c>
      <c r="S19" s="3120">
        <v>4.25</v>
      </c>
      <c r="T19" s="3120">
        <v>4.75</v>
      </c>
      <c r="U19" s="3120">
        <v>2.85</v>
      </c>
      <c r="V19" s="3120">
        <v>2.9</v>
      </c>
      <c r="W19" s="3120">
        <v>3</v>
      </c>
      <c r="X19" s="3120">
        <v>1.1499999999999999</v>
      </c>
      <c r="Y19" s="3120">
        <v>0.8</v>
      </c>
      <c r="Z19" s="3120">
        <v>1.35</v>
      </c>
      <c r="AA19" s="878"/>
      <c r="AB19" s="878"/>
      <c r="AC19" s="878"/>
      <c r="AD19" s="878"/>
      <c r="AE19" s="878"/>
      <c r="AF19" s="878"/>
      <c r="AG19" s="878"/>
      <c r="AH19" s="878"/>
      <c r="AI19" s="878"/>
      <c r="AJ19" s="878"/>
      <c r="AK19" s="878"/>
      <c r="AL19" s="878"/>
      <c r="AM19" s="878"/>
      <c r="AN19" s="878"/>
      <c r="AO19" s="878"/>
      <c r="AP19" s="878"/>
      <c r="AQ19" s="878"/>
      <c r="AR19" s="878"/>
      <c r="AS19" s="878"/>
      <c r="AT19" s="878"/>
      <c r="AU19" s="878"/>
      <c r="AV19" s="878"/>
      <c r="AW19" s="878"/>
      <c r="AX19" s="878"/>
      <c r="AY19" s="878"/>
      <c r="AZ19" s="878"/>
      <c r="BA19" s="878"/>
      <c r="BB19" s="878"/>
      <c r="BC19" s="878"/>
      <c r="BD19" s="878"/>
      <c r="BE19" s="878"/>
      <c r="BF19" s="878"/>
      <c r="BG19" s="878"/>
      <c r="BH19" s="878"/>
      <c r="BI19" s="878"/>
      <c r="BJ19" s="878"/>
      <c r="BK19" s="878"/>
      <c r="BL19" s="878"/>
      <c r="BM19" s="878"/>
      <c r="BN19" s="878"/>
      <c r="BO19" s="878"/>
      <c r="BP19" s="878"/>
      <c r="BQ19" s="878"/>
      <c r="BR19" s="878"/>
      <c r="BS19" s="878"/>
      <c r="BT19" s="878"/>
      <c r="BU19" s="878"/>
      <c r="BV19" s="878"/>
      <c r="BW19" s="878"/>
      <c r="BX19" s="878"/>
      <c r="BY19" s="878"/>
      <c r="BZ19" s="878"/>
      <c r="CA19" s="878"/>
      <c r="CB19" s="878"/>
      <c r="CC19" s="878"/>
      <c r="CD19" s="878"/>
      <c r="CE19" s="878"/>
      <c r="CF19" s="878"/>
      <c r="CG19" s="878"/>
      <c r="CH19" s="878"/>
      <c r="CI19" s="878"/>
      <c r="CJ19" s="878"/>
      <c r="CK19" s="878"/>
      <c r="CL19" s="878"/>
      <c r="CM19" s="878"/>
      <c r="CN19" s="878"/>
      <c r="CO19" s="878"/>
      <c r="CP19" s="878"/>
      <c r="CQ19" s="878"/>
      <c r="CR19" s="878"/>
      <c r="CS19" s="878"/>
      <c r="CT19" s="878"/>
      <c r="CU19" s="878"/>
      <c r="CV19" s="878"/>
      <c r="CW19" s="878"/>
      <c r="CX19" s="878"/>
      <c r="CY19" s="878"/>
      <c r="CZ19" s="878"/>
      <c r="DA19" s="878"/>
      <c r="DB19" s="878"/>
      <c r="DC19" s="878"/>
      <c r="DD19" s="878"/>
      <c r="DE19" s="878"/>
      <c r="DF19" s="878"/>
      <c r="DG19" s="878"/>
      <c r="DH19" s="878"/>
      <c r="DI19" s="878"/>
      <c r="DJ19" s="878"/>
      <c r="DK19" s="878"/>
      <c r="DL19" s="878"/>
      <c r="DM19" s="878"/>
      <c r="DN19" s="878"/>
      <c r="DO19" s="878"/>
      <c r="DP19" s="878"/>
      <c r="DQ19" s="878"/>
      <c r="DR19" s="878"/>
      <c r="DS19" s="878"/>
      <c r="DT19" s="878"/>
      <c r="DU19" s="878"/>
      <c r="DV19" s="878"/>
      <c r="DW19" s="878"/>
      <c r="DX19" s="878"/>
      <c r="DY19" s="878"/>
      <c r="DZ19" s="878"/>
      <c r="EA19" s="878"/>
      <c r="EB19" s="878"/>
      <c r="EC19" s="878"/>
      <c r="ED19" s="878"/>
      <c r="EE19" s="878"/>
      <c r="EF19" s="878"/>
      <c r="EG19" s="878"/>
      <c r="EH19" s="878"/>
      <c r="EI19" s="878"/>
      <c r="EJ19" s="878"/>
      <c r="EK19" s="878"/>
      <c r="EL19" s="878"/>
      <c r="EM19" s="878"/>
      <c r="EN19" s="878"/>
      <c r="EO19" s="878"/>
      <c r="EP19" s="878"/>
      <c r="EQ19" s="878"/>
      <c r="ER19" s="878"/>
      <c r="ES19" s="878"/>
      <c r="ET19" s="878"/>
      <c r="EU19" s="878"/>
      <c r="EV19" s="878"/>
      <c r="EW19" s="878"/>
      <c r="EX19" s="878"/>
      <c r="EY19" s="878"/>
      <c r="EZ19" s="878"/>
      <c r="FA19" s="878"/>
      <c r="FB19" s="878"/>
      <c r="FC19" s="878"/>
      <c r="FD19" s="878"/>
      <c r="FE19" s="878"/>
      <c r="FF19" s="878"/>
      <c r="FG19" s="878"/>
      <c r="FH19" s="878"/>
      <c r="FI19" s="878"/>
      <c r="FJ19" s="878"/>
      <c r="FK19" s="878"/>
      <c r="FL19" s="878"/>
      <c r="FM19" s="878"/>
      <c r="FN19" s="878"/>
      <c r="FO19" s="878"/>
      <c r="FP19" s="878"/>
      <c r="FQ19" s="878"/>
      <c r="FR19" s="878"/>
      <c r="FS19" s="878"/>
      <c r="FT19" s="878"/>
      <c r="FU19" s="878"/>
      <c r="FV19" s="878"/>
      <c r="FW19" s="878"/>
      <c r="FX19" s="878"/>
      <c r="FY19" s="878"/>
      <c r="FZ19" s="878"/>
      <c r="GA19" s="878"/>
      <c r="GB19" s="878"/>
      <c r="GC19" s="878"/>
      <c r="GD19" s="878"/>
      <c r="GE19" s="878"/>
      <c r="GF19" s="878"/>
      <c r="GG19" s="878"/>
      <c r="GH19" s="878"/>
      <c r="GI19" s="878"/>
      <c r="GJ19" s="878"/>
      <c r="GK19" s="878"/>
      <c r="GL19" s="878"/>
      <c r="GM19" s="878"/>
      <c r="GN19" s="878"/>
      <c r="GO19" s="878"/>
      <c r="GP19" s="878"/>
      <c r="GQ19" s="878"/>
      <c r="GR19" s="878"/>
      <c r="GS19" s="878"/>
      <c r="GT19" s="878"/>
      <c r="GU19" s="878"/>
      <c r="GV19" s="878"/>
      <c r="GW19" s="878"/>
      <c r="GX19" s="878"/>
      <c r="GY19" s="878"/>
      <c r="GZ19" s="878"/>
      <c r="HA19" s="878"/>
      <c r="HB19" s="878"/>
      <c r="HC19" s="878"/>
      <c r="HD19" s="878"/>
      <c r="HE19" s="878"/>
      <c r="HF19" s="878"/>
      <c r="HG19" s="878"/>
      <c r="HH19" s="878"/>
      <c r="HI19" s="878"/>
      <c r="HJ19" s="878"/>
      <c r="HK19" s="878"/>
      <c r="HL19" s="878"/>
      <c r="HM19" s="878"/>
      <c r="HN19" s="878"/>
      <c r="HO19" s="878"/>
      <c r="HP19" s="878"/>
      <c r="HQ19" s="878"/>
      <c r="HR19" s="878"/>
      <c r="HS19" s="878"/>
      <c r="HT19" s="878"/>
      <c r="HU19" s="878"/>
      <c r="HV19" s="878"/>
      <c r="HW19" s="878"/>
      <c r="HX19" s="878"/>
      <c r="HY19" s="878"/>
      <c r="HZ19" s="878"/>
      <c r="IA19" s="878"/>
      <c r="IB19" s="878"/>
      <c r="IC19" s="878"/>
      <c r="ID19" s="878"/>
      <c r="IE19" s="878"/>
      <c r="IF19" s="878"/>
      <c r="IG19" s="878"/>
      <c r="IH19" s="878"/>
      <c r="II19" s="878"/>
      <c r="IJ19" s="878"/>
      <c r="IK19" s="878"/>
      <c r="IL19" s="878"/>
      <c r="IM19" s="878"/>
      <c r="IN19" s="878"/>
      <c r="IO19" s="878"/>
      <c r="IP19" s="878"/>
      <c r="IQ19" s="878"/>
      <c r="IR19" s="878"/>
      <c r="IS19" s="878"/>
      <c r="IT19" s="878"/>
      <c r="IU19" s="878"/>
      <c r="IV19" s="878"/>
    </row>
    <row r="20" spans="1:256" ht="14.25">
      <c r="A20" s="883"/>
      <c r="B20" s="884"/>
      <c r="C20" s="889">
        <v>44701</v>
      </c>
      <c r="D20" s="3120">
        <v>3.7</v>
      </c>
      <c r="E20" s="3120">
        <f>D20</f>
        <v>3.7</v>
      </c>
      <c r="F20" s="3120">
        <f>D20</f>
        <v>3.7</v>
      </c>
      <c r="G20" s="3120">
        <f>D20</f>
        <v>3.7</v>
      </c>
      <c r="H20" s="3120">
        <v>4.45</v>
      </c>
      <c r="I20" s="3119"/>
      <c r="J20" s="3119"/>
      <c r="L20" s="888"/>
      <c r="M20" s="889">
        <v>41068</v>
      </c>
      <c r="N20" s="3120">
        <v>0.4</v>
      </c>
      <c r="O20" s="3120">
        <v>2.85</v>
      </c>
      <c r="P20" s="3120">
        <v>3.05</v>
      </c>
      <c r="Q20" s="3120">
        <v>3.25</v>
      </c>
      <c r="R20" s="3120">
        <v>4.0999999999999996</v>
      </c>
      <c r="S20" s="3120">
        <v>4.6500000000000004</v>
      </c>
      <c r="T20" s="3120">
        <v>5.0999999999999996</v>
      </c>
      <c r="U20" s="3120">
        <v>3.1</v>
      </c>
      <c r="V20" s="3120">
        <v>3.15</v>
      </c>
      <c r="W20" s="3120">
        <v>3.25</v>
      </c>
      <c r="X20" s="3120">
        <v>1.31</v>
      </c>
      <c r="Y20" s="3120">
        <v>0.94</v>
      </c>
      <c r="Z20" s="3120">
        <v>1.49</v>
      </c>
    </row>
    <row r="21" spans="1:256" ht="14.25">
      <c r="A21" s="883"/>
      <c r="B21" s="884"/>
      <c r="C21" s="889">
        <v>44581</v>
      </c>
      <c r="D21" s="3120">
        <v>3.7</v>
      </c>
      <c r="E21" s="3120">
        <f>D21</f>
        <v>3.7</v>
      </c>
      <c r="F21" s="3120">
        <f>D21</f>
        <v>3.7</v>
      </c>
      <c r="G21" s="3120">
        <f>D21</f>
        <v>3.7</v>
      </c>
      <c r="H21" s="3120">
        <v>4.5999999999999996</v>
      </c>
      <c r="I21" s="3119"/>
      <c r="J21" s="3119"/>
      <c r="L21" s="888"/>
      <c r="M21" s="889">
        <v>40731</v>
      </c>
      <c r="N21" s="3120">
        <v>0.5</v>
      </c>
      <c r="O21" s="3120">
        <v>3.1</v>
      </c>
      <c r="P21" s="3120">
        <v>3.3</v>
      </c>
      <c r="Q21" s="3120">
        <v>3.5</v>
      </c>
      <c r="R21" s="3120">
        <v>4.4000000000000004</v>
      </c>
      <c r="S21" s="3120">
        <v>5</v>
      </c>
      <c r="T21" s="3120">
        <v>5.5</v>
      </c>
      <c r="U21" s="3120">
        <v>3.1</v>
      </c>
      <c r="V21" s="3120">
        <v>3.3</v>
      </c>
      <c r="W21" s="3120">
        <v>3.5</v>
      </c>
      <c r="X21" s="3120">
        <v>1.31</v>
      </c>
      <c r="Y21" s="3120">
        <v>0.95</v>
      </c>
      <c r="Z21" s="3120">
        <v>1.49</v>
      </c>
    </row>
    <row r="22" spans="1:256" ht="14.25">
      <c r="A22" s="883"/>
      <c r="B22" s="888"/>
      <c r="C22" s="889">
        <v>44550</v>
      </c>
      <c r="D22" s="3120">
        <v>3.8</v>
      </c>
      <c r="E22" s="3120">
        <f>D22</f>
        <v>3.8</v>
      </c>
      <c r="F22" s="3120">
        <f>D22</f>
        <v>3.8</v>
      </c>
      <c r="G22" s="3120">
        <f>D22</f>
        <v>3.8</v>
      </c>
      <c r="H22" s="3120">
        <v>4.6500000000000004</v>
      </c>
      <c r="I22" s="3120"/>
      <c r="J22" s="3119"/>
      <c r="K22" s="872"/>
      <c r="L22" s="888"/>
      <c r="M22" s="889">
        <v>40639</v>
      </c>
      <c r="N22" s="3120">
        <v>0.5</v>
      </c>
      <c r="O22" s="3120">
        <v>2.85</v>
      </c>
      <c r="P22" s="3120">
        <v>3.05</v>
      </c>
      <c r="Q22" s="3120">
        <v>3.25</v>
      </c>
      <c r="R22" s="3120">
        <v>4.1500000000000004</v>
      </c>
      <c r="S22" s="3120">
        <v>4.75</v>
      </c>
      <c r="T22" s="3120">
        <v>5.25</v>
      </c>
      <c r="U22" s="3120">
        <v>2.85</v>
      </c>
      <c r="V22" s="3120">
        <v>3.05</v>
      </c>
      <c r="W22" s="3120">
        <v>3.25</v>
      </c>
      <c r="X22" s="3120">
        <v>1.31</v>
      </c>
      <c r="Y22" s="3120">
        <v>0.95</v>
      </c>
      <c r="Z22" s="3120">
        <v>1.49</v>
      </c>
    </row>
    <row r="23" spans="1:256" ht="14.25">
      <c r="A23" s="2084"/>
      <c r="B23" s="888"/>
      <c r="C23" s="889">
        <v>43941</v>
      </c>
      <c r="D23" s="3120">
        <v>3.85</v>
      </c>
      <c r="E23" s="3120">
        <v>3.85</v>
      </c>
      <c r="F23" s="3120">
        <v>3.85</v>
      </c>
      <c r="G23" s="3120">
        <v>3.85</v>
      </c>
      <c r="H23" s="3120">
        <v>4.6500000000000004</v>
      </c>
      <c r="I23" s="3120"/>
      <c r="J23" s="3120"/>
      <c r="L23" s="888"/>
      <c r="M23" s="889">
        <v>40583</v>
      </c>
      <c r="N23" s="3120">
        <v>0.4</v>
      </c>
      <c r="O23" s="3120">
        <v>2.6</v>
      </c>
      <c r="P23" s="3120">
        <v>2.8</v>
      </c>
      <c r="Q23" s="3120">
        <v>3</v>
      </c>
      <c r="R23" s="3120">
        <v>3.9</v>
      </c>
      <c r="S23" s="3120">
        <v>4.5</v>
      </c>
      <c r="T23" s="3120">
        <v>5</v>
      </c>
      <c r="U23" s="3120">
        <v>2.6</v>
      </c>
      <c r="V23" s="3120">
        <v>2.8</v>
      </c>
      <c r="W23" s="3120">
        <v>3</v>
      </c>
      <c r="X23" s="3120">
        <v>1.21</v>
      </c>
      <c r="Y23" s="3120">
        <v>0.85</v>
      </c>
      <c r="Z23" s="3120">
        <v>1.39</v>
      </c>
    </row>
    <row r="24" spans="1:256">
      <c r="B24" s="888"/>
      <c r="C24" s="889">
        <v>43881</v>
      </c>
      <c r="D24" s="3120">
        <v>4.05</v>
      </c>
      <c r="E24" s="3120">
        <v>4.05</v>
      </c>
      <c r="F24" s="3120">
        <v>4.05</v>
      </c>
      <c r="G24" s="3120">
        <v>4.05</v>
      </c>
      <c r="H24" s="3120">
        <v>4.75</v>
      </c>
      <c r="I24" s="3120"/>
      <c r="J24" s="3120"/>
      <c r="L24" s="888"/>
      <c r="M24" s="889">
        <v>40538</v>
      </c>
      <c r="N24" s="3120">
        <v>0.36</v>
      </c>
      <c r="O24" s="3120">
        <v>2.25</v>
      </c>
      <c r="P24" s="3120">
        <v>2.5</v>
      </c>
      <c r="Q24" s="3120">
        <v>2.75</v>
      </c>
      <c r="R24" s="3120">
        <v>3.55</v>
      </c>
      <c r="S24" s="3120">
        <v>4.1500000000000004</v>
      </c>
      <c r="T24" s="3120">
        <v>4.55</v>
      </c>
      <c r="U24" s="3120">
        <v>2.16</v>
      </c>
      <c r="V24" s="3120">
        <v>2.5</v>
      </c>
      <c r="W24" s="3120">
        <v>2.85</v>
      </c>
      <c r="X24" s="3120">
        <v>1.17</v>
      </c>
      <c r="Y24" s="3120">
        <v>0.81</v>
      </c>
      <c r="Z24" s="3120">
        <v>1.35</v>
      </c>
    </row>
    <row r="25" spans="1:256">
      <c r="B25" s="888"/>
      <c r="C25" s="889">
        <v>43789</v>
      </c>
      <c r="D25" s="3120">
        <v>4.1500000000000004</v>
      </c>
      <c r="E25" s="3120">
        <v>4.1500000000000004</v>
      </c>
      <c r="F25" s="3120">
        <v>4.1500000000000004</v>
      </c>
      <c r="G25" s="3120">
        <v>4.1500000000000004</v>
      </c>
      <c r="H25" s="3120">
        <v>4.8</v>
      </c>
      <c r="I25" s="3120"/>
      <c r="J25" s="3120"/>
      <c r="L25" s="888"/>
      <c r="M25" s="889">
        <v>40471</v>
      </c>
      <c r="N25" s="3120">
        <v>0.36</v>
      </c>
      <c r="O25" s="3120">
        <v>1.91</v>
      </c>
      <c r="P25" s="3120">
        <v>2.2000000000000002</v>
      </c>
      <c r="Q25" s="3120">
        <v>2.5</v>
      </c>
      <c r="R25" s="3120">
        <v>3.25</v>
      </c>
      <c r="S25" s="3120">
        <v>3.85</v>
      </c>
      <c r="T25" s="3120">
        <v>4.2</v>
      </c>
      <c r="U25" s="3120">
        <v>1.91</v>
      </c>
      <c r="V25" s="3120">
        <v>2.2000000000000002</v>
      </c>
      <c r="W25" s="3120">
        <v>2.5</v>
      </c>
      <c r="X25" s="3120">
        <v>1.17</v>
      </c>
      <c r="Y25" s="3120">
        <v>0.81</v>
      </c>
      <c r="Z25" s="3120">
        <v>1.35</v>
      </c>
    </row>
    <row r="26" spans="1:256">
      <c r="B26" s="888"/>
      <c r="C26" s="889">
        <v>43728</v>
      </c>
      <c r="D26" s="3120">
        <v>4.2</v>
      </c>
      <c r="E26" s="3120">
        <v>4.2</v>
      </c>
      <c r="F26" s="3120">
        <v>4.2</v>
      </c>
      <c r="G26" s="3120">
        <v>4.2</v>
      </c>
      <c r="H26" s="3120">
        <v>4.8499999999999996</v>
      </c>
      <c r="I26" s="3120"/>
      <c r="J26" s="3120"/>
      <c r="L26" s="888"/>
      <c r="M26" s="889">
        <v>39805</v>
      </c>
      <c r="N26" s="3120">
        <v>0.36</v>
      </c>
      <c r="O26" s="3120">
        <v>1.71</v>
      </c>
      <c r="P26" s="3120">
        <v>1.98</v>
      </c>
      <c r="Q26" s="3120">
        <v>2.25</v>
      </c>
      <c r="R26" s="3120">
        <v>2.79</v>
      </c>
      <c r="S26" s="3120">
        <v>3.33</v>
      </c>
      <c r="T26" s="3120">
        <v>3.6</v>
      </c>
      <c r="U26" s="3120">
        <v>1.71</v>
      </c>
      <c r="V26" s="3120">
        <v>1.98</v>
      </c>
      <c r="W26" s="3120">
        <v>2.25</v>
      </c>
      <c r="X26" s="3120">
        <v>1.17</v>
      </c>
      <c r="Y26" s="3120">
        <v>0.81</v>
      </c>
      <c r="Z26" s="3120">
        <v>1.35</v>
      </c>
    </row>
    <row r="27" spans="1:256" ht="14.25">
      <c r="B27" s="884" t="s">
        <v>2200</v>
      </c>
      <c r="C27" s="890">
        <v>43697</v>
      </c>
      <c r="D27" s="3121">
        <v>4.25</v>
      </c>
      <c r="E27" s="3121">
        <v>4.25</v>
      </c>
      <c r="F27" s="3121">
        <v>4.25</v>
      </c>
      <c r="G27" s="3121">
        <v>4.25</v>
      </c>
      <c r="H27" s="3121">
        <v>4.8499999999999996</v>
      </c>
      <c r="I27" s="3121"/>
      <c r="J27" s="3121"/>
      <c r="L27" s="888"/>
      <c r="M27" s="889">
        <v>39779</v>
      </c>
      <c r="N27" s="3120">
        <v>0.36</v>
      </c>
      <c r="O27" s="3120">
        <v>1.98</v>
      </c>
      <c r="P27" s="3120">
        <v>2.25</v>
      </c>
      <c r="Q27" s="3120">
        <v>2.52</v>
      </c>
      <c r="R27" s="3120">
        <v>3.06</v>
      </c>
      <c r="S27" s="3120">
        <v>3.6</v>
      </c>
      <c r="T27" s="3120">
        <v>3.87</v>
      </c>
      <c r="U27" s="3120">
        <v>1.98</v>
      </c>
      <c r="V27" s="3120">
        <v>2.25</v>
      </c>
      <c r="W27" s="3120">
        <v>2.52</v>
      </c>
      <c r="X27" s="3120">
        <v>1.17</v>
      </c>
      <c r="Y27" s="3120">
        <v>0.81</v>
      </c>
      <c r="Z27" s="3120">
        <v>1.35</v>
      </c>
    </row>
    <row r="28" spans="1:256" ht="14.25">
      <c r="B28" s="2085"/>
      <c r="C28" s="2086">
        <v>42301</v>
      </c>
      <c r="D28" s="3122">
        <v>4.3499999999999996</v>
      </c>
      <c r="E28" s="3122">
        <v>4.3499999999999996</v>
      </c>
      <c r="F28" s="3122">
        <v>4.75</v>
      </c>
      <c r="G28" s="3122">
        <v>4.75</v>
      </c>
      <c r="H28" s="3122">
        <v>4.9000000000000004</v>
      </c>
      <c r="I28" s="3122"/>
      <c r="J28" s="3122"/>
      <c r="L28" s="888"/>
      <c r="M28" s="889">
        <v>39751</v>
      </c>
      <c r="N28" s="3120">
        <v>0.72</v>
      </c>
      <c r="O28" s="3120">
        <v>2.88</v>
      </c>
      <c r="P28" s="3120">
        <v>3.24</v>
      </c>
      <c r="Q28" s="3120">
        <v>3.6</v>
      </c>
      <c r="R28" s="3120">
        <v>4.1399999999999997</v>
      </c>
      <c r="S28" s="3120">
        <v>4.7699999999999996</v>
      </c>
      <c r="T28" s="3120">
        <v>5.13</v>
      </c>
      <c r="U28" s="3120">
        <v>2.88</v>
      </c>
      <c r="V28" s="3120">
        <v>3.24</v>
      </c>
      <c r="W28" s="3120">
        <v>3.6</v>
      </c>
      <c r="X28" s="3120">
        <v>1.53</v>
      </c>
      <c r="Y28" s="3120">
        <v>1.17</v>
      </c>
      <c r="Z28" s="3120">
        <v>1.71</v>
      </c>
    </row>
    <row r="29" spans="1:256">
      <c r="B29" s="888"/>
      <c r="C29" s="889">
        <v>42242</v>
      </c>
      <c r="D29" s="3120">
        <v>4.5999999999999996</v>
      </c>
      <c r="E29" s="3120">
        <v>4.5999999999999996</v>
      </c>
      <c r="F29" s="3120">
        <v>5</v>
      </c>
      <c r="G29" s="3120">
        <v>5</v>
      </c>
      <c r="H29" s="3120">
        <v>5.15</v>
      </c>
      <c r="I29" s="3120">
        <v>2.75</v>
      </c>
      <c r="J29" s="3120">
        <v>3.25</v>
      </c>
      <c r="L29" s="888"/>
      <c r="M29" s="890">
        <v>39736</v>
      </c>
      <c r="N29" s="3120">
        <v>0.72</v>
      </c>
      <c r="O29" s="3120">
        <v>3.15</v>
      </c>
      <c r="P29" s="3120">
        <v>3.51</v>
      </c>
      <c r="Q29" s="3120">
        <v>3.87</v>
      </c>
      <c r="R29" s="3120">
        <v>4.41</v>
      </c>
      <c r="S29" s="3120">
        <v>5.13</v>
      </c>
      <c r="T29" s="3120">
        <v>5.58</v>
      </c>
      <c r="U29" s="3120">
        <v>3.15</v>
      </c>
      <c r="V29" s="3120">
        <v>3.51</v>
      </c>
      <c r="W29" s="3120">
        <v>3.87</v>
      </c>
      <c r="X29" s="3120">
        <v>1.53</v>
      </c>
      <c r="Y29" s="3120">
        <v>1.17</v>
      </c>
      <c r="Z29" s="3120">
        <v>1.71</v>
      </c>
    </row>
    <row r="30" spans="1:256">
      <c r="B30" s="888"/>
      <c r="C30" s="889">
        <v>42183</v>
      </c>
      <c r="D30" s="3120">
        <v>4.8499999999999996</v>
      </c>
      <c r="E30" s="3120">
        <v>4.8499999999999996</v>
      </c>
      <c r="F30" s="3120">
        <v>5.25</v>
      </c>
      <c r="G30" s="3120">
        <v>5.25</v>
      </c>
      <c r="H30" s="3120">
        <v>5.4</v>
      </c>
      <c r="I30" s="3120">
        <v>3</v>
      </c>
      <c r="J30" s="3120">
        <v>3.5</v>
      </c>
      <c r="L30" s="888"/>
      <c r="M30" s="889">
        <v>39730</v>
      </c>
      <c r="N30" s="3120">
        <v>0.72</v>
      </c>
      <c r="O30" s="3120">
        <v>3.15</v>
      </c>
      <c r="P30" s="3120">
        <v>3.51</v>
      </c>
      <c r="Q30" s="3120">
        <v>3.87</v>
      </c>
      <c r="R30" s="3120">
        <v>4.41</v>
      </c>
      <c r="S30" s="3120">
        <v>5.13</v>
      </c>
      <c r="T30" s="3120">
        <v>5.58</v>
      </c>
      <c r="U30" s="3120">
        <v>3.15</v>
      </c>
      <c r="V30" s="3120">
        <v>3.51</v>
      </c>
      <c r="W30" s="3120">
        <v>3.87</v>
      </c>
      <c r="X30" s="3120">
        <v>1.53</v>
      </c>
      <c r="Y30" s="3120">
        <v>1.17</v>
      </c>
      <c r="Z30" s="3120">
        <v>1.71</v>
      </c>
    </row>
    <row r="31" spans="1:256">
      <c r="B31" s="888"/>
      <c r="C31" s="889">
        <v>42135</v>
      </c>
      <c r="D31" s="3120">
        <v>5.0999999999999996</v>
      </c>
      <c r="E31" s="3120">
        <v>5.0999999999999996</v>
      </c>
      <c r="F31" s="3120">
        <v>5.5</v>
      </c>
      <c r="G31" s="3120">
        <v>5.5</v>
      </c>
      <c r="H31" s="3120">
        <v>5.65</v>
      </c>
      <c r="I31" s="3120">
        <v>3.25</v>
      </c>
      <c r="J31" s="3120">
        <v>3.75</v>
      </c>
      <c r="L31" s="888"/>
      <c r="M31" s="889">
        <v>39437</v>
      </c>
      <c r="N31" s="3120">
        <v>0.72</v>
      </c>
      <c r="O31" s="3120">
        <v>3.33</v>
      </c>
      <c r="P31" s="3120">
        <v>3.78</v>
      </c>
      <c r="Q31" s="3120">
        <v>4.1399999999999997</v>
      </c>
      <c r="R31" s="3120">
        <v>4.68</v>
      </c>
      <c r="S31" s="3120">
        <v>5.4</v>
      </c>
      <c r="T31" s="3120">
        <v>5.85</v>
      </c>
      <c r="U31" s="3120">
        <v>3.33</v>
      </c>
      <c r="V31" s="3120">
        <v>3.78</v>
      </c>
      <c r="W31" s="3120">
        <v>4.1399999999999997</v>
      </c>
      <c r="X31" s="3120">
        <v>1.53</v>
      </c>
      <c r="Y31" s="3120">
        <v>1.17</v>
      </c>
      <c r="Z31" s="3120">
        <v>1.71</v>
      </c>
    </row>
    <row r="32" spans="1:256">
      <c r="B32" s="888"/>
      <c r="C32" s="889">
        <v>42064</v>
      </c>
      <c r="D32" s="3120">
        <v>5.35</v>
      </c>
      <c r="E32" s="3120">
        <v>5.35</v>
      </c>
      <c r="F32" s="3120">
        <v>5.75</v>
      </c>
      <c r="G32" s="3120">
        <v>5.75</v>
      </c>
      <c r="H32" s="3120">
        <v>5.9</v>
      </c>
      <c r="I32" s="3120"/>
      <c r="J32" s="3120"/>
      <c r="L32" s="888"/>
      <c r="M32" s="889">
        <v>39340</v>
      </c>
      <c r="N32" s="3120">
        <v>0.81</v>
      </c>
      <c r="O32" s="3120">
        <v>2.88</v>
      </c>
      <c r="P32" s="3120">
        <v>3.42</v>
      </c>
      <c r="Q32" s="3120">
        <v>3.87</v>
      </c>
      <c r="R32" s="3120">
        <v>4.5</v>
      </c>
      <c r="S32" s="3120">
        <v>5.22</v>
      </c>
      <c r="T32" s="3120">
        <v>5.76</v>
      </c>
      <c r="U32" s="3120">
        <v>2.88</v>
      </c>
      <c r="V32" s="3120">
        <v>3.42</v>
      </c>
      <c r="W32" s="3120">
        <v>3.87</v>
      </c>
      <c r="X32" s="3120">
        <v>1.53</v>
      </c>
      <c r="Y32" s="3120">
        <v>1.17</v>
      </c>
      <c r="Z32" s="3120">
        <v>1.71</v>
      </c>
    </row>
    <row r="33" spans="2:26">
      <c r="B33" s="888"/>
      <c r="C33" s="889">
        <v>41965</v>
      </c>
      <c r="D33" s="3120">
        <v>5.6</v>
      </c>
      <c r="E33" s="3120">
        <v>5.6</v>
      </c>
      <c r="F33" s="3120">
        <v>6</v>
      </c>
      <c r="G33" s="3120">
        <v>6</v>
      </c>
      <c r="H33" s="3120">
        <v>6.15</v>
      </c>
      <c r="I33" s="3120"/>
      <c r="J33" s="3120"/>
      <c r="L33" s="888"/>
      <c r="M33" s="889">
        <v>39316</v>
      </c>
      <c r="N33" s="3120">
        <v>0.81</v>
      </c>
      <c r="O33" s="3120">
        <v>2.61</v>
      </c>
      <c r="P33" s="3120">
        <v>3.15</v>
      </c>
      <c r="Q33" s="3120">
        <v>3.6</v>
      </c>
      <c r="R33" s="3120">
        <v>4.2300000000000004</v>
      </c>
      <c r="S33" s="3120">
        <v>4.95</v>
      </c>
      <c r="T33" s="3120">
        <v>5.49</v>
      </c>
      <c r="U33" s="3120">
        <v>2.61</v>
      </c>
      <c r="V33" s="3120">
        <v>3.15</v>
      </c>
      <c r="W33" s="3120">
        <v>3.6</v>
      </c>
      <c r="X33" s="3120">
        <v>1.53</v>
      </c>
      <c r="Y33" s="3120">
        <v>1.17</v>
      </c>
      <c r="Z33" s="3120">
        <v>1.71</v>
      </c>
    </row>
    <row r="34" spans="2:26">
      <c r="B34" s="888"/>
      <c r="C34" s="889">
        <v>41096</v>
      </c>
      <c r="D34" s="3120">
        <v>5.6</v>
      </c>
      <c r="E34" s="3120">
        <v>6</v>
      </c>
      <c r="F34" s="3120">
        <v>6.15</v>
      </c>
      <c r="G34" s="3120">
        <v>6.4</v>
      </c>
      <c r="H34" s="3120">
        <v>6.55</v>
      </c>
      <c r="I34" s="3120">
        <v>4</v>
      </c>
      <c r="J34" s="3120">
        <v>4.5</v>
      </c>
      <c r="L34" s="888"/>
      <c r="M34" s="889">
        <v>39284</v>
      </c>
      <c r="N34" s="3120">
        <v>0.81</v>
      </c>
      <c r="O34" s="3120">
        <v>2.34</v>
      </c>
      <c r="P34" s="3120">
        <v>2.88</v>
      </c>
      <c r="Q34" s="3120">
        <v>3.33</v>
      </c>
      <c r="R34" s="3120">
        <v>3.96</v>
      </c>
      <c r="S34" s="3120">
        <v>4.68</v>
      </c>
      <c r="T34" s="3120">
        <v>5.22</v>
      </c>
      <c r="U34" s="3120">
        <v>2.34</v>
      </c>
      <c r="V34" s="3120">
        <v>2.88</v>
      </c>
      <c r="W34" s="3120">
        <v>3.33</v>
      </c>
      <c r="X34" s="3120">
        <v>1.53</v>
      </c>
      <c r="Y34" s="3120">
        <v>1.17</v>
      </c>
      <c r="Z34" s="3120">
        <v>1.71</v>
      </c>
    </row>
    <row r="35" spans="2:26">
      <c r="B35" s="888"/>
      <c r="C35" s="889">
        <v>41068</v>
      </c>
      <c r="D35" s="3120">
        <v>5.85</v>
      </c>
      <c r="E35" s="3120">
        <v>6.31</v>
      </c>
      <c r="F35" s="3120">
        <v>6.4</v>
      </c>
      <c r="G35" s="3120">
        <v>6.65</v>
      </c>
      <c r="H35" s="3120">
        <v>6.8</v>
      </c>
      <c r="I35" s="3120">
        <v>4.2</v>
      </c>
      <c r="J35" s="3120">
        <v>4.7</v>
      </c>
      <c r="L35" s="888"/>
      <c r="M35" s="889">
        <v>39221</v>
      </c>
      <c r="N35" s="3120">
        <v>0.72</v>
      </c>
      <c r="O35" s="3120">
        <v>2.0699999999999998</v>
      </c>
      <c r="P35" s="3120">
        <v>2.61</v>
      </c>
      <c r="Q35" s="3120">
        <v>3.06</v>
      </c>
      <c r="R35" s="3120">
        <v>3.69</v>
      </c>
      <c r="S35" s="3120">
        <v>4.41</v>
      </c>
      <c r="T35" s="3120">
        <v>4.95</v>
      </c>
      <c r="U35" s="3120">
        <v>2.0699999999999998</v>
      </c>
      <c r="V35" s="3120">
        <v>2.61</v>
      </c>
      <c r="W35" s="3120">
        <v>3.06</v>
      </c>
      <c r="X35" s="3120">
        <v>1.44</v>
      </c>
      <c r="Y35" s="3120">
        <v>1.08</v>
      </c>
      <c r="Z35" s="3120">
        <v>1.62</v>
      </c>
    </row>
    <row r="36" spans="2:26">
      <c r="B36" s="888"/>
      <c r="C36" s="889">
        <v>40731</v>
      </c>
      <c r="D36" s="3120">
        <v>6.1</v>
      </c>
      <c r="E36" s="3120">
        <v>6.56</v>
      </c>
      <c r="F36" s="3120">
        <v>6.65</v>
      </c>
      <c r="G36" s="3120">
        <v>6.9</v>
      </c>
      <c r="H36" s="3120">
        <v>7.05</v>
      </c>
      <c r="I36" s="3120">
        <v>4.45</v>
      </c>
      <c r="J36" s="3120">
        <v>4.9000000000000004</v>
      </c>
      <c r="L36" s="888"/>
      <c r="M36" s="889">
        <v>39159</v>
      </c>
      <c r="N36" s="3120">
        <v>0.72</v>
      </c>
      <c r="O36" s="3120">
        <v>1.98</v>
      </c>
      <c r="P36" s="3120">
        <v>2.4300000000000002</v>
      </c>
      <c r="Q36" s="3120">
        <v>2.79</v>
      </c>
      <c r="R36" s="3120">
        <v>3.33</v>
      </c>
      <c r="S36" s="3120">
        <v>3.96</v>
      </c>
      <c r="T36" s="3120">
        <v>4.41</v>
      </c>
      <c r="U36" s="3120">
        <v>1.98</v>
      </c>
      <c r="V36" s="3120">
        <v>2.4300000000000002</v>
      </c>
      <c r="W36" s="3120">
        <v>2.79</v>
      </c>
      <c r="X36" s="3120">
        <v>1.44</v>
      </c>
      <c r="Y36" s="3120">
        <v>1.08</v>
      </c>
      <c r="Z36" s="3120">
        <v>1.62</v>
      </c>
    </row>
    <row r="37" spans="2:26">
      <c r="B37" s="888"/>
      <c r="C37" s="889">
        <v>40639</v>
      </c>
      <c r="D37" s="3120">
        <v>5.85</v>
      </c>
      <c r="E37" s="3120">
        <v>6.31</v>
      </c>
      <c r="F37" s="3120">
        <v>6.4</v>
      </c>
      <c r="G37" s="3120">
        <v>6.65</v>
      </c>
      <c r="H37" s="3120">
        <v>6.8</v>
      </c>
      <c r="I37" s="3120">
        <v>4.2</v>
      </c>
      <c r="J37" s="3120">
        <v>4.7</v>
      </c>
      <c r="L37" s="888"/>
      <c r="M37" s="889">
        <v>38948</v>
      </c>
      <c r="N37" s="3120">
        <v>0.72</v>
      </c>
      <c r="O37" s="3120">
        <v>1.8</v>
      </c>
      <c r="P37" s="3120">
        <v>2.25</v>
      </c>
      <c r="Q37" s="3120">
        <v>2.52</v>
      </c>
      <c r="R37" s="3120">
        <v>3.06</v>
      </c>
      <c r="S37" s="3120">
        <v>3.69</v>
      </c>
      <c r="T37" s="3120">
        <v>4.1399999999999997</v>
      </c>
      <c r="U37" s="3120">
        <v>1.8</v>
      </c>
      <c r="V37" s="3120">
        <v>2.25</v>
      </c>
      <c r="W37" s="3120">
        <v>2.52</v>
      </c>
      <c r="X37" s="3120">
        <v>1.44</v>
      </c>
      <c r="Y37" s="3120">
        <v>1.08</v>
      </c>
      <c r="Z37" s="3120">
        <v>1.62</v>
      </c>
    </row>
    <row r="38" spans="2:26">
      <c r="B38" s="888"/>
      <c r="C38" s="889">
        <v>40583</v>
      </c>
      <c r="D38" s="3120">
        <v>5.6</v>
      </c>
      <c r="E38" s="3120">
        <v>6.06</v>
      </c>
      <c r="F38" s="3120">
        <v>6.1</v>
      </c>
      <c r="G38" s="3120">
        <v>6.45</v>
      </c>
      <c r="H38" s="3120">
        <v>6.6</v>
      </c>
      <c r="I38" s="3120">
        <v>4</v>
      </c>
      <c r="J38" s="3120">
        <v>4.5</v>
      </c>
      <c r="L38" s="888"/>
      <c r="M38" s="889">
        <v>38289</v>
      </c>
      <c r="N38" s="3120">
        <v>0.72</v>
      </c>
      <c r="O38" s="3120">
        <v>1.71</v>
      </c>
      <c r="P38" s="3120">
        <v>2.0699999999999998</v>
      </c>
      <c r="Q38" s="3120">
        <v>2.25</v>
      </c>
      <c r="R38" s="3120">
        <v>2.7</v>
      </c>
      <c r="S38" s="3120">
        <v>3.24</v>
      </c>
      <c r="T38" s="3120">
        <v>3.6</v>
      </c>
      <c r="U38" s="3120">
        <v>1.71</v>
      </c>
      <c r="V38" s="3120">
        <v>2.0699999999999998</v>
      </c>
      <c r="W38" s="3120">
        <v>2.25</v>
      </c>
      <c r="X38" s="3120">
        <v>1.44</v>
      </c>
      <c r="Y38" s="3120">
        <v>1.08</v>
      </c>
      <c r="Z38" s="3120">
        <v>1.62</v>
      </c>
    </row>
    <row r="39" spans="2:26">
      <c r="B39" s="888"/>
      <c r="C39" s="889">
        <v>40538</v>
      </c>
      <c r="D39" s="3120">
        <v>5.35</v>
      </c>
      <c r="E39" s="3120">
        <v>5.81</v>
      </c>
      <c r="F39" s="3120">
        <v>5.85</v>
      </c>
      <c r="G39" s="3120">
        <v>6.22</v>
      </c>
      <c r="H39" s="3120">
        <v>6.4</v>
      </c>
      <c r="I39" s="3120">
        <v>3.75</v>
      </c>
      <c r="J39" s="3120">
        <v>4.3</v>
      </c>
      <c r="L39" s="888"/>
      <c r="M39" s="889">
        <v>37308</v>
      </c>
      <c r="N39" s="3120">
        <v>0.72</v>
      </c>
      <c r="O39" s="3120">
        <v>1.71</v>
      </c>
      <c r="P39" s="3120">
        <v>1.89</v>
      </c>
      <c r="Q39" s="3120">
        <v>1.98</v>
      </c>
      <c r="R39" s="3120">
        <v>2.25</v>
      </c>
      <c r="S39" s="3120">
        <v>2.52</v>
      </c>
      <c r="T39" s="3120">
        <v>2.79</v>
      </c>
      <c r="U39" s="3120">
        <v>1.71</v>
      </c>
      <c r="V39" s="3120">
        <v>1.89</v>
      </c>
      <c r="W39" s="3120">
        <v>1.98</v>
      </c>
      <c r="X39" s="3120">
        <v>1.44</v>
      </c>
      <c r="Y39" s="3120">
        <v>1.08</v>
      </c>
      <c r="Z39" s="3120">
        <v>1.62</v>
      </c>
    </row>
    <row r="40" spans="2:26">
      <c r="B40" s="888"/>
      <c r="C40" s="889">
        <v>40471</v>
      </c>
      <c r="D40" s="3120">
        <v>5.0999999999999996</v>
      </c>
      <c r="E40" s="3120">
        <v>5.56</v>
      </c>
      <c r="F40" s="3120">
        <v>5.6</v>
      </c>
      <c r="G40" s="3120">
        <v>5.96</v>
      </c>
      <c r="H40" s="3120">
        <v>6.14</v>
      </c>
      <c r="I40" s="3120">
        <v>3.5</v>
      </c>
      <c r="J40" s="3120">
        <v>4.05</v>
      </c>
      <c r="L40" s="888"/>
      <c r="M40" s="889">
        <v>36321</v>
      </c>
      <c r="N40" s="3120">
        <v>0.99</v>
      </c>
      <c r="O40" s="3120">
        <v>1.98</v>
      </c>
      <c r="P40" s="3120">
        <v>2.16</v>
      </c>
      <c r="Q40" s="3120">
        <v>2.25</v>
      </c>
      <c r="R40" s="3120">
        <v>2.4300000000000002</v>
      </c>
      <c r="S40" s="3120">
        <v>2.7</v>
      </c>
      <c r="T40" s="3120">
        <v>2.88</v>
      </c>
      <c r="U40" s="3120">
        <v>1.98</v>
      </c>
      <c r="V40" s="3120">
        <v>2.16</v>
      </c>
      <c r="W40" s="3120">
        <v>2.25</v>
      </c>
      <c r="X40" s="3120">
        <v>1.71</v>
      </c>
      <c r="Y40" s="3120">
        <v>1.35</v>
      </c>
      <c r="Z40" s="3120">
        <v>1.89</v>
      </c>
    </row>
    <row r="41" spans="2:26">
      <c r="B41" s="888"/>
      <c r="C41" s="889">
        <v>39805</v>
      </c>
      <c r="D41" s="3120">
        <v>4.8600000000000003</v>
      </c>
      <c r="E41" s="3120">
        <v>5.31</v>
      </c>
      <c r="F41" s="3120">
        <v>5.4</v>
      </c>
      <c r="G41" s="3120">
        <v>5.76</v>
      </c>
      <c r="H41" s="3120">
        <v>5.94</v>
      </c>
      <c r="I41" s="3120">
        <v>3.33</v>
      </c>
      <c r="J41" s="3120">
        <v>3.87</v>
      </c>
      <c r="L41" s="888"/>
      <c r="M41" s="889">
        <v>36136</v>
      </c>
      <c r="N41" s="3120">
        <v>1.44</v>
      </c>
      <c r="O41" s="3120">
        <v>2.79</v>
      </c>
      <c r="P41" s="3120">
        <v>3.33</v>
      </c>
      <c r="Q41" s="3120">
        <v>3.78</v>
      </c>
      <c r="R41" s="3120">
        <v>3.96</v>
      </c>
      <c r="S41" s="3120">
        <v>4.1399999999999997</v>
      </c>
      <c r="T41" s="3120">
        <v>4.5</v>
      </c>
      <c r="U41" s="3120">
        <v>3.33</v>
      </c>
      <c r="V41" s="3120">
        <v>3.78</v>
      </c>
      <c r="W41" s="3120">
        <v>4.1399999999999997</v>
      </c>
      <c r="X41" s="3120">
        <v>2.16</v>
      </c>
      <c r="Y41" s="3120">
        <v>1.8</v>
      </c>
      <c r="Z41" s="3120">
        <v>2.34</v>
      </c>
    </row>
    <row r="42" spans="2:26">
      <c r="B42" s="888"/>
      <c r="C42" s="889">
        <v>39779</v>
      </c>
      <c r="D42" s="3120">
        <v>5.04</v>
      </c>
      <c r="E42" s="3120">
        <v>5.58</v>
      </c>
      <c r="F42" s="3120">
        <v>5.67</v>
      </c>
      <c r="G42" s="3120">
        <v>5.94</v>
      </c>
      <c r="H42" s="3120">
        <v>6.12</v>
      </c>
      <c r="I42" s="3120">
        <v>3.51</v>
      </c>
      <c r="J42" s="3120">
        <v>4.05</v>
      </c>
      <c r="L42" s="888"/>
      <c r="M42" s="889">
        <v>35977</v>
      </c>
      <c r="N42" s="3120">
        <v>1.44</v>
      </c>
      <c r="O42" s="3120">
        <v>2.79</v>
      </c>
      <c r="P42" s="3120">
        <v>3.96</v>
      </c>
      <c r="Q42" s="3120">
        <v>4.7699999999999996</v>
      </c>
      <c r="R42" s="3120">
        <v>4.8600000000000003</v>
      </c>
      <c r="S42" s="3120">
        <v>4.95</v>
      </c>
      <c r="T42" s="3120">
        <v>5.22</v>
      </c>
      <c r="U42" s="3120">
        <v>3.96</v>
      </c>
      <c r="V42" s="3120">
        <v>4.7699999999999996</v>
      </c>
      <c r="W42" s="3120">
        <v>4.95</v>
      </c>
      <c r="X42" s="3120" t="s">
        <v>627</v>
      </c>
      <c r="Y42" s="3120" t="s">
        <v>627</v>
      </c>
      <c r="Z42" s="3120" t="s">
        <v>627</v>
      </c>
    </row>
    <row r="43" spans="2:26">
      <c r="B43" s="888"/>
      <c r="C43" s="889">
        <v>39751</v>
      </c>
      <c r="D43" s="3120">
        <v>6.03</v>
      </c>
      <c r="E43" s="3120">
        <v>6.66</v>
      </c>
      <c r="F43" s="3120">
        <v>6.75</v>
      </c>
      <c r="G43" s="3120">
        <v>7.02</v>
      </c>
      <c r="H43" s="3120">
        <v>7.2</v>
      </c>
      <c r="I43" s="3120">
        <v>4.05</v>
      </c>
      <c r="J43" s="3120">
        <v>4.59</v>
      </c>
      <c r="L43" s="888"/>
      <c r="M43" s="889">
        <v>35879</v>
      </c>
      <c r="N43" s="3120">
        <v>1.71</v>
      </c>
      <c r="O43" s="3120">
        <v>2.88</v>
      </c>
      <c r="P43" s="3120">
        <v>4.1399999999999997</v>
      </c>
      <c r="Q43" s="3120">
        <v>5.22</v>
      </c>
      <c r="R43" s="3120">
        <v>5.58</v>
      </c>
      <c r="S43" s="3120">
        <v>6.21</v>
      </c>
      <c r="T43" s="3120">
        <v>6.66</v>
      </c>
      <c r="U43" s="3120">
        <v>4.1399999999999997</v>
      </c>
      <c r="V43" s="3120">
        <v>5.22</v>
      </c>
      <c r="W43" s="3120">
        <v>6.21</v>
      </c>
      <c r="X43" s="3120" t="s">
        <v>627</v>
      </c>
      <c r="Y43" s="3120" t="s">
        <v>627</v>
      </c>
      <c r="Z43" s="3120" t="s">
        <v>627</v>
      </c>
    </row>
    <row r="44" spans="2:26">
      <c r="B44" s="888"/>
      <c r="C44" s="890">
        <v>39748</v>
      </c>
      <c r="D44" s="3120">
        <v>6.12</v>
      </c>
      <c r="E44" s="3120">
        <v>6.93</v>
      </c>
      <c r="F44" s="3120">
        <v>7.02</v>
      </c>
      <c r="G44" s="3120">
        <v>7.29</v>
      </c>
      <c r="H44" s="3120">
        <v>7.47</v>
      </c>
      <c r="I44" s="3120">
        <v>4.05</v>
      </c>
      <c r="J44" s="3120">
        <v>4.59</v>
      </c>
      <c r="L44" s="888"/>
      <c r="M44" s="889">
        <v>35726</v>
      </c>
      <c r="N44" s="3120">
        <v>1.71</v>
      </c>
      <c r="O44" s="3120">
        <v>2.88</v>
      </c>
      <c r="P44" s="3120">
        <v>4.1399999999999997</v>
      </c>
      <c r="Q44" s="3120">
        <v>5.67</v>
      </c>
      <c r="R44" s="3120">
        <v>5.94</v>
      </c>
      <c r="S44" s="3120">
        <v>6.21</v>
      </c>
      <c r="T44" s="3120">
        <v>6.66</v>
      </c>
      <c r="U44" s="3120">
        <v>4.1399999999999997</v>
      </c>
      <c r="V44" s="3120">
        <v>5.67</v>
      </c>
      <c r="W44" s="3120">
        <v>6.21</v>
      </c>
      <c r="X44" s="3120" t="s">
        <v>627</v>
      </c>
      <c r="Y44" s="3120" t="s">
        <v>627</v>
      </c>
      <c r="Z44" s="3120" t="s">
        <v>627</v>
      </c>
    </row>
    <row r="45" spans="2:26">
      <c r="B45" s="888"/>
      <c r="C45" s="889">
        <v>39730</v>
      </c>
      <c r="D45" s="3120">
        <v>6.12</v>
      </c>
      <c r="E45" s="3120">
        <v>6.93</v>
      </c>
      <c r="F45" s="3120">
        <v>7.02</v>
      </c>
      <c r="G45" s="3120">
        <v>7.29</v>
      </c>
      <c r="H45" s="3120">
        <v>7.47</v>
      </c>
      <c r="I45" s="3120">
        <v>4.32</v>
      </c>
      <c r="J45" s="3120">
        <v>4.8600000000000003</v>
      </c>
      <c r="L45" s="888"/>
      <c r="M45" s="889">
        <v>35300</v>
      </c>
      <c r="N45" s="3120">
        <v>1.98</v>
      </c>
      <c r="O45" s="3120">
        <v>3.33</v>
      </c>
      <c r="P45" s="3120">
        <v>5.4</v>
      </c>
      <c r="Q45" s="3120">
        <v>7.47</v>
      </c>
      <c r="R45" s="3120">
        <v>7.92</v>
      </c>
      <c r="S45" s="3120">
        <v>8.2799999999999994</v>
      </c>
      <c r="T45" s="3120">
        <v>9</v>
      </c>
      <c r="U45" s="3120">
        <v>5.4</v>
      </c>
      <c r="V45" s="3120">
        <v>7.47</v>
      </c>
      <c r="W45" s="3120">
        <v>8.2799999999999994</v>
      </c>
      <c r="X45" s="3120" t="s">
        <v>627</v>
      </c>
      <c r="Y45" s="3120" t="s">
        <v>627</v>
      </c>
      <c r="Z45" s="3120" t="s">
        <v>627</v>
      </c>
    </row>
    <row r="46" spans="2:26">
      <c r="B46" s="888"/>
      <c r="C46" s="889">
        <v>39707</v>
      </c>
      <c r="D46" s="3120">
        <v>6.21</v>
      </c>
      <c r="E46" s="3120">
        <v>7.2</v>
      </c>
      <c r="F46" s="3120">
        <v>7.29</v>
      </c>
      <c r="G46" s="3120">
        <v>7.56</v>
      </c>
      <c r="H46" s="3120">
        <v>7.74</v>
      </c>
      <c r="I46" s="3120">
        <v>4.59</v>
      </c>
      <c r="J46" s="3120">
        <v>5.13</v>
      </c>
      <c r="L46" s="888"/>
      <c r="M46" s="889">
        <v>35186</v>
      </c>
      <c r="N46" s="3120">
        <v>2.97</v>
      </c>
      <c r="O46" s="3120">
        <v>4.8600000000000003</v>
      </c>
      <c r="P46" s="3120">
        <v>7.2</v>
      </c>
      <c r="Q46" s="3120">
        <v>9.18</v>
      </c>
      <c r="R46" s="3120">
        <v>9.9</v>
      </c>
      <c r="S46" s="3120">
        <v>10.8</v>
      </c>
      <c r="T46" s="3120">
        <v>12.06</v>
      </c>
      <c r="U46" s="3120">
        <v>7.2</v>
      </c>
      <c r="V46" s="3120">
        <v>9.18</v>
      </c>
      <c r="W46" s="3120">
        <v>10.8</v>
      </c>
      <c r="X46" s="3120" t="s">
        <v>627</v>
      </c>
      <c r="Y46" s="3120" t="s">
        <v>627</v>
      </c>
      <c r="Z46" s="3120" t="s">
        <v>627</v>
      </c>
    </row>
    <row r="47" spans="2:26">
      <c r="B47" s="888"/>
      <c r="C47" s="889">
        <v>39437</v>
      </c>
      <c r="D47" s="3120">
        <v>6.57</v>
      </c>
      <c r="E47" s="3120">
        <v>7.47</v>
      </c>
      <c r="F47" s="3120">
        <v>7.56</v>
      </c>
      <c r="G47" s="3120">
        <v>7.74</v>
      </c>
      <c r="H47" s="3120">
        <v>7.83</v>
      </c>
      <c r="I47" s="3120">
        <v>4.7699999999999996</v>
      </c>
      <c r="J47" s="3120">
        <v>5.22</v>
      </c>
      <c r="L47" s="888"/>
      <c r="M47" s="889">
        <v>34161</v>
      </c>
      <c r="N47" s="3120">
        <v>3.15</v>
      </c>
      <c r="O47" s="3120">
        <v>6.66</v>
      </c>
      <c r="P47" s="3120">
        <v>9</v>
      </c>
      <c r="Q47" s="3120">
        <v>10.98</v>
      </c>
      <c r="R47" s="3120">
        <v>11.7</v>
      </c>
      <c r="S47" s="3120">
        <v>12.24</v>
      </c>
      <c r="T47" s="3120">
        <v>13.86</v>
      </c>
      <c r="U47" s="3120">
        <v>9</v>
      </c>
      <c r="V47" s="3120">
        <v>10.98</v>
      </c>
      <c r="W47" s="3120">
        <v>12.24</v>
      </c>
      <c r="X47" s="3120" t="s">
        <v>627</v>
      </c>
      <c r="Y47" s="3120" t="s">
        <v>627</v>
      </c>
      <c r="Z47" s="3120" t="s">
        <v>627</v>
      </c>
    </row>
    <row r="48" spans="2:26">
      <c r="B48" s="888"/>
      <c r="C48" s="889">
        <v>39340</v>
      </c>
      <c r="D48" s="3120">
        <v>6.48</v>
      </c>
      <c r="E48" s="3120">
        <v>7.29</v>
      </c>
      <c r="F48" s="3120">
        <v>7.47</v>
      </c>
      <c r="G48" s="3120">
        <v>7.65</v>
      </c>
      <c r="H48" s="3120">
        <v>7.83</v>
      </c>
      <c r="I48" s="3120">
        <v>4.7699999999999996</v>
      </c>
      <c r="J48" s="3120">
        <v>5.22</v>
      </c>
      <c r="L48" s="888"/>
      <c r="M48" s="889">
        <v>34104</v>
      </c>
      <c r="N48" s="3120">
        <v>2.16</v>
      </c>
      <c r="O48" s="3120">
        <v>4.8600000000000003</v>
      </c>
      <c r="P48" s="3120">
        <v>7.2</v>
      </c>
      <c r="Q48" s="3120">
        <v>9.18</v>
      </c>
      <c r="R48" s="3120">
        <v>9.9</v>
      </c>
      <c r="S48" s="3120">
        <v>10.8</v>
      </c>
      <c r="T48" s="3120">
        <v>12.06</v>
      </c>
      <c r="U48" s="3120">
        <v>7.2</v>
      </c>
      <c r="V48" s="3120">
        <v>9.18</v>
      </c>
      <c r="W48" s="3120">
        <v>10.8</v>
      </c>
      <c r="X48" s="3120" t="s">
        <v>627</v>
      </c>
      <c r="Y48" s="3120" t="s">
        <v>627</v>
      </c>
      <c r="Z48" s="3120" t="s">
        <v>627</v>
      </c>
    </row>
    <row r="49" spans="2:26">
      <c r="B49" s="888"/>
      <c r="C49" s="889">
        <v>39316</v>
      </c>
      <c r="D49" s="3120">
        <v>6.21</v>
      </c>
      <c r="E49" s="3120">
        <v>7.02</v>
      </c>
      <c r="F49" s="3120">
        <v>7.2</v>
      </c>
      <c r="G49" s="3120">
        <v>7.38</v>
      </c>
      <c r="H49" s="3120">
        <v>7.56</v>
      </c>
      <c r="I49" s="3120">
        <v>4.59</v>
      </c>
      <c r="J49" s="3120">
        <v>5.04</v>
      </c>
      <c r="L49" s="888"/>
      <c r="M49" s="889">
        <v>33349</v>
      </c>
      <c r="N49" s="3120">
        <v>1.8</v>
      </c>
      <c r="O49" s="3120">
        <v>3.24</v>
      </c>
      <c r="P49" s="3120">
        <v>5.4</v>
      </c>
      <c r="Q49" s="3120">
        <v>7.56</v>
      </c>
      <c r="R49" s="3120">
        <v>7.92</v>
      </c>
      <c r="S49" s="3120">
        <v>8.2799999999999994</v>
      </c>
      <c r="T49" s="3120">
        <v>9</v>
      </c>
      <c r="U49" s="3120">
        <v>6.12</v>
      </c>
      <c r="V49" s="3120">
        <v>6.84</v>
      </c>
      <c r="W49" s="3120">
        <v>7.56</v>
      </c>
      <c r="X49" s="3120" t="s">
        <v>627</v>
      </c>
      <c r="Y49" s="3120" t="s">
        <v>627</v>
      </c>
      <c r="Z49" s="3120" t="s">
        <v>627</v>
      </c>
    </row>
    <row r="50" spans="2:26">
      <c r="B50" s="888"/>
      <c r="C50" s="889">
        <v>39284</v>
      </c>
      <c r="D50" s="3120">
        <v>6.03</v>
      </c>
      <c r="E50" s="3120">
        <v>6.84</v>
      </c>
      <c r="F50" s="3120">
        <v>7.02</v>
      </c>
      <c r="G50" s="3120">
        <v>7.2</v>
      </c>
      <c r="H50" s="3120">
        <v>7.38</v>
      </c>
      <c r="I50" s="3120">
        <v>4.5</v>
      </c>
      <c r="J50" s="3120">
        <v>4.95</v>
      </c>
      <c r="L50" s="888"/>
      <c r="M50" s="889">
        <v>33106</v>
      </c>
      <c r="N50" s="3120">
        <v>2.16</v>
      </c>
      <c r="O50" s="3120">
        <v>4.32</v>
      </c>
      <c r="P50" s="3120">
        <v>6.48</v>
      </c>
      <c r="Q50" s="3120">
        <v>8.64</v>
      </c>
      <c r="R50" s="3120">
        <v>9.36</v>
      </c>
      <c r="S50" s="3120">
        <v>10.08</v>
      </c>
      <c r="T50" s="3120">
        <v>11.52</v>
      </c>
      <c r="U50" s="3120">
        <v>7.2</v>
      </c>
      <c r="V50" s="3120">
        <v>8.64</v>
      </c>
      <c r="W50" s="3120">
        <v>10.08</v>
      </c>
      <c r="X50" s="3120" t="s">
        <v>627</v>
      </c>
      <c r="Y50" s="3120" t="s">
        <v>627</v>
      </c>
      <c r="Z50" s="3120" t="s">
        <v>627</v>
      </c>
    </row>
    <row r="51" spans="2:26">
      <c r="B51" s="888"/>
      <c r="C51" s="889">
        <v>39221</v>
      </c>
      <c r="D51" s="3120">
        <v>5.85</v>
      </c>
      <c r="E51" s="3120">
        <v>6.57</v>
      </c>
      <c r="F51" s="3120">
        <v>6.75</v>
      </c>
      <c r="G51" s="3120">
        <v>6.93</v>
      </c>
      <c r="H51" s="3120">
        <v>7.2</v>
      </c>
      <c r="I51" s="3120">
        <v>4.41</v>
      </c>
      <c r="J51" s="3120">
        <v>4.8600000000000003</v>
      </c>
      <c r="L51" s="888"/>
      <c r="M51" s="889">
        <v>32978</v>
      </c>
      <c r="N51" s="3120">
        <v>2.88</v>
      </c>
      <c r="O51" s="3120">
        <v>6.3</v>
      </c>
      <c r="P51" s="3120">
        <v>7.74</v>
      </c>
      <c r="Q51" s="3120">
        <v>10.08</v>
      </c>
      <c r="R51" s="3120">
        <v>10.98</v>
      </c>
      <c r="S51" s="3120">
        <v>11.88</v>
      </c>
      <c r="T51" s="3120">
        <v>13.68</v>
      </c>
      <c r="U51" s="3120" t="s">
        <v>627</v>
      </c>
      <c r="V51" s="3120" t="s">
        <v>627</v>
      </c>
      <c r="W51" s="3120" t="s">
        <v>627</v>
      </c>
      <c r="X51" s="3120" t="s">
        <v>627</v>
      </c>
      <c r="Y51" s="3120" t="s">
        <v>627</v>
      </c>
      <c r="Z51" s="3120" t="s">
        <v>627</v>
      </c>
    </row>
    <row r="52" spans="2:26">
      <c r="B52" s="888"/>
      <c r="C52" s="889">
        <v>39159</v>
      </c>
      <c r="D52" s="3120">
        <v>5.67</v>
      </c>
      <c r="E52" s="3120">
        <v>6.39</v>
      </c>
      <c r="F52" s="3120">
        <v>6.57</v>
      </c>
      <c r="G52" s="3120">
        <v>6.75</v>
      </c>
      <c r="H52" s="3120">
        <v>7.11</v>
      </c>
      <c r="I52" s="3120">
        <v>4.32</v>
      </c>
      <c r="J52" s="3120">
        <v>4.7699999999999996</v>
      </c>
      <c r="L52" s="888"/>
      <c r="M52" s="889"/>
      <c r="N52" s="3120"/>
      <c r="O52" s="3120"/>
      <c r="P52" s="3120"/>
      <c r="Q52" s="3120"/>
      <c r="R52" s="3120"/>
      <c r="S52" s="3120"/>
      <c r="T52" s="3120"/>
      <c r="U52" s="3120"/>
      <c r="V52" s="3120"/>
      <c r="W52" s="3120"/>
      <c r="X52" s="3120"/>
      <c r="Y52" s="3120"/>
      <c r="Z52" s="3120"/>
    </row>
    <row r="53" spans="2:26">
      <c r="B53" s="888"/>
      <c r="C53" s="889">
        <v>38948</v>
      </c>
      <c r="D53" s="3120">
        <v>5.58</v>
      </c>
      <c r="E53" s="3120">
        <v>6.12</v>
      </c>
      <c r="F53" s="3120">
        <v>6.3</v>
      </c>
      <c r="G53" s="3120">
        <v>6.48</v>
      </c>
      <c r="H53" s="3120">
        <v>6.84</v>
      </c>
      <c r="I53" s="3120">
        <v>4.1399999999999997</v>
      </c>
      <c r="J53" s="3120">
        <v>4.59</v>
      </c>
      <c r="L53" s="888"/>
      <c r="M53" s="889"/>
      <c r="N53" s="3120"/>
      <c r="O53" s="3120"/>
      <c r="P53" s="3120"/>
      <c r="Q53" s="3120"/>
      <c r="R53" s="3120"/>
      <c r="S53" s="3120"/>
      <c r="T53" s="3120"/>
      <c r="U53" s="3120"/>
      <c r="V53" s="3120"/>
      <c r="W53" s="3120"/>
      <c r="X53" s="3120"/>
      <c r="Y53" s="3120"/>
      <c r="Z53" s="3120"/>
    </row>
    <row r="54" spans="2:26">
      <c r="B54" s="888"/>
      <c r="C54" s="889">
        <v>38835</v>
      </c>
      <c r="D54" s="3120">
        <v>5.4</v>
      </c>
      <c r="E54" s="3120">
        <v>5.85</v>
      </c>
      <c r="F54" s="3120">
        <v>6.03</v>
      </c>
      <c r="G54" s="3120">
        <v>6.12</v>
      </c>
      <c r="H54" s="3120">
        <v>6.39</v>
      </c>
      <c r="I54" s="3120">
        <v>4.1399999999999997</v>
      </c>
      <c r="J54" s="3120">
        <v>4.59</v>
      </c>
      <c r="L54" s="888"/>
      <c r="M54" s="889"/>
      <c r="N54" s="3120"/>
      <c r="O54" s="3120"/>
      <c r="P54" s="3120"/>
      <c r="Q54" s="3120"/>
      <c r="R54" s="3120"/>
      <c r="S54" s="3120"/>
      <c r="T54" s="3120"/>
      <c r="U54" s="3120"/>
      <c r="V54" s="3120"/>
      <c r="W54" s="3120"/>
      <c r="X54" s="3120"/>
      <c r="Y54" s="3120"/>
      <c r="Z54" s="3120"/>
    </row>
    <row r="55" spans="2:26">
      <c r="B55" s="888"/>
      <c r="C55" s="889">
        <v>38428</v>
      </c>
      <c r="D55" s="3120">
        <v>5.22</v>
      </c>
      <c r="E55" s="3120">
        <v>5.58</v>
      </c>
      <c r="F55" s="3120">
        <v>5.76</v>
      </c>
      <c r="G55" s="3120">
        <v>5.85</v>
      </c>
      <c r="H55" s="3120">
        <v>6.12</v>
      </c>
      <c r="I55" s="3120">
        <v>3.96</v>
      </c>
      <c r="J55" s="3120">
        <v>4.41</v>
      </c>
      <c r="L55" s="888"/>
      <c r="M55" s="889"/>
      <c r="N55" s="3120"/>
      <c r="O55" s="3120"/>
      <c r="P55" s="3120"/>
      <c r="Q55" s="3120"/>
      <c r="R55" s="3120"/>
      <c r="S55" s="3120"/>
      <c r="T55" s="3120"/>
      <c r="U55" s="3120"/>
      <c r="V55" s="3120"/>
      <c r="W55" s="3120"/>
      <c r="X55" s="3120"/>
      <c r="Y55" s="3120"/>
      <c r="Z55" s="3120"/>
    </row>
    <row r="56" spans="2:26">
      <c r="B56" s="888"/>
      <c r="C56" s="889">
        <v>38289</v>
      </c>
      <c r="D56" s="3120">
        <v>5.22</v>
      </c>
      <c r="E56" s="3120">
        <v>5.58</v>
      </c>
      <c r="F56" s="3120">
        <v>5.76</v>
      </c>
      <c r="G56" s="3120">
        <v>5.85</v>
      </c>
      <c r="H56" s="3120">
        <v>6.12</v>
      </c>
      <c r="I56" s="3120">
        <v>3.78</v>
      </c>
      <c r="J56" s="3120">
        <v>4.2300000000000004</v>
      </c>
      <c r="L56" s="888"/>
      <c r="M56" s="889"/>
      <c r="N56" s="3120"/>
      <c r="O56" s="3120"/>
      <c r="P56" s="3120"/>
      <c r="Q56" s="3120"/>
      <c r="R56" s="3120"/>
      <c r="S56" s="3120"/>
      <c r="T56" s="3120"/>
      <c r="U56" s="3120"/>
      <c r="V56" s="3120"/>
      <c r="W56" s="3120"/>
      <c r="X56" s="3120"/>
      <c r="Y56" s="3120"/>
      <c r="Z56" s="3120"/>
    </row>
    <row r="57" spans="2:26">
      <c r="B57" s="888"/>
      <c r="C57" s="889">
        <v>37308</v>
      </c>
      <c r="D57" s="3120">
        <v>5.04</v>
      </c>
      <c r="E57" s="3120">
        <v>5.31</v>
      </c>
      <c r="F57" s="3120">
        <v>5.49</v>
      </c>
      <c r="G57" s="3120">
        <v>5.58</v>
      </c>
      <c r="H57" s="3120">
        <v>5.76</v>
      </c>
      <c r="I57" s="3120">
        <v>3.6</v>
      </c>
      <c r="J57" s="3120">
        <v>4.05</v>
      </c>
      <c r="L57" s="888"/>
      <c r="M57" s="889"/>
      <c r="N57" s="3120"/>
      <c r="O57" s="3120"/>
      <c r="P57" s="3120"/>
      <c r="Q57" s="3120"/>
      <c r="R57" s="3120"/>
      <c r="S57" s="3120"/>
      <c r="T57" s="3120"/>
      <c r="U57" s="3120"/>
      <c r="V57" s="3120"/>
      <c r="W57" s="3120"/>
      <c r="X57" s="3120"/>
      <c r="Y57" s="3120"/>
      <c r="Z57" s="3120"/>
    </row>
    <row r="58" spans="2:26">
      <c r="B58" s="888"/>
      <c r="C58" s="889">
        <v>36321</v>
      </c>
      <c r="D58" s="3120">
        <v>5.58</v>
      </c>
      <c r="E58" s="3120">
        <v>5.85</v>
      </c>
      <c r="F58" s="3120">
        <v>5.94</v>
      </c>
      <c r="G58" s="3120">
        <v>6.03</v>
      </c>
      <c r="H58" s="3120">
        <v>6.21</v>
      </c>
      <c r="I58" s="3120">
        <v>4.1399999999999997</v>
      </c>
      <c r="J58" s="3120">
        <v>4.59</v>
      </c>
    </row>
    <row r="59" spans="2:26">
      <c r="B59" s="888"/>
      <c r="C59" s="889">
        <v>36136</v>
      </c>
      <c r="D59" s="3120">
        <v>6.12</v>
      </c>
      <c r="E59" s="3120">
        <v>6.39</v>
      </c>
      <c r="F59" s="3120">
        <v>6.66</v>
      </c>
      <c r="G59" s="3120">
        <v>7.2</v>
      </c>
      <c r="H59" s="3120">
        <v>7.56</v>
      </c>
      <c r="I59" s="3120">
        <v>0</v>
      </c>
      <c r="J59" s="3120">
        <v>0</v>
      </c>
    </row>
    <row r="60" spans="2:26">
      <c r="B60" s="888"/>
      <c r="C60" s="889">
        <v>35977</v>
      </c>
      <c r="D60" s="3120">
        <v>6.57</v>
      </c>
      <c r="E60" s="3120">
        <v>6.93</v>
      </c>
      <c r="F60" s="3120">
        <v>7.11</v>
      </c>
      <c r="G60" s="3120">
        <v>7.65</v>
      </c>
      <c r="H60" s="3120">
        <v>8.01</v>
      </c>
      <c r="I60" s="3120">
        <v>0</v>
      </c>
      <c r="J60" s="3120">
        <v>0</v>
      </c>
    </row>
    <row r="61" spans="2:26">
      <c r="B61" s="888"/>
      <c r="C61" s="889">
        <v>35879</v>
      </c>
      <c r="D61" s="3120">
        <v>7.02</v>
      </c>
      <c r="E61" s="3120">
        <v>7.92</v>
      </c>
      <c r="F61" s="3120">
        <v>9</v>
      </c>
      <c r="G61" s="3120">
        <v>9.7200000000000006</v>
      </c>
      <c r="H61" s="3120">
        <v>10.35</v>
      </c>
      <c r="I61" s="3120">
        <v>0</v>
      </c>
      <c r="J61" s="3120">
        <v>0</v>
      </c>
    </row>
    <row r="62" spans="2:26">
      <c r="B62" s="888"/>
      <c r="C62" s="889">
        <v>35726</v>
      </c>
      <c r="D62" s="3120">
        <v>7.65</v>
      </c>
      <c r="E62" s="3120">
        <v>8.64</v>
      </c>
      <c r="F62" s="3120">
        <v>9.36</v>
      </c>
      <c r="G62" s="3120">
        <v>9.9</v>
      </c>
      <c r="H62" s="3120">
        <v>10.53</v>
      </c>
      <c r="I62" s="3120">
        <v>0</v>
      </c>
      <c r="J62" s="3120">
        <v>0</v>
      </c>
    </row>
    <row r="63" spans="2:26">
      <c r="B63" s="888"/>
      <c r="C63" s="889">
        <v>35300</v>
      </c>
      <c r="D63" s="3120">
        <v>9.18</v>
      </c>
      <c r="E63" s="3120">
        <v>10.08</v>
      </c>
      <c r="F63" s="3120">
        <v>10.98</v>
      </c>
      <c r="G63" s="3120">
        <v>11.7</v>
      </c>
      <c r="H63" s="3120">
        <v>12.42</v>
      </c>
      <c r="I63" s="3120">
        <v>0</v>
      </c>
      <c r="J63" s="3120">
        <v>0</v>
      </c>
    </row>
    <row r="64" spans="2:26">
      <c r="B64" s="888"/>
      <c r="C64" s="889">
        <v>35186</v>
      </c>
      <c r="D64" s="3120">
        <v>9.7200000000000006</v>
      </c>
      <c r="E64" s="3120">
        <v>10.98</v>
      </c>
      <c r="F64" s="3120">
        <v>13.14</v>
      </c>
      <c r="G64" s="3120">
        <v>14.94</v>
      </c>
      <c r="H64" s="3120">
        <v>15.12</v>
      </c>
      <c r="I64" s="3120">
        <v>0</v>
      </c>
      <c r="J64" s="3120">
        <v>0</v>
      </c>
    </row>
    <row r="65" spans="2:10">
      <c r="B65" s="888"/>
      <c r="C65" s="889">
        <v>34881</v>
      </c>
      <c r="D65" s="3120">
        <v>10.08</v>
      </c>
      <c r="E65" s="3120">
        <v>12.06</v>
      </c>
      <c r="F65" s="3120">
        <v>13.5</v>
      </c>
      <c r="G65" s="3120">
        <v>15.12</v>
      </c>
      <c r="H65" s="3120">
        <v>15.3</v>
      </c>
      <c r="I65" s="3120">
        <v>0</v>
      </c>
      <c r="J65" s="3120">
        <v>0</v>
      </c>
    </row>
    <row r="66" spans="2:10">
      <c r="B66" s="888"/>
      <c r="C66" s="889">
        <v>34700</v>
      </c>
      <c r="D66" s="3120">
        <v>9</v>
      </c>
      <c r="E66" s="3120">
        <v>10.98</v>
      </c>
      <c r="F66" s="3120">
        <v>12.96</v>
      </c>
      <c r="G66" s="3120">
        <v>14.58</v>
      </c>
      <c r="H66" s="3120">
        <v>14.76</v>
      </c>
      <c r="I66" s="3120">
        <v>0</v>
      </c>
      <c r="J66" s="3120">
        <v>0</v>
      </c>
    </row>
    <row r="67" spans="2:10">
      <c r="B67" s="888"/>
      <c r="C67" s="889">
        <v>34161</v>
      </c>
      <c r="D67" s="3120">
        <v>9</v>
      </c>
      <c r="E67" s="3120">
        <v>10.98</v>
      </c>
      <c r="F67" s="3120">
        <v>12.24</v>
      </c>
      <c r="G67" s="3120">
        <v>13.86</v>
      </c>
      <c r="H67" s="3120">
        <v>14.04</v>
      </c>
      <c r="I67" s="3120">
        <v>0</v>
      </c>
      <c r="J67" s="3120">
        <v>0</v>
      </c>
    </row>
    <row r="68" spans="2:10">
      <c r="B68" s="888"/>
      <c r="C68" s="889">
        <v>34104</v>
      </c>
      <c r="D68" s="3120">
        <v>8.82</v>
      </c>
      <c r="E68" s="3120">
        <v>9.36</v>
      </c>
      <c r="F68" s="3120">
        <v>10.8</v>
      </c>
      <c r="G68" s="3120">
        <v>12.06</v>
      </c>
      <c r="H68" s="3120">
        <v>12.24</v>
      </c>
      <c r="I68" s="3120">
        <v>0</v>
      </c>
      <c r="J68" s="3120">
        <v>0</v>
      </c>
    </row>
    <row r="69" spans="2:10">
      <c r="B69" s="888"/>
      <c r="C69" s="889">
        <v>33349</v>
      </c>
      <c r="D69" s="3120">
        <v>8.1</v>
      </c>
      <c r="E69" s="3120">
        <v>8.64</v>
      </c>
      <c r="F69" s="3120">
        <v>9</v>
      </c>
      <c r="G69" s="3120">
        <v>9.5399999999999991</v>
      </c>
      <c r="H69" s="3120">
        <v>9.7200000000000006</v>
      </c>
      <c r="I69" s="3120">
        <v>0</v>
      </c>
      <c r="J69" s="3120">
        <v>0</v>
      </c>
    </row>
    <row r="70" spans="2:10">
      <c r="B70" s="888"/>
      <c r="C70" s="889">
        <v>33318</v>
      </c>
      <c r="D70" s="3120">
        <v>9</v>
      </c>
      <c r="E70" s="3120">
        <v>10.08</v>
      </c>
      <c r="F70" s="3120">
        <v>10.8</v>
      </c>
      <c r="G70" s="3120">
        <v>11.52</v>
      </c>
      <c r="H70" s="3120">
        <v>11.88</v>
      </c>
      <c r="I70" s="3120" t="s">
        <v>627</v>
      </c>
      <c r="J70" s="3120" t="s">
        <v>627</v>
      </c>
    </row>
    <row r="71" spans="2:10">
      <c r="B71" s="888"/>
      <c r="C71" s="889">
        <v>33106</v>
      </c>
      <c r="D71" s="3120">
        <v>8.64</v>
      </c>
      <c r="E71" s="3120">
        <v>9.36</v>
      </c>
      <c r="F71" s="3120">
        <v>10.08</v>
      </c>
      <c r="G71" s="3120">
        <v>10.8</v>
      </c>
      <c r="H71" s="3120">
        <v>11.16</v>
      </c>
      <c r="I71" s="3120">
        <v>0</v>
      </c>
      <c r="J71" s="3120">
        <v>0</v>
      </c>
    </row>
    <row r="72" spans="2:10">
      <c r="B72" s="888"/>
      <c r="C72" s="889">
        <v>32540</v>
      </c>
      <c r="D72" s="3120">
        <v>11.34</v>
      </c>
      <c r="E72" s="3120">
        <v>11.34</v>
      </c>
      <c r="F72" s="3120">
        <v>12.78</v>
      </c>
      <c r="G72" s="3120">
        <v>14.4</v>
      </c>
      <c r="H72" s="3120">
        <v>19.260000000000002</v>
      </c>
      <c r="I72" s="3120">
        <v>0</v>
      </c>
      <c r="J72" s="3120">
        <v>0</v>
      </c>
    </row>
    <row r="73" spans="2:10">
      <c r="B73" s="888"/>
      <c r="C73" s="889"/>
      <c r="D73" s="888"/>
      <c r="E73" s="888"/>
      <c r="F73" s="888"/>
      <c r="G73" s="888"/>
      <c r="H73" s="888"/>
      <c r="I73" s="888"/>
      <c r="J73" s="888"/>
    </row>
    <row r="74" spans="2:10">
      <c r="B74" s="891"/>
      <c r="C74" s="892"/>
      <c r="D74" s="891"/>
      <c r="E74" s="891"/>
      <c r="F74" s="891"/>
      <c r="G74" s="891"/>
      <c r="H74" s="891"/>
      <c r="I74" s="891"/>
      <c r="J74" s="891"/>
    </row>
    <row r="75" spans="2:10">
      <c r="B75" s="891"/>
      <c r="C75" s="892"/>
      <c r="D75" s="891"/>
      <c r="E75" s="891"/>
      <c r="F75" s="891"/>
      <c r="G75" s="891"/>
      <c r="H75" s="891"/>
      <c r="I75" s="891"/>
      <c r="J75" s="891"/>
    </row>
    <row r="76" spans="2:10">
      <c r="B76" s="891"/>
      <c r="C76" s="892"/>
      <c r="D76" s="891"/>
      <c r="E76" s="891"/>
      <c r="F76" s="891"/>
      <c r="G76" s="891"/>
      <c r="H76" s="891"/>
      <c r="I76" s="891"/>
      <c r="J76" s="891"/>
    </row>
    <row r="77" spans="2:10">
      <c r="B77" s="855"/>
      <c r="C77" s="855"/>
      <c r="D77" s="855"/>
      <c r="E77" s="855"/>
      <c r="F77" s="855"/>
      <c r="G77" s="855"/>
      <c r="H77" s="855"/>
      <c r="I77" s="855"/>
      <c r="J77" s="855"/>
    </row>
    <row r="78" spans="2:10">
      <c r="B78" s="855"/>
      <c r="C78" s="855"/>
      <c r="D78" s="855"/>
      <c r="E78" s="855"/>
      <c r="F78" s="855"/>
      <c r="G78" s="855"/>
      <c r="H78" s="855"/>
      <c r="I78" s="855"/>
      <c r="J78" s="8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355" t="s">
        <v>934</v>
      </c>
      <c r="B1" s="4355"/>
      <c r="C1" s="4355"/>
      <c r="D1" s="4355"/>
    </row>
    <row r="2" spans="1:4" ht="18">
      <c r="A2" s="4356" t="s">
        <v>918</v>
      </c>
      <c r="B2" s="4356"/>
      <c r="C2" s="4356"/>
      <c r="D2" s="4356"/>
    </row>
    <row r="3" spans="1:4" ht="18.75">
      <c r="A3" s="1077" t="s">
        <v>919</v>
      </c>
      <c r="B3" s="1077" t="s">
        <v>920</v>
      </c>
      <c r="C3" s="1077" t="s">
        <v>921</v>
      </c>
      <c r="D3" s="1077" t="s">
        <v>922</v>
      </c>
    </row>
    <row r="4" spans="1:4" ht="56.25" customHeight="1">
      <c r="A4" s="1078">
        <f>项目基本情况!B4</f>
        <v>0</v>
      </c>
      <c r="B4" s="1079">
        <f>项目基本情况!C4</f>
        <v>0</v>
      </c>
      <c r="C4" s="1080"/>
      <c r="D4" s="1081" t="s">
        <v>923</v>
      </c>
    </row>
    <row r="5" spans="1:4" ht="56.25" customHeight="1">
      <c r="A5" s="1078">
        <f>项目基本情况!D4</f>
        <v>0</v>
      </c>
      <c r="B5" s="1079">
        <f>项目基本情况!E4</f>
        <v>0</v>
      </c>
      <c r="C5" s="1082"/>
      <c r="D5" s="1081" t="s">
        <v>923</v>
      </c>
    </row>
    <row r="6" spans="1:4" ht="18">
      <c r="A6" s="4356" t="s">
        <v>924</v>
      </c>
      <c r="B6" s="4356"/>
      <c r="C6" s="4356"/>
      <c r="D6" s="4356"/>
    </row>
    <row r="7" spans="1:4" ht="18.75">
      <c r="A7" s="1077" t="s">
        <v>919</v>
      </c>
      <c r="B7" s="1079" t="s">
        <v>925</v>
      </c>
      <c r="C7" s="1077" t="s">
        <v>921</v>
      </c>
      <c r="D7" s="1077" t="s">
        <v>922</v>
      </c>
    </row>
    <row r="8" spans="1:4" ht="56.25" customHeight="1">
      <c r="A8" s="1083" t="s">
        <v>384</v>
      </c>
      <c r="B8" s="1083" t="s">
        <v>0</v>
      </c>
      <c r="C8" s="1080"/>
      <c r="D8" s="1081" t="s">
        <v>923</v>
      </c>
    </row>
    <row r="10" spans="1:4" ht="18.75">
      <c r="A10" s="1084" t="s">
        <v>926</v>
      </c>
    </row>
    <row r="11" spans="1:4" ht="30" customHeight="1">
      <c r="A11" s="4357" t="s">
        <v>927</v>
      </c>
      <c r="B11" s="4358"/>
      <c r="C11" s="4358"/>
      <c r="D11" s="4358"/>
    </row>
    <row r="12" spans="1:4" ht="15.75">
      <c r="A12" s="43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59"/>
      <c r="C12" s="4359"/>
      <c r="D12" s="4359"/>
    </row>
    <row r="13" spans="1:4" ht="30" customHeight="1">
      <c r="A13" s="43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59"/>
      <c r="C13" s="4359"/>
      <c r="D13" s="4359"/>
    </row>
    <row r="14" spans="1:4" ht="15.75" customHeight="1">
      <c r="A14" s="4358" t="str">
        <f>IF(项目基本情况!B8="抵押","4.本次评估估价师所知悉的法定优先受偿款情况说明如下：","——")</f>
        <v>4.本次评估估价师所知悉的法定优先受偿款情况说明如下：</v>
      </c>
      <c r="B14" s="4359"/>
      <c r="C14" s="4359"/>
      <c r="D14" s="4359"/>
    </row>
    <row r="15" spans="1:4" ht="42" customHeight="1">
      <c r="A15" s="43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58"/>
      <c r="C15" s="4358"/>
      <c r="D15" s="4358"/>
    </row>
    <row r="16" spans="1:4" ht="30" customHeight="1">
      <c r="A16" s="4361" t="s">
        <v>928</v>
      </c>
      <c r="B16" s="4361"/>
      <c r="C16" s="4361"/>
      <c r="D16" s="4361"/>
    </row>
    <row r="17" spans="1:4" ht="144" customHeight="1">
      <c r="A17" s="4361" t="s">
        <v>929</v>
      </c>
      <c r="B17" s="4361"/>
      <c r="C17" s="4361"/>
      <c r="D17" s="4361"/>
    </row>
    <row r="18" spans="1:4" ht="15.75" customHeight="1">
      <c r="A18" s="4358" t="str">
        <f>IF(项目基本情况!B8="抵押",结果表!K120,"——")</f>
        <v>故，本次评估不存在估价师知悉的法定优先受偿款</v>
      </c>
      <c r="B18" s="4358"/>
      <c r="C18" s="4358"/>
      <c r="D18" s="4358"/>
    </row>
    <row r="19" spans="1:4" ht="46.5" customHeight="1">
      <c r="A19" s="43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58"/>
      <c r="C19" s="4358"/>
      <c r="D19" s="4358"/>
    </row>
    <row r="20" spans="1:4" ht="57.75" customHeight="1">
      <c r="A20" s="43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58"/>
      <c r="C20" s="4358"/>
      <c r="D20" s="4358"/>
    </row>
    <row r="21" spans="1:4" ht="57.75" customHeight="1">
      <c r="A21" s="43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62"/>
      <c r="C21" s="4362"/>
      <c r="D21" s="4362"/>
    </row>
    <row r="22" spans="1:4" ht="18.75" customHeight="1">
      <c r="A22" s="4363" t="s">
        <v>930</v>
      </c>
      <c r="B22" s="4363"/>
      <c r="C22" s="4363"/>
      <c r="D22" s="4363"/>
    </row>
    <row r="23" spans="1:4">
      <c r="A23" s="1085"/>
      <c r="B23" s="1058"/>
      <c r="C23" s="1058"/>
      <c r="D23" s="1058"/>
    </row>
    <row r="24" spans="1:4">
      <c r="A24" s="1085"/>
      <c r="B24" s="1058"/>
      <c r="C24" s="1058"/>
      <c r="D24" s="1058"/>
    </row>
    <row r="25" spans="1:4" ht="18.75">
      <c r="A25" s="1086" t="s">
        <v>931</v>
      </c>
    </row>
    <row r="26" spans="1:4" ht="18">
      <c r="A26" s="1056"/>
    </row>
    <row r="27" spans="1:4" ht="18.75">
      <c r="A27" s="1056" t="s">
        <v>932</v>
      </c>
    </row>
    <row r="30" spans="1:4" ht="18.75">
      <c r="D30" s="1086" t="s">
        <v>933</v>
      </c>
    </row>
    <row r="31" spans="1:4" ht="13.5" customHeight="1">
      <c r="C31" s="4360">
        <v>42551</v>
      </c>
      <c r="D31" s="4360"/>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48" customWidth="1"/>
    <col min="3" max="10" width="12.5" style="1048" customWidth="1"/>
    <col min="11" max="16384" width="9" style="1048"/>
  </cols>
  <sheetData>
    <row r="1" spans="1:1" ht="18.75">
      <c r="A1" s="1076" t="s">
        <v>385</v>
      </c>
    </row>
    <row r="2" spans="1:1" ht="18.75">
      <c r="A2" s="1087"/>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092" customWidth="1"/>
    <col min="2" max="16384" width="14.5" style="1075"/>
  </cols>
  <sheetData>
    <row r="1" spans="1:7" s="1089" customFormat="1" ht="18.75">
      <c r="A1" s="1088" t="s">
        <v>935</v>
      </c>
    </row>
    <row r="3" spans="1:7">
      <c r="A3" s="1090" t="s">
        <v>53</v>
      </c>
      <c r="B3" s="1075" t="s">
        <v>936</v>
      </c>
      <c r="G3" s="1091"/>
    </row>
    <row r="4" spans="1:7">
      <c r="G4" s="1091"/>
    </row>
    <row r="5" spans="1:7">
      <c r="A5" s="1093" t="s">
        <v>44</v>
      </c>
      <c r="B5" s="1075" t="s">
        <v>937</v>
      </c>
      <c r="G5" s="1091"/>
    </row>
    <row r="6" spans="1:7">
      <c r="G6" s="1091"/>
    </row>
    <row r="7" spans="1:7">
      <c r="A7" s="1094" t="s">
        <v>106</v>
      </c>
      <c r="B7" s="1075" t="s">
        <v>938</v>
      </c>
      <c r="G7" s="1091"/>
    </row>
    <row r="8" spans="1:7">
      <c r="G8" s="1091"/>
    </row>
    <row r="9" spans="1:7">
      <c r="A9" s="1095" t="s">
        <v>45</v>
      </c>
      <c r="B9" s="1075" t="s">
        <v>939</v>
      </c>
    </row>
    <row r="11" spans="1:7">
      <c r="A11" s="1096" t="s">
        <v>46</v>
      </c>
      <c r="B11" s="1097" t="s">
        <v>43</v>
      </c>
    </row>
    <row r="13" spans="1:7">
      <c r="A13" s="1098" t="s">
        <v>940</v>
      </c>
    </row>
    <row r="15" spans="1:7" ht="13.5">
      <c r="A15" s="4369" t="s">
        <v>941</v>
      </c>
      <c r="B15" s="4364" t="s">
        <v>107</v>
      </c>
      <c r="C15" s="4365"/>
    </row>
    <row r="16" spans="1:7" ht="13.5">
      <c r="A16" s="4370"/>
      <c r="B16" s="4364" t="s">
        <v>40</v>
      </c>
      <c r="C16" s="4365"/>
    </row>
    <row r="17" spans="1:3" ht="13.5">
      <c r="A17" s="4370"/>
      <c r="B17" s="4367" t="s">
        <v>942</v>
      </c>
      <c r="C17" s="1099" t="s">
        <v>941</v>
      </c>
    </row>
    <row r="18" spans="1:3" ht="13.5">
      <c r="A18" s="4370"/>
      <c r="B18" s="4367"/>
      <c r="C18" s="1099" t="s">
        <v>943</v>
      </c>
    </row>
    <row r="19" spans="1:3" ht="13.5">
      <c r="A19" s="4370"/>
      <c r="B19" s="4367"/>
      <c r="C19" s="1099" t="s">
        <v>944</v>
      </c>
    </row>
    <row r="20" spans="1:3" ht="13.5">
      <c r="A20" s="4371"/>
      <c r="B20" s="4366" t="s">
        <v>945</v>
      </c>
      <c r="C20" s="4365"/>
    </row>
    <row r="21" spans="1:3" ht="13.5">
      <c r="A21" s="1100" t="s">
        <v>946</v>
      </c>
      <c r="B21" s="1101"/>
      <c r="C21" s="1102"/>
    </row>
    <row r="22" spans="1:3" ht="13.5">
      <c r="A22" s="4368" t="s">
        <v>947</v>
      </c>
      <c r="B22" s="4366" t="s">
        <v>948</v>
      </c>
      <c r="C22" s="4365"/>
    </row>
    <row r="23" spans="1:3" ht="13.5">
      <c r="A23" s="4368"/>
      <c r="B23" s="4366" t="s">
        <v>949</v>
      </c>
      <c r="C23" s="4365"/>
    </row>
    <row r="24" spans="1:3" ht="13.5">
      <c r="A24" s="4368"/>
      <c r="B24" s="4366" t="s">
        <v>950</v>
      </c>
      <c r="C24" s="4365"/>
    </row>
    <row r="25" spans="1:3" ht="13.5">
      <c r="A25" s="4368"/>
      <c r="B25" s="4367" t="s">
        <v>951</v>
      </c>
      <c r="C25" s="1099" t="s">
        <v>952</v>
      </c>
    </row>
    <row r="26" spans="1:3" ht="13.5">
      <c r="A26" s="4368"/>
      <c r="B26" s="4367"/>
      <c r="C26" s="1099" t="s">
        <v>953</v>
      </c>
    </row>
    <row r="27" spans="1:3" ht="13.5">
      <c r="A27" s="4368"/>
      <c r="B27" s="4367"/>
      <c r="C27" s="1099" t="s">
        <v>954</v>
      </c>
    </row>
    <row r="28" spans="1:3" ht="13.5">
      <c r="A28" s="4368"/>
      <c r="B28" s="4367"/>
      <c r="C28" s="1099" t="s">
        <v>955</v>
      </c>
    </row>
    <row r="29" spans="1:3" ht="13.5">
      <c r="A29" s="4368"/>
      <c r="B29" s="4367"/>
      <c r="C29" s="1099" t="s">
        <v>956</v>
      </c>
    </row>
    <row r="30" spans="1:3" ht="13.5">
      <c r="A30" s="4368"/>
      <c r="B30" s="4367"/>
      <c r="C30" s="1099" t="s">
        <v>957</v>
      </c>
    </row>
    <row r="31" spans="1:3" ht="13.5">
      <c r="A31" s="4368"/>
      <c r="B31" s="4367"/>
      <c r="C31" s="1099" t="s">
        <v>958</v>
      </c>
    </row>
    <row r="32" spans="1:3" ht="13.5">
      <c r="A32" s="4368"/>
      <c r="B32" s="4367"/>
      <c r="C32" s="1099" t="s">
        <v>959</v>
      </c>
    </row>
    <row r="33" spans="1:3" ht="13.5">
      <c r="A33" s="4368"/>
      <c r="B33" s="4367"/>
      <c r="C33" s="1099" t="s">
        <v>960</v>
      </c>
    </row>
    <row r="34" spans="1:3">
      <c r="A34" s="1103" t="s">
        <v>47</v>
      </c>
    </row>
    <row r="37" spans="1:3">
      <c r="A37" s="1103" t="s">
        <v>961</v>
      </c>
    </row>
    <row r="38" spans="1:3" ht="13.5">
      <c r="A38" s="1104" t="s">
        <v>48</v>
      </c>
    </row>
    <row r="39" spans="1:3" ht="13.5">
      <c r="A39" s="1104" t="s">
        <v>49</v>
      </c>
    </row>
    <row r="40" spans="1:3" ht="13.5">
      <c r="A40" s="1104" t="s">
        <v>50</v>
      </c>
    </row>
    <row r="41" spans="1:3" ht="13.5">
      <c r="A41" s="1105" t="s">
        <v>51</v>
      </c>
    </row>
    <row r="42" spans="1:3" ht="13.5">
      <c r="A42" s="1104"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35" customWidth="1"/>
    <col min="2" max="2" width="38.625" style="1735" customWidth="1"/>
    <col min="3" max="3" width="26" style="1735" customWidth="1"/>
    <col min="4" max="4" width="35" style="1735" hidden="1" customWidth="1"/>
    <col min="5" max="5" width="30.125" style="1735" customWidth="1"/>
    <col min="6" max="6" width="35.5" style="1735" customWidth="1"/>
    <col min="7" max="7" width="31" style="1735" customWidth="1"/>
    <col min="8" max="8" width="37.5" style="1735" hidden="1" customWidth="1"/>
    <col min="9" max="16384" width="22.625" style="1735"/>
  </cols>
  <sheetData>
    <row r="1" spans="1:8" ht="24" customHeight="1">
      <c r="A1" s="1734"/>
      <c r="B1" s="1734"/>
      <c r="C1" s="1734"/>
      <c r="D1" s="1734"/>
      <c r="E1" s="1734"/>
      <c r="F1" s="1734"/>
      <c r="G1" s="1734"/>
      <c r="H1" s="1734"/>
    </row>
    <row r="2" spans="1:8" ht="24" customHeight="1">
      <c r="A2" s="1736" t="s">
        <v>2048</v>
      </c>
      <c r="B2" s="1737">
        <f ca="1">TODAY()</f>
        <v>46051</v>
      </c>
      <c r="C2" s="1738" t="s">
        <v>2049</v>
      </c>
      <c r="D2" s="1738"/>
      <c r="E2" s="1738"/>
      <c r="F2" s="1734"/>
      <c r="G2" s="1734"/>
      <c r="H2" s="1734"/>
    </row>
    <row r="3" spans="1:8" ht="24" customHeight="1">
      <c r="A3" s="1739" t="s">
        <v>2050</v>
      </c>
      <c r="B3" s="901" t="s">
        <v>2051</v>
      </c>
      <c r="C3" s="901" t="s">
        <v>2052</v>
      </c>
      <c r="D3" s="1740" t="s">
        <v>2053</v>
      </c>
      <c r="E3" s="1741" t="s">
        <v>2054</v>
      </c>
      <c r="F3" s="901" t="s">
        <v>2055</v>
      </c>
      <c r="G3" s="901" t="s">
        <v>2052</v>
      </c>
      <c r="H3" s="1740" t="s">
        <v>2056</v>
      </c>
    </row>
    <row r="4" spans="1:8" ht="24" customHeight="1">
      <c r="A4" s="901" t="s">
        <v>2057</v>
      </c>
      <c r="B4" s="3601" t="str">
        <f ca="1">IF(C4&lt;B2,"已过期",1119970066)</f>
        <v>已过期</v>
      </c>
      <c r="C4" s="901">
        <v>45937</v>
      </c>
      <c r="D4" s="1742" t="str">
        <f ca="1">A4&amp;"（注册号："&amp;B4&amp;"）"</f>
        <v>梁津（注册号：已过期）</v>
      </c>
      <c r="E4" s="1743" t="s">
        <v>2057</v>
      </c>
      <c r="F4" s="3601">
        <f ca="1">IF(G4&lt;B2,"已过期",96010014)</f>
        <v>96010014</v>
      </c>
      <c r="G4" s="1744">
        <v>47118</v>
      </c>
      <c r="H4" s="1745" t="str">
        <f ca="1">E4&amp;"（注册号："&amp;F4&amp;"）"</f>
        <v>梁津（注册号：96010014）</v>
      </c>
    </row>
    <row r="5" spans="1:8" ht="24" customHeight="1">
      <c r="A5" s="901" t="s">
        <v>2058</v>
      </c>
      <c r="B5" s="3601" t="str">
        <f ca="1">IF(C5&lt;B2,"已过期",1119970111)</f>
        <v>已过期</v>
      </c>
      <c r="C5" s="901">
        <v>45937</v>
      </c>
      <c r="D5" s="1742" t="str">
        <f t="shared" ref="D5:D15" ca="1" si="0">A5&amp;"（注册号："&amp;B5&amp;"）"</f>
        <v>叶凌（注册号：已过期）</v>
      </c>
      <c r="E5" s="1743" t="s">
        <v>2058</v>
      </c>
      <c r="F5" s="3601">
        <f ca="1">IF(G5&lt;B2,"已过期",94010078)</f>
        <v>94010078</v>
      </c>
      <c r="G5" s="1744">
        <v>46387</v>
      </c>
      <c r="H5" s="1745" t="str">
        <f t="shared" ref="H5:H16" ca="1" si="1">E5&amp;"（注册号："&amp;F5&amp;"）"</f>
        <v>叶凌（注册号：94010078）</v>
      </c>
    </row>
    <row r="6" spans="1:8" ht="24" customHeight="1">
      <c r="A6" s="901" t="s">
        <v>2059</v>
      </c>
      <c r="B6" s="3601" t="str">
        <f ca="1">IF(C6&lt;B2,"已过期",1120050019)</f>
        <v>已过期</v>
      </c>
      <c r="C6" s="901">
        <v>45410</v>
      </c>
      <c r="D6" s="1742" t="str">
        <f t="shared" ca="1" si="0"/>
        <v>王鹏（注册号：已过期）</v>
      </c>
      <c r="E6" s="1743" t="s">
        <v>2059</v>
      </c>
      <c r="F6" s="3601">
        <f ca="1">IF(G6&lt;B2,"已过期",2002110030)</f>
        <v>2002110030</v>
      </c>
      <c r="G6" s="1744">
        <v>46387</v>
      </c>
      <c r="H6" s="1745" t="str">
        <f t="shared" ca="1" si="1"/>
        <v>王鹏（注册号：2002110030）</v>
      </c>
    </row>
    <row r="7" spans="1:8" ht="24" customHeight="1">
      <c r="A7" s="901" t="s">
        <v>2060</v>
      </c>
      <c r="B7" s="3601" t="str">
        <f ca="1">IF(C7&lt;B2,"已过期",1120000080)</f>
        <v>已过期</v>
      </c>
      <c r="C7" s="901">
        <v>45937</v>
      </c>
      <c r="D7" s="1742" t="str">
        <f t="shared" ca="1" si="0"/>
        <v>欧红伟（注册号：已过期）</v>
      </c>
      <c r="E7" s="1743" t="s">
        <v>2060</v>
      </c>
      <c r="F7" s="3601">
        <f ca="1">IF(G7&lt;B2,"已过期",2000110082)</f>
        <v>2000110082</v>
      </c>
      <c r="G7" s="1744">
        <v>46387</v>
      </c>
      <c r="H7" s="1745" t="str">
        <f t="shared" ca="1" si="1"/>
        <v>欧红伟（注册号：2000110082）</v>
      </c>
    </row>
    <row r="8" spans="1:8" ht="24" customHeight="1">
      <c r="A8" s="901" t="s">
        <v>2061</v>
      </c>
      <c r="B8" s="3601" t="str">
        <f ca="1">IF(C8&lt;B2,"已过期",1419970001)</f>
        <v>已过期</v>
      </c>
      <c r="C8" s="901">
        <v>45937</v>
      </c>
      <c r="D8" s="1742" t="str">
        <f t="shared" ca="1" si="0"/>
        <v>吴薇（注册号：已过期）</v>
      </c>
      <c r="E8" s="1743" t="s">
        <v>2061</v>
      </c>
      <c r="F8" s="3601">
        <f ca="1">IF(G8&lt;B2,"已过期",2002110125)</f>
        <v>2002110125</v>
      </c>
      <c r="G8" s="1744">
        <v>47118</v>
      </c>
      <c r="H8" s="1745" t="str">
        <f t="shared" ca="1" si="1"/>
        <v>吴薇（注册号：2002110125）</v>
      </c>
    </row>
    <row r="9" spans="1:8" ht="24" customHeight="1">
      <c r="A9" s="901" t="s">
        <v>2062</v>
      </c>
      <c r="B9" s="3601" t="str">
        <f ca="1">IF(C9&lt;B2,"已过期",1120060040)</f>
        <v>已过期</v>
      </c>
      <c r="C9" s="1740">
        <v>45592</v>
      </c>
      <c r="D9" s="1742" t="str">
        <f t="shared" ca="1" si="0"/>
        <v>陈颖（注册号：已过期）</v>
      </c>
      <c r="E9" s="1743" t="s">
        <v>2062</v>
      </c>
      <c r="F9" s="3601">
        <f ca="1">IF(G9&lt;B2,"已过期",2004110096)</f>
        <v>2004110096</v>
      </c>
      <c r="G9" s="1744">
        <v>47118</v>
      </c>
      <c r="H9" s="1745" t="str">
        <f t="shared" ca="1" si="1"/>
        <v>陈颖（注册号：2004110096）</v>
      </c>
    </row>
    <row r="10" spans="1:8" ht="24" customHeight="1">
      <c r="A10" s="901" t="s">
        <v>2063</v>
      </c>
      <c r="B10" s="3601" t="str">
        <f ca="1">IF(C10&lt;B2,"已过期",1120100036)</f>
        <v>已过期</v>
      </c>
      <c r="C10" s="1740">
        <v>45752</v>
      </c>
      <c r="D10" s="1742" t="str">
        <f t="shared" ca="1" si="0"/>
        <v>崔锴（注册号：已过期）</v>
      </c>
      <c r="E10" s="1743" t="s">
        <v>2063</v>
      </c>
      <c r="F10" s="3601">
        <f ca="1">IF(G10&lt;B2,"已过期",2010110070)</f>
        <v>2010110070</v>
      </c>
      <c r="G10" s="1744">
        <v>47907</v>
      </c>
      <c r="H10" s="1745" t="str">
        <f t="shared" ca="1" si="1"/>
        <v>崔锴（注册号：2010110070）</v>
      </c>
    </row>
    <row r="11" spans="1:8" ht="24" customHeight="1">
      <c r="A11" s="901" t="s">
        <v>2064</v>
      </c>
      <c r="B11" s="3601" t="str">
        <f ca="1">IF(C11&lt;B2,"已过期",1120070131)</f>
        <v>已过期</v>
      </c>
      <c r="C11" s="901">
        <v>45937</v>
      </c>
      <c r="D11" s="1742" t="str">
        <f t="shared" ca="1" si="0"/>
        <v>郑燚（注册号：已过期）</v>
      </c>
      <c r="E11" s="1743" t="s">
        <v>2064</v>
      </c>
      <c r="F11" s="3601">
        <f ca="1">IF(G11&lt;B2,"已过期",2014110011)</f>
        <v>2014110011</v>
      </c>
      <c r="G11" s="1744">
        <v>49302</v>
      </c>
      <c r="H11" s="1745" t="str">
        <f t="shared" ca="1" si="1"/>
        <v>郑燚（注册号：2014110011）</v>
      </c>
    </row>
    <row r="12" spans="1:8" ht="24" customHeight="1">
      <c r="A12" s="901" t="s">
        <v>2065</v>
      </c>
      <c r="B12" s="3601" t="str">
        <f ca="1">IF(C12&lt;B2,"已过期",1120040230)</f>
        <v>已过期</v>
      </c>
      <c r="C12" s="1740">
        <v>45937</v>
      </c>
      <c r="D12" s="1742" t="str">
        <f t="shared" ca="1" si="0"/>
        <v>苏海（注册号：已过期）</v>
      </c>
      <c r="E12" s="1743" t="s">
        <v>2065</v>
      </c>
      <c r="F12" s="3601">
        <f ca="1">IF(G12&lt;B2,"已过期",98030020)</f>
        <v>98030020</v>
      </c>
      <c r="G12" s="1744">
        <v>47118</v>
      </c>
      <c r="H12" s="1745" t="str">
        <f t="shared" ca="1" si="1"/>
        <v>苏海（注册号：98030020）</v>
      </c>
    </row>
    <row r="13" spans="1:8" ht="24" customHeight="1">
      <c r="A13" s="901" t="s">
        <v>2066</v>
      </c>
      <c r="B13" s="3601" t="str">
        <f ca="1">IF(C13&lt;B2,"已过期",1120020033)</f>
        <v>已过期</v>
      </c>
      <c r="C13" s="901">
        <v>45375</v>
      </c>
      <c r="D13" s="1742" t="str">
        <f t="shared" ca="1" si="0"/>
        <v>刘敬东（注册号：已过期）</v>
      </c>
      <c r="E13" s="1743" t="s">
        <v>2066</v>
      </c>
      <c r="F13" s="3601">
        <f ca="1">IF(G13&lt;B2,"已过期",2000110137)</f>
        <v>2000110137</v>
      </c>
      <c r="G13" s="1744">
        <v>46387</v>
      </c>
      <c r="H13" s="1745" t="str">
        <f t="shared" ca="1" si="1"/>
        <v>刘敬东（注册号：2000110137）</v>
      </c>
    </row>
    <row r="14" spans="1:8" ht="24" customHeight="1">
      <c r="A14" s="901" t="s">
        <v>2067</v>
      </c>
      <c r="B14" s="3601" t="str">
        <f ca="1">IF(C14&lt;B2,"已过期",1119980106)</f>
        <v>已过期</v>
      </c>
      <c r="C14" s="1740">
        <v>44969</v>
      </c>
      <c r="D14" s="1742" t="str">
        <f t="shared" ca="1" si="0"/>
        <v>刘俊财（注册号：已过期）</v>
      </c>
      <c r="E14" s="1743" t="s">
        <v>2067</v>
      </c>
      <c r="F14" s="3601">
        <f ca="1">IF(G14&lt;B2,"已过期",96010063)</f>
        <v>96010063</v>
      </c>
      <c r="G14" s="1744">
        <v>47483</v>
      </c>
      <c r="H14" s="1745" t="str">
        <f t="shared" ca="1" si="1"/>
        <v>刘俊财（注册号：96010063）</v>
      </c>
    </row>
    <row r="15" spans="1:8" ht="24" customHeight="1">
      <c r="A15" s="901" t="s">
        <v>2322</v>
      </c>
      <c r="B15" s="3601">
        <v>1120210056</v>
      </c>
      <c r="C15" s="1740">
        <v>45410</v>
      </c>
      <c r="D15" s="1742" t="str">
        <f t="shared" si="0"/>
        <v>宁小鳗（注册号：1120210056）</v>
      </c>
      <c r="E15" s="1743" t="s">
        <v>2068</v>
      </c>
      <c r="F15" s="3601">
        <f ca="1">IF(G15&lt;B2,"已过期",2011110090)</f>
        <v>2011110090</v>
      </c>
      <c r="G15" s="1744">
        <v>48302</v>
      </c>
      <c r="H15" s="1745" t="str">
        <f t="shared" ca="1" si="1"/>
        <v>赵雯（注册号：2011110090）</v>
      </c>
    </row>
    <row r="16" spans="1:8" ht="24" customHeight="1">
      <c r="A16" s="901" t="s">
        <v>3988</v>
      </c>
      <c r="B16" s="901">
        <v>1120240051</v>
      </c>
      <c r="C16" s="901"/>
      <c r="D16" s="1742" t="str">
        <f>A16&amp;"（注册号："&amp;B16&amp;"）"</f>
        <v>赵雯（注册号：1120240051）</v>
      </c>
      <c r="E16" s="1743"/>
      <c r="F16" s="901"/>
      <c r="G16" s="901"/>
      <c r="H16" s="1746" t="str">
        <f t="shared" si="1"/>
        <v>（注册号：）</v>
      </c>
    </row>
    <row r="17" spans="1:8" ht="24" customHeight="1">
      <c r="A17" s="4372" t="s">
        <v>2069</v>
      </c>
      <c r="B17" s="4372"/>
      <c r="C17" s="4372"/>
      <c r="D17" s="4372"/>
      <c r="E17" s="4372"/>
      <c r="F17" s="4372"/>
      <c r="G17" s="4372"/>
      <c r="H17" s="4372"/>
    </row>
    <row r="18" spans="1:8" ht="24" customHeight="1">
      <c r="A18" s="4373" t="s">
        <v>2070</v>
      </c>
      <c r="B18" s="4373"/>
      <c r="C18" s="4373"/>
      <c r="D18" s="1740"/>
      <c r="E18" s="4374" t="s">
        <v>2071</v>
      </c>
      <c r="F18" s="4373"/>
      <c r="G18" s="4373"/>
    </row>
    <row r="19" spans="1:8" s="1748" customFormat="1" ht="24" customHeight="1">
      <c r="A19" s="1747" t="s">
        <v>2072</v>
      </c>
      <c r="B19" s="901" t="s">
        <v>2073</v>
      </c>
      <c r="C19" s="901" t="s">
        <v>2052</v>
      </c>
      <c r="D19" s="1740"/>
      <c r="E19" s="1743" t="s">
        <v>2072</v>
      </c>
      <c r="F19" s="901" t="s">
        <v>2073</v>
      </c>
      <c r="G19" s="901" t="s">
        <v>2052</v>
      </c>
    </row>
    <row r="20" spans="1:8" s="1748" customFormat="1" ht="24" customHeight="1">
      <c r="A20" s="1749" t="s">
        <v>2074</v>
      </c>
      <c r="B20" s="1749" t="s">
        <v>2075</v>
      </c>
      <c r="C20" s="1744">
        <v>45898</v>
      </c>
      <c r="D20" s="1750"/>
      <c r="E20" s="1751" t="s">
        <v>2076</v>
      </c>
      <c r="F20" s="1754" t="s">
        <v>2323</v>
      </c>
      <c r="G20" s="1755">
        <v>44926</v>
      </c>
    </row>
    <row r="21" spans="1:8" s="1748" customFormat="1" ht="24" customHeight="1">
      <c r="A21" s="1749"/>
      <c r="B21" s="1749"/>
      <c r="C21" s="1752"/>
      <c r="D21" s="1753"/>
      <c r="E21" s="1751"/>
      <c r="F21" s="1754"/>
      <c r="G21" s="1755"/>
    </row>
    <row r="22" spans="1:8" ht="24" customHeight="1">
      <c r="C22" s="1756"/>
      <c r="D22" s="1756"/>
      <c r="E22" s="1757"/>
      <c r="G22" s="1758"/>
    </row>
  </sheetData>
  <sheetProtection sheet="1" objects="1" scenarios="1"/>
  <mergeCells count="3">
    <mergeCell ref="A17:H17"/>
    <mergeCell ref="A18:C18"/>
    <mergeCell ref="E18:G18"/>
  </mergeCells>
  <phoneticPr fontId="82"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163</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成本法 (元)-fei</vt:lpstr>
      <vt:lpstr>比较法-办公</vt:lpstr>
      <vt:lpstr>悦荣中心</vt:lpstr>
      <vt:lpstr>华樾北京</vt:lpstr>
      <vt:lpstr>华樾北京2</vt:lpstr>
      <vt:lpstr>收益法-办公</vt:lpstr>
      <vt:lpstr>收益法-商业</vt:lpstr>
      <vt:lpstr>收益法-车库</vt:lpstr>
      <vt:lpstr>收益法-仓储</vt:lpstr>
      <vt:lpstr>收益法 (元)fei</vt:lpstr>
      <vt:lpstr>收益法-酒店模型</vt:lpstr>
      <vt:lpstr>收益法（汇总）</vt:lpstr>
      <vt:lpstr>1号楼</vt:lpstr>
      <vt:lpstr>2号楼</vt:lpstr>
      <vt:lpstr>31号楼</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 (元)fei'!Print_Area</vt:lpstr>
      <vt:lpstr>'收益法（汇总）'!Print_Area</vt:lpstr>
      <vt:lpstr>'收益法-办公'!Print_Area</vt:lpstr>
      <vt:lpstr>'收益法-仓储'!Print_Area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2026-01-29T10:10:06Z</dcterms:modified>
</cp:coreProperties>
</file>