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明细"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4" l="1"/>
  <c r="D14" i="74"/>
  <c r="B14" i="74"/>
  <c r="G18" i="80"/>
  <c r="G19" i="80" l="1"/>
  <c r="D33" i="43"/>
  <c r="Y6" i="1"/>
  <c r="N6" i="1"/>
  <c r="N21" i="1"/>
  <c r="N19" i="1"/>
  <c r="F20" i="6"/>
  <c r="F19" i="6"/>
  <c r="I14" i="3"/>
  <c r="I13" i="3"/>
  <c r="D3" i="4"/>
  <c r="F17" i="80"/>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15"/>
  <c r="G1" i="73"/>
  <c r="D9" i="69"/>
  <c r="F27" i="69"/>
  <c r="C16" i="67"/>
  <c r="G26" i="43" l="1"/>
  <c r="D26" i="43" s="1"/>
  <c r="C25" i="43" s="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C17" i="67"/>
  <c r="C17" i="15"/>
  <c r="D10" i="69"/>
  <c r="C14" i="67"/>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8" i="68" l="1"/>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9" i="9"/>
  <c r="L51" i="67"/>
  <c r="C102" i="9" l="1"/>
  <c r="C21" i="9"/>
  <c r="B3"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C103" i="9"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19" i="9"/>
  <c r="D2" i="34"/>
  <c r="D2" i="35"/>
  <c r="D102" i="9" l="1"/>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11" i="1"/>
  <c r="AO7" i="1"/>
  <c r="AO9" i="1"/>
  <c r="AO10" i="1"/>
  <c r="AO8" i="1"/>
  <c r="AO6" i="1"/>
  <c r="D103" i="9" l="1"/>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F118" i="9" l="1"/>
  <c r="F119" i="9" s="1"/>
  <c r="F5" i="52" s="1"/>
  <c r="B53" i="72" s="1"/>
  <c r="H102" i="9"/>
  <c r="H118" i="9"/>
  <c r="E118" i="9"/>
  <c r="C105" i="9"/>
  <c r="F4" i="52" l="1"/>
  <c r="B51" i="72" s="1"/>
  <c r="H4" i="52"/>
  <c r="H119" i="9"/>
  <c r="H5" i="52" s="1"/>
  <c r="C104" i="9"/>
  <c r="H101" i="9"/>
  <c r="D118" i="9"/>
  <c r="E4" i="52"/>
  <c r="B48" i="72" s="1"/>
  <c r="C5" i="74"/>
  <c r="D7" i="53"/>
  <c r="B21" i="72" s="1"/>
  <c r="D5" i="53" l="1"/>
  <c r="M48" i="9"/>
  <c r="D45" i="9"/>
  <c r="H107" i="9"/>
  <c r="D4" i="52"/>
  <c r="B47" i="72" s="1"/>
  <c r="D119" i="9"/>
  <c r="D5" i="52" s="1"/>
  <c r="B49" i="72" s="1"/>
  <c r="D52" i="9" l="1"/>
  <c r="C78" i="9"/>
  <c r="C73" i="9" s="1"/>
  <c r="D53" i="9"/>
  <c r="C72" i="9"/>
  <c r="C79" i="9" s="1"/>
  <c r="C64" i="9"/>
  <c r="C63" i="9" s="1"/>
  <c r="C67" i="9" s="1"/>
  <c r="D55" i="9"/>
  <c r="M53" i="9" s="1"/>
  <c r="C93" i="9"/>
  <c r="C86" i="9" s="1"/>
  <c r="C85" i="9"/>
  <c r="B20" i="72"/>
  <c r="D6" i="53"/>
  <c r="B22" i="72" s="1"/>
  <c r="D13" i="53"/>
  <c r="H108" i="9"/>
  <c r="D122" i="9"/>
  <c r="C95" i="9" l="1"/>
  <c r="C80" i="9"/>
  <c r="E80" i="9" s="1"/>
  <c r="E81" i="9" s="1"/>
  <c r="C6" i="74"/>
  <c r="D15" i="53"/>
  <c r="B31" i="72" s="1"/>
  <c r="D123" i="9"/>
  <c r="D9" i="52" s="1"/>
  <c r="D8" i="52"/>
  <c r="B30" i="72"/>
  <c r="D14" i="53"/>
  <c r="B32" i="72" s="1"/>
  <c r="C68" i="9"/>
  <c r="D54" i="9" s="1"/>
  <c r="D59" i="9"/>
  <c r="M55" i="9" s="1"/>
  <c r="C81" i="9" l="1"/>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<sst xmlns="http://schemas.openxmlformats.org/spreadsheetml/2006/main" count="7867" uniqueCount="3455">
  <si>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</si>
  <si>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</si>
  <si>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</si>
  <si>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</si>
  <si>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</si>
  <si>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</si>
  <si>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</si>
  <si>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</si>
  <si>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</si>
  <si>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</si>
  <si>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</si>
  <si>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</si>
  <si>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</si>
  <si>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</si>
  <si>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</si>
  <si>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</si>
  <si>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</si>
  <si>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</si>
  <si>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</si>
  <si>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</si>
  <si>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</si>
  <si>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</si>
  <si>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</si>
  <si>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</si>
  <si>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</si>
  <si>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</si>
  <si>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</si>
  <si>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</si>
  <si>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</si>
  <si>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</si>
  <si>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</si>
  <si>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</si>
  <si>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</si>
  <si>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</si>
  <si>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</si>
  <si>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</si>
  <si>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</si>
  <si>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</si>
  <si>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</si>
  <si>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</si>
  <si>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</si>
  <si>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</si>
  <si>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</si>
  <si>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</si>
  <si>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</si>
  <si>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</si>
  <si>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</si>
  <si>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</si>
  <si>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</si>
  <si>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</si>
  <si>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</si>
  <si>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</si>
  <si>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</si>
  <si>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</si>
  <si>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</si>
  <si>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</si>
  <si>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</si>
  <si>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</si>
  <si>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</si>
  <si>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</si>
  <si>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</si>
  <si>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</si>
  <si>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</si>
  <si>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</si>
  <si>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</si>
  <si>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</si>
  <si>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</si>
  <si>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</si>
  <si>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</si>
  <si>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</si>
  <si>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</si>
  <si>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</si>
  <si>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</si>
  <si>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</si>
  <si>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</si>
  <si>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</si>
  <si>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</si>
  <si>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</si>
  <si>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</si>
  <si>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</si>
  <si>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</si>
  <si>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</si>
  <si>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</si>
  <si>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</si>
  <si>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</si>
  <si>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</si>
  <si>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</si>
  <si>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</si>
  <si>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</si>
  <si>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</si>
  <si>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</si>
  <si>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</si>
  <si>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</si>
  <si>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</si>
  <si>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</si>
  <si>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</si>
  <si>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</si>
  <si>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</si>
  <si>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</si>
  <si>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</si>
  <si>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</si>
  <si>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</si>
  <si>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</si>
  <si>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</si>
  <si>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</si>
  <si>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</si>
  <si>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</si>
  <si>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</si>
  <si>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</si>
  <si>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</si>
  <si>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</si>
  <si>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</si>
  <si>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</si>
  <si>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</si>
  <si>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</si>
  <si>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</si>
  <si>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</si>
  <si>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</si>
  <si>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</si>
  <si>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</si>
  <si>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</si>
  <si>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</si>
  <si>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</si>
  <si>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</si>
  <si>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</si>
  <si>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</si>
  <si>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</si>
  <si>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</si>
  <si>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</si>
  <si>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</si>
  <si>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</si>
  <si>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</si>
  <si>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</si>
  <si>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</si>
  <si>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</si>
  <si>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</si>
  <si>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</si>
  <si>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</si>
  <si>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</si>
  <si>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</si>
  <si>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</si>
  <si>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</si>
  <si>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</si>
  <si>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</si>
  <si>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</si>
  <si>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</si>
  <si>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</si>
  <si>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</si>
  <si>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</si>
  <si>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</si>
  <si>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</si>
  <si>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</si>
  <si>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</si>
  <si>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</si>
  <si>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</si>
  <si>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</si>
  <si>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</si>
  <si>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</si>
  <si>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</si>
  <si>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</si>
  <si>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</si>
  <si>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</si>
  <si>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</si>
  <si>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</si>
  <si>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</si>
  <si>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</si>
  <si>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</si>
  <si>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</si>
  <si>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</si>
  <si>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</si>
  <si>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</si>
  <si>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</si>
  <si>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</si>
  <si>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</si>
  <si>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</si>
  <si>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</si>
  <si>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</si>
  <si>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</si>
  <si>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</si>
  <si>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</si>
  <si>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</si>
  <si>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</si>
  <si>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</si>
  <si>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</si>
  <si>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</si>
  <si>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</si>
  <si>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</si>
  <si>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</si>
  <si>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</si>
  <si>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</si>
  <si>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</si>
  <si>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</si>
  <si>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</si>
  <si>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</si>
  <si>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</si>
  <si>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</si>
  <si>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</si>
  <si>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</si>
  <si>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</si>
  <si>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</si>
  <si>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</si>
  <si>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</si>
  <si>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</si>
  <si>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</si>
  <si>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</si>
  <si>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</si>
  <si>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</si>
  <si>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</si>
  <si>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</si>
  <si>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</si>
  <si>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</si>
  <si>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</si>
  <si>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</si>
  <si>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</si>
  <si>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</si>
  <si>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</si>
  <si>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</si>
  <si>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</si>
  <si>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</si>
  <si>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</si>
  <si>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</si>
  <si>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</si>
  <si>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</si>
  <si>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</si>
  <si>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</si>
  <si>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</si>
  <si>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</si>
  <si>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</si>
  <si>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</si>
  <si>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</si>
  <si>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</si>
  <si>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</si>
  <si>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</si>
  <si>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</si>
  <si>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</si>
  <si>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</si>
  <si>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</si>
  <si>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</si>
  <si>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</si>
  <si>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</si>
  <si>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</si>
  <si>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</si>
  <si>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</si>
  <si>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</si>
  <si>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</si>
  <si>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</si>
  <si>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</si>
  <si>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</si>
  <si>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</si>
  <si>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</si>
  <si>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</si>
  <si>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</si>
  <si>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</si>
  <si>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</si>
  <si>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</si>
  <si>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</si>
  <si>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</si>
  <si>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</si>
  <si>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</si>
  <si>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</si>
  <si>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</si>
  <si>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</si>
  <si>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</si>
  <si>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</si>
  <si>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</si>
  <si>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</si>
  <si>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</si>
  <si>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</si>
  <si>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</si>
  <si>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</si>
  <si>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</si>
  <si>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</si>
  <si>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</si>
  <si>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</si>
  <si>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</si>
  <si>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</si>
  <si>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</si>
  <si>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</si>
  <si>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</si>
  <si>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</si>
  <si>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</si>
  <si>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</si>
  <si>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</si>
  <si>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</si>
  <si>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</si>
  <si>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</si>
  <si>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</si>
  <si>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</si>
  <si>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</si>
  <si>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</si>
  <si>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</si>
  <si>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</si>
  <si>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</si>
  <si>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</si>
  <si>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</si>
  <si>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</si>
  <si>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</si>
  <si>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</si>
  <si>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</si>
  <si>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</si>
  <si>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</si>
  <si>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</si>
  <si>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</si>
  <si>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</si>
  <si>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</si>
  <si>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</si>
  <si>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</si>
  <si>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</si>
  <si>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</si>
  <si>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</si>
  <si>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</si>
  <si>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</si>
  <si>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</si>
  <si>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</si>
  <si>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</si>
  <si>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</si>
  <si>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</si>
  <si>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</si>
  <si>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</si>
  <si>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</si>
  <si>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</si>
  <si>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</si>
  <si>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</si>
  <si>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</si>
  <si>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</si>
  <si>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</si>
  <si>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</si>
  <si>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</si>
  <si>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</si>
  <si>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</si>
  <si>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</si>
  <si>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</si>
  <si>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</si>
  <si>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</si>
  <si>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</si>
  <si>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</si>
  <si>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</si>
  <si>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</si>
  <si>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</si>
  <si>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</si>
  <si>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</si>
  <si>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</si>
  <si>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</si>
  <si>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</si>
  <si>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</si>
  <si>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</si>
  <si>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</si>
  <si>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</si>
  <si>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</si>
  <si>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</si>
  <si>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</si>
  <si>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</si>
  <si>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</si>
  <si>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</si>
  <si>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</si>
  <si>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</si>
  <si>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</si>
  <si>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</si>
  <si>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</si>
  <si>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</si>
  <si>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</si>
  <si>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</si>
  <si>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</si>
  <si>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</si>
  <si>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</si>
  <si>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</si>
  <si>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</si>
  <si>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</si>
  <si>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</si>
  <si>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</si>
  <si>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</si>
  <si>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</si>
  <si>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</si>
  <si>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</si>
  <si>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</si>
  <si>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</si>
  <si>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</si>
  <si>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</si>
  <si>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</si>
  <si>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</si>
  <si>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</si>
  <si>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</si>
  <si>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</si>
  <si>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</si>
  <si>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</si>
  <si>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</si>
  <si>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</si>
  <si>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</si>
  <si>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</si>
  <si>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</si>
  <si>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</si>
  <si>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</si>
  <si>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</si>
  <si>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</si>
  <si>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</si>
  <si>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</si>
  <si>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</si>
  <si>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</si>
  <si>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</si>
  <si>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</si>
  <si>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</si>
  <si>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</si>
  <si>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</si>
  <si>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</si>
  <si>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</si>
  <si>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</si>
  <si>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</si>
  <si>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</si>
  <si>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</si>
  <si>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</si>
  <si>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</si>
  <si>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</si>
  <si>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</si>
  <si>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</si>
  <si>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</si>
  <si>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</si>
  <si>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</si>
  <si>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</si>
  <si>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</si>
  <si>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</si>
  <si>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</si>
  <si>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</si>
  <si>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</si>
  <si>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</si>
  <si>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</si>
  <si>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</si>
  <si>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</si>
  <si>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</si>
  <si>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</si>
  <si>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</si>
  <si>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</si>
  <si>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</si>
  <si>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</si>
  <si>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</si>
  <si>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</si>
  <si>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</si>
  <si>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</si>
  <si>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</si>
  <si>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</si>
  <si>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</si>
  <si>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</si>
  <si>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</si>
  <si>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</si>
  <si>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</si>
  <si>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</si>
  <si>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</si>
  <si>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</si>
  <si>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</si>
  <si>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</si>
  <si>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</si>
  <si>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</si>
  <si>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</si>
  <si>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</si>
  <si>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</si>
  <si>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</si>
  <si>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</si>
  <si>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</si>
  <si>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</si>
  <si>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</si>
  <si>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</si>
  <si>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</si>
  <si>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</si>
  <si>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</si>
  <si>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</si>
  <si>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</si>
  <si>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</si>
  <si>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</si>
  <si>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</si>
  <si>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</si>
  <si>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</si>
  <si>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</si>
  <si>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</si>
  <si>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</si>
  <si>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</si>
  <si>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</si>
  <si>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</si>
  <si>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</si>
  <si>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</si>
  <si>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</si>
  <si>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</si>
  <si>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</si>
  <si>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</si>
  <si>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</si>
  <si>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</si>
  <si>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</si>
  <si>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</si>
  <si>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</si>
  <si>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</si>
  <si>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</si>
  <si>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</si>
  <si>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</si>
  <si>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</si>
  <si>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</si>
  <si>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</si>
  <si>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</si>
  <si>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</si>
  <si>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</si>
  <si>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</si>
  <si>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</si>
  <si>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</si>
  <si>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</si>
  <si>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</si>
  <si>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</si>
  <si>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</si>
  <si>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</si>
  <si>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</si>
  <si>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</si>
  <si>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</si>
  <si>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</si>
  <si>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</si>
  <si>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</si>
  <si>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</si>
  <si>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</si>
  <si>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</si>
  <si>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</si>
  <si>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</si>
  <si>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</si>
  <si>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</si>
  <si>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</si>
  <si>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</si>
  <si>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</si>
  <si>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</si>
  <si>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</si>
  <si>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</si>
  <si>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</si>
  <si>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</si>
  <si>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</si>
  <si>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</si>
  <si>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</si>
  <si>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</si>
  <si>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</si>
  <si>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</si>
  <si>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</si>
  <si>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</si>
  <si>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</si>
  <si>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</si>
  <si>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</si>
  <si>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</si>
  <si>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</si>
  <si>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</si>
  <si>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</si>
  <si>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</si>
  <si>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</si>
  <si>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</si>
  <si>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</si>
  <si>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</si>
  <si>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</si>
  <si>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</si>
  <si>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</si>
  <si>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</si>
  <si>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</si>
  <si>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</si>
  <si>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</si>
  <si>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</si>
  <si>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</si>
  <si>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</si>
  <si>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</si>
  <si>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</si>
  <si>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</si>
  <si>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</si>
  <si>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</si>
  <si>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</si>
  <si>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</si>
  <si>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</si>
  <si>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</si>
  <si>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</si>
  <si>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</si>
  <si>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</si>
  <si>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</si>
  <si>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</si>
  <si>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</si>
  <si>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</si>
  <si>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</si>
  <si>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</si>
  <si>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</si>
  <si>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</si>
  <si>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</si>
  <si>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</si>
  <si>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</si>
  <si>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</si>
  <si>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</si>
  <si>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</si>
  <si>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</si>
  <si>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</si>
  <si>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</si>
  <si>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</si>
  <si>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</si>
  <si>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</si>
  <si>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</si>
  <si>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</si>
  <si>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</si>
  <si>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</si>
  <si>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</si>
  <si>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</si>
  <si>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</si>
  <si>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</si>
  <si>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</si>
  <si>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</si>
  <si>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</si>
  <si>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</si>
  <si>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</si>
  <si>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</si>
  <si>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</si>
  <si>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</si>
  <si>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</si>
  <si>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</si>
  <si>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</si>
  <si>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</si>
  <si>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</si>
  <si>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</si>
  <si>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</si>
  <si>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</si>
  <si>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</si>
  <si>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</si>
  <si>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</si>
  <si>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</si>
  <si>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</si>
  <si>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</si>
  <si>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</si>
  <si>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</si>
  <si>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</si>
  <si>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</si>
  <si>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</si>
  <si>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</si>
  <si>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</si>
  <si>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</si>
  <si>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</si>
  <si>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</si>
  <si>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</si>
  <si>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</si>
  <si>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</si>
  <si>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</si>
  <si>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</si>
  <si>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</si>
  <si>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</si>
  <si>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</si>
  <si>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</si>
  <si>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</si>
  <si>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</si>
  <si>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</si>
  <si>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</si>
  <si>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</si>
  <si>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</si>
  <si>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</si>
  <si>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</si>
  <si>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</si>
  <si>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</si>
  <si>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</si>
  <si>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</si>
  <si>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</si>
  <si>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</si>
  <si>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</si>
  <si>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</si>
  <si>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</si>
  <si>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</si>
  <si>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</si>
  <si>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</si>
  <si>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</si>
  <si>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</si>
  <si>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</si>
  <si>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</si>
  <si>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</si>
  <si>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</si>
  <si>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</si>
  <si>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</si>
  <si>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</si>
  <si>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</si>
  <si>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</si>
  <si>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</si>
  <si>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</si>
  <si>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</si>
  <si>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</si>
  <si>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</si>
  <si>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</si>
  <si>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</si>
  <si>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</si>
  <si>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</si>
  <si>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</si>
  <si>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</si>
  <si>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</si>
  <si>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</si>
  <si>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</si>
  <si>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</si>
  <si>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</si>
  <si>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</si>
  <si>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</si>
  <si>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</si>
  <si>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</si>
  <si>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</si>
  <si>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</si>
  <si>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</si>
  <si>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</si>
  <si>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</si>
  <si>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</si>
  <si>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</si>
  <si>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</si>
  <si>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</si>
  <si>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</si>
  <si>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</si>
  <si>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</si>
  <si>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</si>
  <si>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</si>
  <si>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</si>
  <si>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</si>
  <si>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</si>
  <si>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</si>
  <si>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</si>
  <si>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</si>
  <si>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</si>
  <si>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</si>
  <si>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</si>
  <si>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</si>
  <si>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</si>
  <si>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</si>
  <si>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</si>
  <si>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</si>
  <si>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</si>
  <si>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</si>
  <si>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</si>
  <si>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</si>
  <si>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</si>
  <si>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</si>
  <si>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</si>
  <si>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</si>
  <si>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</si>
  <si>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</si>
  <si>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</si>
  <si>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</si>
  <si>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</si>
  <si>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</si>
  <si>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</si>
  <si>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</si>
  <si>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</si>
  <si>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</si>
  <si>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</si>
  <si>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</si>
  <si>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</si>
  <si>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</si>
  <si>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</si>
  <si>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</si>
  <si>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</si>
  <si>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</si>
  <si>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</si>
  <si>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</si>
  <si>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</si>
  <si>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</si>
  <si>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</si>
  <si>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</si>
  <si>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</si>
  <si>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</si>
  <si>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</si>
  <si>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</si>
  <si>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</si>
  <si>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</si>
  <si>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</si>
  <si>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</si>
  <si>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</si>
  <si>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</si>
  <si>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</si>
  <si>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</si>
  <si>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</si>
  <si>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</si>
  <si>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</si>
  <si>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</si>
  <si>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</si>
  <si>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</si>
  <si>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</si>
  <si>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</si>
  <si>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</si>
  <si>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</si>
  <si>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</si>
  <si>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</si>
  <si>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</si>
  <si>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</si>
  <si>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</si>
  <si>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</si>
  <si>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</si>
  <si>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</si>
  <si>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</si>
  <si>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</si>
  <si>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</si>
  <si>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</si>
  <si>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</si>
  <si>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</si>
  <si>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</si>
  <si>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</si>
  <si>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</si>
  <si>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</si>
  <si>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</si>
  <si>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</si>
  <si>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</si>
  <si>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</si>
  <si>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</si>
  <si>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</si>
  <si>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</si>
  <si>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</si>
  <si>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</si>
  <si>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</si>
  <si>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</si>
  <si>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</si>
  <si>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</si>
  <si>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</si>
  <si>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</si>
  <si>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</si>
  <si>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</si>
  <si>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</si>
  <si>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</si>
  <si>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</si>
  <si>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</si>
  <si>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</si>
  <si>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</si>
  <si>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</si>
  <si>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</si>
  <si>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</si>
  <si>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</si>
  <si>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</si>
  <si>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</si>
  <si>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</si>
  <si>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</si>
  <si>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</si>
  <si>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</si>
  <si>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</si>
  <si>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</si>
  <si>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</si>
  <si>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</si>
  <si>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</si>
  <si>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</si>
  <si>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</si>
  <si>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</si>
  <si>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</si>
  <si>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</si>
  <si>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</si>
  <si>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</si>
  <si>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</si>
  <si>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</si>
  <si>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</si>
  <si>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</si>
  <si>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</si>
  <si>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</si>
  <si>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</si>
  <si>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</si>
  <si>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</si>
  <si>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</si>
  <si>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</si>
  <si>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</si>
  <si>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</si>
  <si>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</si>
  <si>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</si>
  <si>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</si>
  <si>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</si>
  <si>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</si>
  <si>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</si>
  <si>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</si>
  <si>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</si>
  <si>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</si>
  <si>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</si>
  <si>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</si>
  <si>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</si>
  <si>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</si>
  <si>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</si>
  <si>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</si>
  <si>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</si>
  <si>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</si>
  <si>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</si>
  <si>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</si>
  <si>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</si>
  <si>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</si>
  <si>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</si>
  <si>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</si>
  <si>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</si>
  <si>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</si>
  <si>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</si>
  <si>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</si>
  <si>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</si>
  <si>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</si>
  <si>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</si>
  <si>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</si>
  <si>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</si>
  <si>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</si>
  <si>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</si>
  <si>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</si>
  <si>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</si>
  <si>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</si>
  <si>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</si>
  <si>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</si>
  <si>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</si>
  <si>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</si>
  <si>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</si>
  <si>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</si>
  <si>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</si>
  <si>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</si>
  <si>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</si>
  <si>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</si>
  <si>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</si>
  <si>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</si>
  <si>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</si>
  <si>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</si>
  <si>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</si>
  <si>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</si>
  <si>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</si>
  <si>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</si>
  <si>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</si>
  <si>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</si>
  <si>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</si>
  <si>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</si>
  <si>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</si>
  <si>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</si>
  <si>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</si>
  <si>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</si>
  <si>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</si>
  <si>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</si>
  <si>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</si>
  <si>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</si>
  <si>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</si>
  <si>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</si>
  <si>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</si>
  <si>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</si>
  <si>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</si>
  <si>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</si>
  <si>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</si>
  <si>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</si>
  <si>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</si>
  <si>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</si>
  <si>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</si>
  <si>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</si>
  <si>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</si>
  <si>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</si>
  <si>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</si>
  <si>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</si>
  <si>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</si>
  <si>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</si>
  <si>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</si>
  <si>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</si>
  <si>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</si>
  <si>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</si>
  <si>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</si>
  <si>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</si>
  <si>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</si>
  <si>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</si>
  <si>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</si>
  <si>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</si>
  <si>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</si>
  <si>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</si>
  <si>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</si>
  <si>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</si>
  <si>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</si>
  <si>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</si>
  <si>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</si>
  <si>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</si>
  <si>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</si>
  <si>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</si>
  <si>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</si>
  <si>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</si>
  <si>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</si>
  <si>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</si>
  <si>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</si>
  <si>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</si>
  <si>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</si>
  <si>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</si>
  <si>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</si>
  <si>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</si>
  <si>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</si>
  <si>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</si>
  <si>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</si>
  <si>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</si>
  <si>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</si>
  <si>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</si>
  <si>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</si>
  <si>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</si>
  <si>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</si>
  <si>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</si>
  <si>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</si>
  <si>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</si>
  <si>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</si>
  <si>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</si>
  <si>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</si>
  <si>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</si>
  <si>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</si>
  <si>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</si>
  <si>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</si>
  <si>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</si>
  <si>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</si>
  <si>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</si>
  <si>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</si>
  <si>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</si>
  <si>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</si>
  <si>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</si>
  <si>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</si>
  <si>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</si>
  <si>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</si>
  <si>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</si>
  <si>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</si>
  <si>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</si>
  <si>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</si>
  <si>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</si>
  <si>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</si>
  <si>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</si>
  <si>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</si>
  <si>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</si>
  <si>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</si>
  <si>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</si>
  <si>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</si>
  <si>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</si>
  <si>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</si>
  <si>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</si>
  <si>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</si>
  <si>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</si>
  <si>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</si>
  <si>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</si>
  <si>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</si>
  <si>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</si>
  <si>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</si>
  <si>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</si>
  <si>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</si>
  <si>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</si>
  <si>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</si>
  <si>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</si>
  <si>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</si>
  <si>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</si>
  <si>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</si>
  <si>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</si>
  <si>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</si>
  <si>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</si>
  <si>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</si>
  <si>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</si>
  <si>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</si>
  <si>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</si>
  <si>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</si>
  <si>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</si>
  <si>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</si>
  <si>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</si>
  <si>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</si>
  <si>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</si>
  <si>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</si>
  <si>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</si>
  <si>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</si>
  <si>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</si>
  <si>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</si>
  <si>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</si>
  <si>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</si>
  <si>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</si>
  <si>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</si>
  <si>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</si>
  <si>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</si>
  <si>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</si>
  <si>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</si>
  <si>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</si>
  <si>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</si>
  <si>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</si>
  <si>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</si>
  <si>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</si>
  <si>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</si>
  <si>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</si>
  <si>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</si>
  <si>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</si>
  <si>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</si>
  <si>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</si>
  <si>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</si>
  <si>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</si>
  <si>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</si>
  <si>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</si>
  <si>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</si>
  <si>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</si>
  <si>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</si>
  <si>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</si>
  <si>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</si>
  <si>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</si>
  <si>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</si>
  <si>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</si>
  <si>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</si>
  <si>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</si>
  <si>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</si>
  <si>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</si>
  <si>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</si>
  <si>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</si>
  <si>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</si>
  <si>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</si>
  <si>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</si>
  <si>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</si>
  <si>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</si>
  <si>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</si>
  <si>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</si>
  <si>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</si>
  <si>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</si>
  <si>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</si>
  <si>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</si>
  <si>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</si>
  <si>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</si>
  <si>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</si>
  <si>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</si>
  <si>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</si>
  <si>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</si>
  <si>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</si>
  <si>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</si>
  <si>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</si>
  <si>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</si>
  <si>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</si>
  <si>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</si>
  <si>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</si>
  <si>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</si>
  <si>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</si>
  <si>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</si>
  <si>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</si>
  <si>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</si>
  <si>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</si>
  <si>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</si>
  <si>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</si>
  <si>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</si>
  <si>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</si>
  <si>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</si>
  <si>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</si>
  <si>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</si>
  <si>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</si>
  <si>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</si>
  <si>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</si>
  <si>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</si>
  <si>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</si>
  <si>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</si>
  <si>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</si>
  <si>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</si>
  <si>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</si>
  <si>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</si>
  <si>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</si>
  <si>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</si>
  <si>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</si>
  <si>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</si>
  <si>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</si>
  <si>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</si>
  <si>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</si>
  <si>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</si>
  <si>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</si>
  <si>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</si>
  <si>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</si>
  <si>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</si>
  <si>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</si>
  <si>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</si>
  <si>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</si>
  <si>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</si>
  <si>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</si>
  <si>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</si>
  <si>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</si>
  <si>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</si>
  <si>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</si>
  <si>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</si>
  <si>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</si>
  <si>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</si>
  <si>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</si>
  <si>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</si>
  <si>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</si>
  <si>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</si>
  <si>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</si>
  <si>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</si>
  <si>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</si>
  <si>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</si>
  <si>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</si>
  <si>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</si>
  <si>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</si>
  <si>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</si>
  <si>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</si>
  <si>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</si>
  <si>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</si>
  <si>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</si>
  <si>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</si>
  <si>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</si>
  <si>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</si>
  <si>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</si>
  <si>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</si>
  <si>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</si>
  <si>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</si>
  <si>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</si>
  <si>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</si>
  <si>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</si>
  <si>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</si>
  <si>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</si>
  <si>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</si>
  <si>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</si>
  <si>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</si>
  <si>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</si>
  <si>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</si>
  <si>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</si>
  <si>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</si>
  <si>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</si>
  <si>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</si>
  <si>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</si>
  <si>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</si>
  <si>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</si>
  <si>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</si>
  <si>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</si>
  <si>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</si>
  <si>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</si>
  <si>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</si>
  <si>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</si>
  <si>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</si>
  <si>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</si>
  <si>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</si>
  <si>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</si>
  <si>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</si>
  <si>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</si>
  <si>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</si>
  <si>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</si>
  <si>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</si>
  <si>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</si>
  <si>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</si>
  <si>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</si>
  <si>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</si>
  <si>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</si>
  <si>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</si>
  <si>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</si>
  <si>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</si>
  <si>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</si>
  <si>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</si>
  <si>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</si>
  <si>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</si>
  <si>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</si>
  <si>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</si>
  <si>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</si>
  <si>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</si>
  <si>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</si>
  <si>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</si>
  <si>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</si>
  <si>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</si>
  <si>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</si>
  <si>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</si>
  <si>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</si>
  <si>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</si>
  <si>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</si>
  <si>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</si>
  <si>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</si>
  <si>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</si>
  <si>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</si>
  <si>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</si>
  <si>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</si>
  <si>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</si>
  <si>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</si>
  <si>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</si>
  <si>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</si>
  <si>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</si>
  <si>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</si>
  <si>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</si>
  <si>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</si>
  <si>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</si>
  <si>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</si>
  <si>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</si>
  <si>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</si>
  <si>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</si>
  <si>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</si>
  <si>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</si>
  <si>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</si>
  <si>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</si>
  <si>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</si>
  <si>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</si>
  <si>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</si>
  <si>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</si>
  <si>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</si>
  <si>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</si>
  <si>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</si>
  <si>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</si>
  <si>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</si>
  <si>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</si>
  <si>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</si>
  <si>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</si>
  <si>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</si>
  <si>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</si>
  <si>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</si>
  <si>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</si>
  <si>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</si>
  <si>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</si>
  <si>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</si>
  <si>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</si>
  <si>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</si>
  <si>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</si>
  <si>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</si>
  <si>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</si>
  <si>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</si>
  <si>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</si>
  <si>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</si>
  <si>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</si>
  <si>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</si>
  <si>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</si>
  <si>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</si>
  <si>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</si>
  <si>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</si>
  <si>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</si>
  <si>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</si>
  <si>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</si>
  <si>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</si>
  <si>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</si>
  <si>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</si>
  <si>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</si>
  <si>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</si>
  <si>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</si>
  <si>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</si>
  <si>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</si>
  <si>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</si>
  <si>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</si>
  <si>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</si>
  <si>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</si>
  <si>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</si>
  <si>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</si>
  <si>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</si>
  <si>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</si>
  <si>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</si>
  <si>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</si>
  <si>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</si>
  <si>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</si>
  <si>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</si>
  <si>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</si>
  <si>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</si>
  <si>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</si>
  <si>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</si>
  <si>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</si>
  <si>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</si>
  <si>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</si>
  <si>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</si>
  <si>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</si>
  <si>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</si>
  <si>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</si>
  <si>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</si>
  <si>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</si>
  <si>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</si>
  <si>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</si>
  <si>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</si>
  <si>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</si>
  <si>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</si>
  <si>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</si>
  <si>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</si>
  <si>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</si>
  <si>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</si>
  <si>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</si>
  <si>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</si>
  <si>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</si>
  <si>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</si>
  <si>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</si>
  <si>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</si>
  <si>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</si>
  <si>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</si>
  <si>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</si>
  <si>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</si>
  <si>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</si>
  <si>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</si>
  <si>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</si>
  <si>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</si>
  <si>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</si>
  <si>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</si>
  <si>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</si>
  <si>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</si>
  <si>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</si>
  <si>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</si>
  <si>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</si>
  <si>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</si>
  <si>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</si>
  <si>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</si>
  <si>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</si>
  <si>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</si>
  <si>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</si>
  <si>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</si>
  <si>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</si>
  <si>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</si>
  <si>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</si>
  <si>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</si>
  <si>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</si>
  <si>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</si>
  <si>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</si>
  <si>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</si>
  <si>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</si>
  <si>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</si>
  <si>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</si>
  <si>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</si>
  <si>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</si>
  <si>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</si>
  <si>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</si>
  <si>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</si>
  <si>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</si>
  <si>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</si>
  <si>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</si>
  <si>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</si>
  <si>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</si>
  <si>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</si>
  <si>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</si>
  <si>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</si>
  <si>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</si>
  <si>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</si>
  <si>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</si>
  <si>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</si>
  <si>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</si>
  <si>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</si>
  <si>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</si>
  <si>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</si>
  <si>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</si>
  <si>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</si>
  <si>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</si>
  <si>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</si>
  <si>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</si>
  <si>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</si>
  <si>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</si>
  <si>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</si>
  <si>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</si>
  <si>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</si>
  <si>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</si>
  <si>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</si>
  <si>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</si>
  <si>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</si>
  <si>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</si>
  <si>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</si>
  <si>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</si>
  <si>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</si>
  <si>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</si>
  <si>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</si>
  <si>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</si>
  <si>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</si>
  <si>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</si>
  <si>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</si>
  <si>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</si>
  <si>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</si>
  <si>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</si>
  <si>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</si>
  <si>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</si>
  <si>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</si>
  <si>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</si>
  <si>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</si>
  <si>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</si>
  <si>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</si>
  <si>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</si>
  <si>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</si>
  <si>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</si>
  <si>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</si>
  <si>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</si>
  <si>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</si>
  <si>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</si>
  <si>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</si>
  <si>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</si>
  <si>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</si>
  <si>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</si>
  <si>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</si>
  <si>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</si>
  <si>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</si>
  <si>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</si>
  <si>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</si>
  <si>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</si>
  <si>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</si>
  <si>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</si>
  <si>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</si>
  <si>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</si>
  <si>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</si>
  <si>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</si>
  <si>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</si>
  <si>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</si>
  <si>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</si>
  <si>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</si>
  <si>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</si>
  <si>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</si>
  <si>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</si>
  <si>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</si>
  <si>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</si>
  <si>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</si>
  <si>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</si>
  <si>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</si>
  <si>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</si>
  <si>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</si>
  <si>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</si>
  <si>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</si>
  <si>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</si>
  <si>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</si>
  <si>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</si>
  <si>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</si>
  <si>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</si>
  <si>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</si>
  <si>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</si>
  <si>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</si>
  <si>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</si>
  <si>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</si>
  <si>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</si>
  <si>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</si>
  <si>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</si>
  <si>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</si>
  <si>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</si>
  <si>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</si>
  <si>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</si>
  <si>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</si>
  <si>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</si>
  <si>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</si>
  <si>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</si>
  <si>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</si>
  <si>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</si>
  <si>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</si>
  <si>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</si>
  <si>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</si>
  <si>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</si>
  <si>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</si>
  <si>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</si>
  <si>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</si>
  <si>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</si>
  <si>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</si>
  <si>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</si>
  <si>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</si>
  <si>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</si>
  <si>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</si>
  <si>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</si>
  <si>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</si>
  <si>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</si>
  <si>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</si>
  <si>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</si>
  <si>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</si>
  <si>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</si>
  <si>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</si>
  <si>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</si>
  <si>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</si>
  <si>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</si>
  <si>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</si>
  <si>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</si>
  <si>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</si>
  <si>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</si>
  <si>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</si>
  <si>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</si>
  <si>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</si>
  <si>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</si>
  <si>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</si>
  <si>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</si>
  <si>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</si>
  <si>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</si>
  <si>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</si>
  <si>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</si>
  <si>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</si>
  <si>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</si>
  <si>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</si>
  <si>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</si>
  <si>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</si>
  <si>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</si>
  <si>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</si>
  <si>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</si>
  <si>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</si>
  <si>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</si>
  <si>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</si>
  <si>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</si>
  <si>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</si>
  <si>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</si>
  <si>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</si>
  <si>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</si>
  <si>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</si>
  <si>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</si>
  <si>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</si>
  <si>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</si>
  <si>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</si>
  <si>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</si>
  <si>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</si>
  <si>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</si>
  <si>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</si>
  <si>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</si>
  <si>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</si>
  <si>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</si>
  <si>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</si>
  <si>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</si>
  <si>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</si>
  <si>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</si>
  <si>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</si>
  <si>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</si>
  <si>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</si>
  <si>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</si>
  <si>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</si>
  <si>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</si>
  <si>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</si>
  <si>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</si>
  <si>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</si>
  <si>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</si>
  <si>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</si>
  <si>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</si>
  <si>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</si>
  <si>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</si>
  <si>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</si>
  <si>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</si>
  <si>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</si>
  <si>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</si>
  <si>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</si>
  <si>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</si>
  <si>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</si>
  <si>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</si>
  <si>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</si>
  <si>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</si>
  <si>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</si>
  <si>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</si>
  <si>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</si>
  <si>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</si>
  <si>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</si>
  <si>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</si>
  <si>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</si>
  <si>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</si>
  <si>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</si>
  <si>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</si>
  <si>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</si>
  <si>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</si>
  <si>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</si>
  <si>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</si>
  <si>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</si>
  <si>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</si>
  <si>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</si>
  <si>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</si>
  <si>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</si>
  <si>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</si>
  <si>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</si>
  <si>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</si>
  <si>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</si>
  <si>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</si>
  <si>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</si>
  <si>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</si>
  <si>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</si>
  <si>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</si>
  <si>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</si>
  <si>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</si>
  <si>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</si>
  <si>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</si>
  <si>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</si>
  <si>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</si>
  <si>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</si>
  <si>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</si>
  <si>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</si>
  <si>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</si>
  <si>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</si>
  <si>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</si>
  <si>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</si>
  <si>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</si>
  <si>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</si>
  <si>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</si>
  <si>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</si>
  <si>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</si>
  <si>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</si>
  <si>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</si>
  <si>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</si>
  <si>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</si>
  <si>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</si>
  <si>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</si>
  <si>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</si>
  <si>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</si>
  <si>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</si>
  <si>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</si>
  <si>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</si>
  <si>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</si>
  <si>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</si>
  <si>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</si>
  <si>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</si>
  <si>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</si>
  <si>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</si>
  <si>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</si>
  <si>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</si>
  <si>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</si>
  <si>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</si>
  <si>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</si>
  <si>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</si>
  <si>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</si>
  <si>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</si>
  <si>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</si>
  <si>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</si>
  <si>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</si>
  <si>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</si>
  <si>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</si>
  <si>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</si>
  <si>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</si>
  <si>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</si>
  <si>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</si>
  <si>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</si>
  <si>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</si>
  <si>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</si>
  <si>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</si>
  <si>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</si>
  <si>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</si>
  <si>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</si>
  <si>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</si>
  <si>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</si>
  <si>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</si>
  <si>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</si>
  <si>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</si>
  <si>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</si>
  <si>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</si>
  <si>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</si>
  <si>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</si>
  <si>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</si>
  <si>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</si>
  <si>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</si>
  <si>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</si>
  <si>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</si>
  <si>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</si>
  <si>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</si>
  <si>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</si>
  <si>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</si>
  <si>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</si>
  <si>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</si>
  <si>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</si>
  <si>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</si>
  <si>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</si>
  <si>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</si>
  <si>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</si>
  <si>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</si>
  <si>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</si>
  <si>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</si>
  <si>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</si>
  <si>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</si>
  <si>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</si>
  <si>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</si>
  <si>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</si>
  <si>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</si>
  <si>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</si>
  <si>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</si>
  <si>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</si>
  <si>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</si>
  <si>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</si>
  <si>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</si>
  <si>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</si>
  <si>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</si>
  <si>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</si>
  <si>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</si>
  <si>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</si>
  <si>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</si>
  <si>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</si>
  <si>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</si>
  <si>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</si>
  <si>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</si>
  <si>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</si>
  <si>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</si>
  <si>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</si>
  <si>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</si>
  <si>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</si>
  <si>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</si>
  <si>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</si>
  <si>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</si>
  <si>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</si>
  <si>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</si>
  <si>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</si>
  <si>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</si>
  <si>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</si>
  <si>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</si>
  <si>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</si>
  <si>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</si>
  <si>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</si>
  <si>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</si>
  <si>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</si>
  <si>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</si>
  <si>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</si>
  <si>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</si>
  <si>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</si>
  <si>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</si>
  <si>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</si>
  <si>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</si>
  <si>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</si>
  <si>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</si>
  <si>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</si>
  <si>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</si>
  <si>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</si>
  <si>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</si>
  <si>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</si>
  <si>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</si>
  <si>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</si>
  <si>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</si>
  <si>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</si>
  <si>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</si>
  <si>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</si>
  <si>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</si>
  <si>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</si>
  <si>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</si>
  <si>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</si>
  <si>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</si>
  <si>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</si>
  <si>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</si>
  <si>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</si>
  <si>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</si>
  <si>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</si>
  <si>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</si>
  <si>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</si>
  <si>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</si>
  <si>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</si>
  <si>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</si>
  <si>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</si>
  <si>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</si>
  <si>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</si>
  <si>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</si>
  <si>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</si>
  <si>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</si>
  <si>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</si>
  <si>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</si>
  <si>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</si>
  <si>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</si>
  <si>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</si>
  <si>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</si>
  <si>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</si>
  <si>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</si>
  <si>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</si>
  <si>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</si>
  <si>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</si>
  <si>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</si>
  <si>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</si>
  <si>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</si>
  <si>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</si>
  <si>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</si>
  <si>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</si>
  <si>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</si>
  <si>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</si>
  <si>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</si>
  <si>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</si>
  <si>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</si>
  <si>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</si>
  <si>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</si>
  <si>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</si>
  <si>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</si>
  <si>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</si>
  <si>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</si>
  <si>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</si>
  <si>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</si>
  <si>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</si>
  <si>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</si>
  <si>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</si>
  <si>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</si>
  <si>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</si>
  <si>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</si>
  <si>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</si>
  <si>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</si>
  <si>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</si>
  <si>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</si>
  <si>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</si>
  <si>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</si>
  <si>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</si>
  <si>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</si>
  <si>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</si>
  <si>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</si>
  <si>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</si>
  <si>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</si>
  <si>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</si>
  <si>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</si>
  <si>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</si>
  <si>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</si>
  <si>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</si>
  <si>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</si>
  <si>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</si>
  <si>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</si>
  <si>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</si>
  <si>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</si>
  <si>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</si>
  <si>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</si>
  <si>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</si>
  <si>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</si>
  <si>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</si>
  <si>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</si>
  <si>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</si>
  <si>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</si>
  <si>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</si>
  <si>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</si>
  <si>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</si>
  <si>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</si>
  <si>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</si>
  <si>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</si>
  <si>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</si>
  <si>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</si>
  <si>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</si>
  <si>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</si>
  <si>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</si>
  <si>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</si>
  <si>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</si>
  <si>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</si>
  <si>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</si>
  <si>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</si>
  <si>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</si>
  <si>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</si>
  <si>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</si>
  <si>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</si>
  <si>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</si>
  <si>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</si>
  <si>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</si>
  <si>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</si>
  <si>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</si>
  <si>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</si>
  <si>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</si>
  <si>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</si>
  <si>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</si>
  <si>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</si>
  <si>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</si>
  <si>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</si>
  <si>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</si>
  <si>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</si>
  <si>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</si>
  <si>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</si>
  <si>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</si>
  <si>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</si>
  <si>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</si>
  <si>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</si>
  <si>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</si>
  <si>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</si>
  <si>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</si>
  <si>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</si>
  <si>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</si>
  <si>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</si>
  <si>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</si>
  <si>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</si>
  <si>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</si>
  <si>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</si>
  <si>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</si>
  <si>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</si>
  <si>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</si>
  <si>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</si>
  <si>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</si>
  <si>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</si>
  <si>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</si>
  <si>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</si>
  <si>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</si>
  <si>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</si>
  <si>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</si>
  <si>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</si>
  <si>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</si>
  <si>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</si>
  <si>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</si>
  <si>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</si>
  <si>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</si>
  <si>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</si>
  <si>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</si>
  <si>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</si>
  <si>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</si>
  <si>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</si>
  <si>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</si>
  <si>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</si>
  <si>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</si>
  <si>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</si>
  <si>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</si>
  <si>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</si>
  <si>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</si>
  <si>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</si>
  <si>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</si>
  <si>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</si>
  <si>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</si>
  <si>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</si>
  <si>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</si>
  <si>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</si>
  <si>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</si>
  <si>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</si>
  <si>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</si>
  <si>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</si>
  <si>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</si>
  <si>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</si>
  <si>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</si>
  <si>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</si>
  <si>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</si>
  <si>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</si>
  <si>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</si>
  <si>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</si>
  <si>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</si>
  <si>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</si>
  <si>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</si>
  <si>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</si>
  <si>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</si>
  <si>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</si>
  <si>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</si>
  <si>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</si>
  <si>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</si>
  <si>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</si>
  <si>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</si>
  <si>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</si>
  <si>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</si>
  <si>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</si>
  <si>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</si>
  <si>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</si>
  <si>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</si>
  <si>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</si>
  <si>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</si>
  <si>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</si>
  <si>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</si>
  <si>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</si>
  <si>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</si>
  <si>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</si>
  <si>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</si>
  <si>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</si>
  <si>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</si>
  <si>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</si>
  <si>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</si>
  <si>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</si>
  <si>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</si>
  <si>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</si>
  <si>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</si>
  <si>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</si>
  <si>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</si>
  <si>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</si>
  <si>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</si>
  <si>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</si>
  <si>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</si>
  <si>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</si>
  <si>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</si>
  <si>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</si>
  <si>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</si>
  <si>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</si>
  <si>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</si>
  <si>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</si>
  <si>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</si>
  <si>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</si>
  <si>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</si>
  <si>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</si>
  <si>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</si>
  <si>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</si>
  <si>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</si>
  <si>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</si>
  <si>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</si>
  <si>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</si>
  <si>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</si>
  <si>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</si>
  <si>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</si>
  <si>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</si>
  <si>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</si>
  <si>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</si>
  <si>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</si>
  <si>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</si>
  <si>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</si>
  <si>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</si>
  <si>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</si>
  <si>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</si>
  <si>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</si>
  <si>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</si>
  <si>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</si>
  <si>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</si>
  <si>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</si>
  <si>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</si>
  <si>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</si>
  <si>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</si>
  <si>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</si>
  <si>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</si>
  <si>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</si>
  <si>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</si>
  <si>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</si>
  <si>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</si>
  <si>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</si>
  <si>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</si>
  <si>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</si>
  <si>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</si>
  <si>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</si>
  <si>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</si>
  <si>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</si>
  <si>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</si>
  <si>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</si>
  <si>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</si>
  <si>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</si>
  <si>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</si>
  <si>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</si>
  <si>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</si>
  <si>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</si>
  <si>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</si>
  <si>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</si>
  <si>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</si>
  <si>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</si>
  <si>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</si>
  <si>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</si>
  <si>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</si>
  <si>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</si>
  <si>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</si>
  <si>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</si>
  <si>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</si>
  <si>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</si>
  <si>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</si>
  <si>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</si>
  <si>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</si>
  <si>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</si>
  <si>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</si>
  <si>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</si>
  <si>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</si>
  <si>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</si>
  <si>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</si>
  <si>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</si>
  <si>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</si>
  <si>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</si>
  <si>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</si>
  <si>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</si>
  <si>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</si>
  <si>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</si>
  <si>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</si>
  <si>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</si>
  <si>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</si>
  <si>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</si>
  <si>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</si>
  <si>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</si>
  <si>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</si>
  <si>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</si>
  <si>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</si>
  <si>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</si>
  <si>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</si>
  <si>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</si>
  <si>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</si>
  <si>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</si>
  <si>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</si>
  <si>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</si>
  <si>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</si>
  <si>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</si>
  <si>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</si>
  <si>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</si>
  <si>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</si>
  <si>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</si>
  <si>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</si>
  <si>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</si>
  <si>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</si>
  <si>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</si>
  <si>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</si>
  <si>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</si>
  <si>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</si>
  <si>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</si>
  <si>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</si>
  <si>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</si>
  <si>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</si>
  <si>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</si>
  <si>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</si>
  <si>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</si>
  <si>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</si>
  <si>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</si>
  <si>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</si>
  <si>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</si>
  <si>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</si>
  <si>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</si>
  <si>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</si>
  <si>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</si>
  <si>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</si>
  <si>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</si>
  <si>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</si>
  <si>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</si>
  <si>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</si>
  <si>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</si>
  <si>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</si>
  <si>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</si>
  <si>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</si>
  <si>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</si>
  <si>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</si>
  <si>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</si>
  <si>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</si>
  <si>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</si>
  <si>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</si>
  <si>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</si>
  <si>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</si>
  <si>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</si>
  <si>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</si>
  <si>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</si>
  <si>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</si>
  <si>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</si>
  <si>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</si>
  <si>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</si>
  <si>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</si>
  <si>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</si>
  <si>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</si>
  <si>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</si>
  <si>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</si>
  <si>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</si>
  <si>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</si>
  <si>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</si>
  <si>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</si>
  <si>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</si>
  <si>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</si>
  <si>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</si>
  <si>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</si>
  <si>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</si>
  <si>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</si>
  <si>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</si>
  <si>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</si>
  <si>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</si>
  <si>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</si>
  <si>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</si>
  <si>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</si>
  <si>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</si>
  <si>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</si>
  <si>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</si>
  <si>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</si>
  <si>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</si>
  <si>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</si>
  <si>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</si>
  <si>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</si>
  <si>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</si>
  <si>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</si>
  <si>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</si>
  <si>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</si>
  <si>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</si>
  <si>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</si>
  <si>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</si>
  <si>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</si>
  <si>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</si>
  <si>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</si>
  <si>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</si>
  <si>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</si>
  <si>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</si>
  <si>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</si>
  <si>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</si>
  <si>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</si>
  <si>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</si>
  <si>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</si>
  <si>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</si>
  <si>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</si>
  <si>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</si>
  <si>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</si>
  <si>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</si>
  <si>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</si>
  <si>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</si>
  <si>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</si>
  <si>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</si>
  <si>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</si>
  <si>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</si>
  <si>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</si>
  <si>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</si>
  <si>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</si>
  <si>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</si>
  <si>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</si>
  <si>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</si>
  <si>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</si>
  <si>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</si>
  <si>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</si>
  <si>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</si>
  <si>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</si>
  <si>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</si>
  <si>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</si>
  <si>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</si>
  <si>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</si>
  <si>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</si>
  <si>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</si>
  <si>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</si>
  <si>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</si>
  <si>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</si>
  <si>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</si>
  <si>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</si>
  <si>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</si>
  <si>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</si>
  <si>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</si>
  <si>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</si>
  <si>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</si>
  <si>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</si>
  <si>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</si>
  <si>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</si>
  <si>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</si>
  <si>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</si>
  <si>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</si>
  <si>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</si>
  <si>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</si>
  <si>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</si>
  <si>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</si>
  <si>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</si>
  <si>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</si>
  <si>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</si>
  <si>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</si>
  <si>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</si>
  <si>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</si>
  <si>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</si>
  <si>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</si>
  <si>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</si>
  <si>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</si>
  <si>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</si>
  <si>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</si>
  <si>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</si>
  <si>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</si>
  <si>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</si>
  <si>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</si>
  <si>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</si>
  <si>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</si>
  <si>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</si>
  <si>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</si>
  <si>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</si>
  <si>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</si>
  <si>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</si>
  <si>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</si>
  <si>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</si>
  <si>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</si>
  <si>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</si>
  <si>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</si>
  <si>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</si>
  <si>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</si>
  <si>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</si>
  <si>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</si>
  <si>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</si>
  <si>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</si>
  <si>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</si>
  <si>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</si>
  <si>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</si>
  <si>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</si>
  <si>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</si>
  <si>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</si>
  <si>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</si>
  <si>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</si>
  <si>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</si>
  <si>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</si>
  <si>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</si>
  <si>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</si>
  <si>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</si>
  <si>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</si>
  <si>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</si>
  <si>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</si>
  <si>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</si>
  <si>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</si>
  <si>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</si>
  <si>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</si>
  <si>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</si>
  <si>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</si>
  <si>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</si>
  <si>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</si>
  <si>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</si>
  <si>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</si>
  <si>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</si>
  <si>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</si>
  <si>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</si>
  <si>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</si>
  <si>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</si>
  <si>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</si>
  <si>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</si>
  <si>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</si>
  <si>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</si>
  <si>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</si>
  <si>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</si>
  <si>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</si>
  <si>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</si>
  <si>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</si>
  <si>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</si>
  <si>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</si>
  <si>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</si>
  <si>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</si>
  <si>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</si>
  <si>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</si>
  <si>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</si>
  <si>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</si>
  <si>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</si>
  <si>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</si>
  <si>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</si>
  <si>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</si>
  <si>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</si>
  <si>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</si>
  <si>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</si>
  <si>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</si>
  <si>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</si>
  <si>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</si>
  <si>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</si>
  <si>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</si>
  <si>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</si>
  <si>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</si>
  <si>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</si>
  <si>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</si>
  <si>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</si>
  <si>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</si>
  <si>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</si>
  <si>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</si>
  <si>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</si>
  <si>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</si>
  <si>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</si>
  <si>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</si>
  <si>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</si>
  <si>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</si>
  <si>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</si>
  <si>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</si>
  <si>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</si>
  <si>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</si>
  <si>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</si>
  <si>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</si>
  <si>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</si>
  <si>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</si>
  <si>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</si>
  <si>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</si>
  <si>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</si>
  <si>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</si>
  <si>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</si>
  <si>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</si>
  <si>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</si>
  <si>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</si>
  <si>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</si>
  <si>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</si>
  <si>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</si>
  <si>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</si>
  <si>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</si>
  <si>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</si>
  <si>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</si>
  <si>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</si>
  <si>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</si>
  <si>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</si>
  <si>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</si>
  <si>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</si>
  <si>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</si>
  <si>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</si>
  <si>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</si>
  <si>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</si>
  <si>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</si>
  <si>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</si>
  <si>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</si>
  <si>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</si>
  <si>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</si>
  <si>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</si>
  <si>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</si>
  <si>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</si>
  <si>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</si>
  <si>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</si>
  <si>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</si>
  <si>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</si>
  <si>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</si>
  <si>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</si>
  <si>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</si>
  <si>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</si>
  <si>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</si>
  <si>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</si>
  <si>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</si>
  <si>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</si>
  <si>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</si>
  <si>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</si>
  <si>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</si>
  <si>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</si>
  <si>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</si>
  <si>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</si>
  <si>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</si>
  <si>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</si>
  <si>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</si>
  <si>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</si>
  <si>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</si>
  <si>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</si>
  <si>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</si>
  <si>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</si>
  <si>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</si>
  <si>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</si>
  <si>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</si>
  <si>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</si>
  <si>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</si>
  <si>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</si>
  <si>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</si>
  <si>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</si>
  <si>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</si>
  <si>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</si>
  <si>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</si>
  <si>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</si>
  <si>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</si>
  <si>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</si>
  <si>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</si>
  <si>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</si>
  <si>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</si>
  <si>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</si>
  <si>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</si>
  <si>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</si>
  <si>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</si>
  <si>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</si>
  <si>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</si>
  <si>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</si>
  <si>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</si>
  <si>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</si>
  <si>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</si>
  <si>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</si>
  <si>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</si>
  <si>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</si>
  <si>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</si>
  <si>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</si>
  <si>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</si>
  <si>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</si>
  <si>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</si>
  <si>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</si>
  <si>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</si>
  <si>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</si>
  <si>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</si>
  <si>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</si>
  <si>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</si>
  <si>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</si>
  <si>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</si>
  <si>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</si>
  <si>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</si>
  <si>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</si>
  <si>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</si>
  <si>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</si>
  <si>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</si>
  <si>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</si>
  <si>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</si>
  <si>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</si>
  <si>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</si>
  <si>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</si>
  <si>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</si>
  <si>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</si>
  <si>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</si>
  <si>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</si>
  <si>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</si>
  <si>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</si>
  <si>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</si>
  <si>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</si>
  <si>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</si>
  <si>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</si>
  <si>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</si>
  <si>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</si>
  <si>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</si>
  <si>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</si>
  <si>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</si>
  <si>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</si>
  <si>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</si>
  <si>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</si>
  <si>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</si>
  <si>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</si>
  <si>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</si>
  <si>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</si>
  <si>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</si>
  <si>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</si>
  <si>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</si>
  <si>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</si>
  <si>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</si>
  <si>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</si>
  <si>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</si>
  <si>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</si>
  <si>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</si>
  <si>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</si>
  <si>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</si>
  <si>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</si>
  <si>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</si>
  <si>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</si>
  <si>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</si>
  <si>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</si>
  <si>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</si>
  <si>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</si>
  <si>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</si>
  <si>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</si>
  <si>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</si>
  <si>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</si>
  <si>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</si>
  <si>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</si>
  <si>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</si>
  <si>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</si>
  <si>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</si>
  <si>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</si>
  <si>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</si>
  <si>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</si>
  <si>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</si>
  <si>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</si>
  <si>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</si>
  <si>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</si>
  <si>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</si>
  <si>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</si>
  <si>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</si>
  <si>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</si>
  <si>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</si>
  <si>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</si>
  <si>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</si>
  <si>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</si>
  <si>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</si>
  <si>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</si>
  <si>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</si>
  <si>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</si>
  <si>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</si>
  <si>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</si>
  <si>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</si>
  <si>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</si>
  <si>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</si>
  <si>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</si>
  <si>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</si>
  <si>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</si>
  <si>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</si>
  <si>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</si>
  <si>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</si>
  <si>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</si>
  <si>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</si>
  <si>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</si>
  <si>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</si>
  <si>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</si>
  <si>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</si>
  <si>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</si>
  <si>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</si>
  <si>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</si>
  <si>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</si>
  <si>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</si>
  <si>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</si>
  <si>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</si>
  <si>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</si>
  <si>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</si>
  <si>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</si>
  <si>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</si>
  <si>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</si>
  <si>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</si>
  <si>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</si>
  <si>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</si>
  <si>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</si>
  <si>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</si>
  <si>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</si>
  <si>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</si>
  <si>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</si>
  <si>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</si>
  <si>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</si>
  <si>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</si>
  <si>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</si>
  <si>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</si>
  <si>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</si>
  <si>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</si>
  <si>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</si>
  <si>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</si>
  <si>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</si>
  <si>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</si>
  <si>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</si>
  <si>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</si>
  <si>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</si>
  <si>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</si>
  <si>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</si>
  <si>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</si>
  <si>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</si>
  <si>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</si>
  <si>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</si>
  <si>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</si>
  <si>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</si>
  <si>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</si>
  <si>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</si>
  <si>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</si>
  <si>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</si>
  <si>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</si>
  <si>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</si>
  <si>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</si>
  <si>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</si>
  <si>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</si>
  <si>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</si>
  <si>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</si>
  <si>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</si>
  <si>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</si>
  <si>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</si>
  <si>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</si>
  <si>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</si>
  <si>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</si>
  <si>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</si>
  <si>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</si>
  <si>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</si>
  <si>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</si>
  <si>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</si>
  <si>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</si>
  <si>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</si>
  <si>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</si>
  <si>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</si>
  <si>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</si>
  <si>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</si>
  <si>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</si>
  <si>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</si>
  <si>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</si>
  <si>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</si>
  <si>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</si>
  <si>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</si>
  <si>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</si>
  <si>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</si>
  <si>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</si>
  <si>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</si>
  <si>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</si>
  <si>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</si>
  <si>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</si>
  <si>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</si>
  <si>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</si>
  <si>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</si>
  <si>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</si>
  <si>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</si>
  <si>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</si>
  <si>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</si>
  <si>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</si>
  <si>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</si>
  <si>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</si>
  <si>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</si>
  <si>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</si>
  <si>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</si>
  <si>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</si>
  <si>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</si>
  <si>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</si>
  <si>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</si>
  <si>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</si>
  <si>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</si>
  <si>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</si>
  <si>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</si>
  <si>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</si>
  <si>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</si>
  <si>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</si>
  <si>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</si>
  <si>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</si>
  <si>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</si>
  <si>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</si>
  <si>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</si>
  <si>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</si>
  <si>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</si>
  <si>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</si>
  <si>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</si>
  <si>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</si>
  <si>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</si>
  <si>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</si>
  <si>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</si>
  <si>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</si>
  <si>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</si>
  <si>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</si>
  <si>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</si>
  <si>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</si>
  <si>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</si>
  <si>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</si>
  <si>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</si>
  <si>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</si>
  <si>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</si>
  <si>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</si>
  <si>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</si>
  <si>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</si>
  <si>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</si>
  <si>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</si>
  <si>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</si>
  <si>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</si>
  <si>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</si>
  <si>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</si>
  <si>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</si>
  <si>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</si>
  <si>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</si>
  <si>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</si>
  <si>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</si>
  <si>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</si>
  <si>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</si>
  <si>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</si>
  <si>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</si>
  <si>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</si>
  <si>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</si>
  <si>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</si>
  <si>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</si>
  <si>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</si>
  <si>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</si>
  <si>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</si>
  <si>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</si>
  <si>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</si>
  <si>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</si>
  <si>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</si>
  <si>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</si>
  <si>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</si>
  <si>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</si>
  <si>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</si>
  <si>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</si>
  <si>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</si>
  <si>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</si>
  <si>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</si>
  <si>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</si>
  <si>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</si>
  <si>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</si>
  <si>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</si>
  <si>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</si>
  <si>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</si>
  <si>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</si>
  <si>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</si>
  <si>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</si>
  <si>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</si>
  <si>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</si>
  <si>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</si>
  <si>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</si>
  <si>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</si>
  <si>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</si>
  <si>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</si>
  <si>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</si>
  <si>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</si>
  <si>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</si>
  <si>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</si>
  <si>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</si>
  <si>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</si>
  <si>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</si>
  <si>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</si>
  <si>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</si>
  <si>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</si>
  <si>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</si>
  <si>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</si>
  <si>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</si>
  <si>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</si>
  <si>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</si>
  <si>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</si>
  <si>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</si>
  <si>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</si>
  <si>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</si>
  <si>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</si>
  <si>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</si>
  <si>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</si>
  <si>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</si>
  <si>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</si>
  <si>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</si>
  <si>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</si>
  <si>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</si>
  <si>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</si>
  <si>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</si>
  <si>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</si>
  <si>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</si>
  <si>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</si>
  <si>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</si>
  <si>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</si>
  <si>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</si>
  <si>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</si>
  <si>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</si>
  <si>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</si>
  <si>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</si>
  <si>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</si>
  <si>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</si>
  <si>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</si>
  <si>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</si>
  <si>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</si>
  <si>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</si>
  <si>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</si>
  <si>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</si>
  <si>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</si>
  <si>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</si>
  <si>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</si>
  <si>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</si>
  <si>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</si>
  <si>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</si>
  <si>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</si>
  <si>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</si>
  <si>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</si>
  <si>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</si>
  <si>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</si>
  <si>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</si>
  <si>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</si>
  <si>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</si>
  <si>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</si>
  <si>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</si>
  <si>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</si>
  <si>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</si>
  <si>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</si>
  <si>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</si>
  <si>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</si>
  <si>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</si>
  <si>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</si>
  <si>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</si>
  <si>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</si>
  <si>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</si>
  <si>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</si>
  <si>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</si>
  <si>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</si>
  <si>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</si>
  <si>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</si>
  <si>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</si>
  <si>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</si>
  <si>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</si>
  <si>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</si>
  <si>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</si>
  <si>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</si>
  <si>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</si>
  <si>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</si>
  <si>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</si>
  <si>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</si>
  <si>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</si>
  <si>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</si>
  <si>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</si>
  <si>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</si>
  <si>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</si>
  <si>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</si>
  <si>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</si>
  <si>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</si>
  <si>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</si>
  <si>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</si>
  <si>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</si>
  <si>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</si>
  <si>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</si>
  <si>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</si>
  <si>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</si>
  <si>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</si>
  <si>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</si>
  <si>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</si>
  <si>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</si>
  <si>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</si>
  <si>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</si>
  <si>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</si>
  <si>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</si>
  <si>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</si>
  <si>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</si>
  <si>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</si>
  <si>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</si>
  <si>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</si>
  <si>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</si>
  <si>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</si>
  <si>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</si>
  <si>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</si>
  <si>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</si>
  <si>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</si>
  <si>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</si>
  <si>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</si>
  <si>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</si>
  <si>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</si>
  <si>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</si>
  <si>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</si>
  <si>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</si>
  <si>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</si>
  <si>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</si>
  <si>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</si>
  <si>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</si>
  <si>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</si>
  <si>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</si>
  <si>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</si>
  <si>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</si>
  <si>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</si>
  <si>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</si>
  <si>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</si>
  <si>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</si>
  <si>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</si>
  <si>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</si>
  <si>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</si>
  <si>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</si>
  <si>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</si>
  <si>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</si>
  <si>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</si>
  <si>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</si>
  <si>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</si>
  <si>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</si>
  <si>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</si>
  <si>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</si>
  <si>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</si>
  <si>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</si>
  <si>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</si>
  <si>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</si>
  <si>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</si>
  <si>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</si>
  <si>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</si>
  <si>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</si>
  <si>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</si>
  <si>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</si>
  <si>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</si>
  <si>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</si>
  <si>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</si>
  <si>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</si>
  <si>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</si>
  <si>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</si>
  <si>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</si>
  <si>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</si>
  <si>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</si>
  <si>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</si>
  <si>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</si>
  <si>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</si>
  <si>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</si>
  <si>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</si>
  <si>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</si>
  <si>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</si>
  <si>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</si>
  <si>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</si>
  <si>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</si>
  <si>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</si>
  <si>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</si>
  <si>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</si>
  <si>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</si>
  <si>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</si>
  <si>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</si>
  <si>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</si>
  <si>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</si>
  <si>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</si>
  <si>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</si>
  <si>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</si>
  <si>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</si>
  <si>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</si>
  <si>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</si>
  <si>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</si>
  <si>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</si>
  <si>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</si>
  <si>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</si>
  <si>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</si>
  <si>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</si>
  <si>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</si>
  <si>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</si>
  <si>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</si>
  <si>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</si>
  <si>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</si>
  <si>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</si>
  <si>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</si>
  <si>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</si>
  <si>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</si>
  <si>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</si>
  <si>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</si>
  <si>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</si>
  <si>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</si>
  <si>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</si>
  <si>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</si>
  <si>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</si>
  <si>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</si>
  <si>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</si>
  <si>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</si>
  <si>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</si>
  <si>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</si>
  <si>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</si>
  <si>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</si>
  <si>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</si>
  <si>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</si>
  <si>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</si>
  <si>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</si>
  <si>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</si>
  <si>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</si>
  <si>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</si>
  <si>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</si>
  <si>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</si>
  <si>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</si>
  <si>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</si>
  <si>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</si>
  <si>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</si>
  <si>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</si>
  <si>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</si>
  <si>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</si>
  <si>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</si>
  <si>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</si>
  <si>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</si>
  <si>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</si>
  <si>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</si>
  <si>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</si>
  <si>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</si>
  <si>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</si>
  <si>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</si>
  <si>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</si>
  <si>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</si>
  <si>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</si>
  <si>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</si>
  <si>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</si>
  <si>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</si>
  <si>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</si>
  <si>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</si>
  <si>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</si>
  <si>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</si>
  <si>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</si>
  <si>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</si>
  <si>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</si>
  <si>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</si>
  <si>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</si>
  <si>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</si>
  <si>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</si>
  <si>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</si>
  <si>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</si>
  <si>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</si>
  <si>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</si>
  <si>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</si>
  <si>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</si>
  <si>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</si>
  <si>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</si>
  <si>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</si>
  <si>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</si>
  <si>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</si>
  <si>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</si>
  <si>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</si>
  <si>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</si>
  <si>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</si>
  <si>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</si>
  <si>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</si>
  <si>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</si>
  <si>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</si>
  <si>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</si>
  <si>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</si>
  <si>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</si>
  <si>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</si>
  <si>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</si>
  <si>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</si>
  <si>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</si>
  <si>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</si>
  <si>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</si>
  <si>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</si>
  <si>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</si>
  <si>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</si>
  <si>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</si>
  <si>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</si>
  <si>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</si>
  <si>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</si>
  <si>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</si>
  <si>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</si>
  <si>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</si>
  <si>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</si>
  <si>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</si>
  <si>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</si>
  <si>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</si>
  <si>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</si>
  <si>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</si>
  <si>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</si>
  <si>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</si>
  <si>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</si>
  <si>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</si>
  <si>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</si>
  <si>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</si>
  <si>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</si>
  <si>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</si>
  <si>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</si>
  <si>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</si>
  <si>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</si>
  <si>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</si>
  <si>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</si>
  <si>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</si>
  <si>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</si>
  <si>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</si>
  <si>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</si>
  <si>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</si>
  <si>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</si>
  <si>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</si>
  <si>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</si>
  <si>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</si>
  <si>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</si>
  <si>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</si>
  <si>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</si>
  <si>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</si>
  <si>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</si>
  <si>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</si>
  <si>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</si>
  <si>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</si>
  <si>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</si>
  <si>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</si>
  <si>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</si>
  <si>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</si>
  <si>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</si>
  <si>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</si>
  <si>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</si>
  <si>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</si>
  <si>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</si>
  <si>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</si>
  <si>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</si>
  <si>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</si>
  <si>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</si>
  <si>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</si>
  <si>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</si>
  <si>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</si>
  <si>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</si>
  <si>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</si>
  <si>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</si>
  <si>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</si>
  <si>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</si>
  <si>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</si>
  <si>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</si>
  <si>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</si>
  <si>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</si>
  <si>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</si>
  <si>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</si>
  <si>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</si>
  <si>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</si>
  <si>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</si>
  <si>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</si>
  <si>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</si>
  <si>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</si>
  <si>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</si>
  <si>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</si>
  <si>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</si>
  <si>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</si>
  <si>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</si>
  <si>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</si>
  <si>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</si>
  <si>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</si>
  <si>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</si>
  <si>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</si>
  <si>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</si>
  <si>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</si>
  <si>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</si>
  <si>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</si>
  <si>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</si>
  <si>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</si>
  <si>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</si>
  <si>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</si>
  <si>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</si>
  <si>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</si>
  <si>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</si>
  <si>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</si>
  <si>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</si>
  <si>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</si>
  <si>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</si>
  <si>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</si>
  <si>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</si>
  <si>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</si>
  <si>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</si>
  <si>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</si>
  <si>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</si>
  <si>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</si>
  <si>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</si>
  <si>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</si>
  <si>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</si>
  <si>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</si>
  <si>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</si>
  <si>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</si>
  <si>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</si>
  <si>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</si>
  <si>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</si>
  <si>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</si>
  <si>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</si>
  <si>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</si>
  <si>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</si>
  <si>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</si>
  <si>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</si>
  <si>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</si>
  <si>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</si>
  <si>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</si>
  <si>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</si>
  <si>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</si>
  <si>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</si>
  <si>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</si>
  <si>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</si>
  <si>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</si>
  <si>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</si>
  <si>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</si>
  <si>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</si>
  <si>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</si>
  <si>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</si>
  <si>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</si>
  <si>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</si>
  <si>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</si>
  <si>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</si>
  <si>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</si>
  <si>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</si>
  <si>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</si>
  <si>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</si>
  <si>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</si>
  <si>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</si>
  <si>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</si>
  <si>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</si>
  <si>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</si>
  <si>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</si>
  <si>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</si>
  <si>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</si>
  <si>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</si>
  <si>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</si>
  <si>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</si>
  <si>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</si>
  <si>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</si>
  <si>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</si>
  <si>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</si>
  <si>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</si>
  <si>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</si>
  <si>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</si>
  <si>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</si>
  <si>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</si>
  <si>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</si>
  <si>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</si>
  <si>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</si>
  <si>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</si>
  <si>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</si>
  <si>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</si>
  <si>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</si>
  <si>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</si>
  <si>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</si>
  <si>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</si>
  <si>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</si>
  <si>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</si>
  <si>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</si>
  <si>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</si>
  <si>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</si>
  <si>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</si>
  <si>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</si>
  <si>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</si>
  <si>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</si>
  <si>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</si>
  <si>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</si>
  <si>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</si>
  <si>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</si>
  <si>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</si>
  <si>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</si>
  <si>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</si>
  <si>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</si>
  <si>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</si>
  <si>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</si>
  <si>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</si>
  <si>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</si>
  <si>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</si>
  <si>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</si>
  <si>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</si>
  <si>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</si>
  <si>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</si>
  <si>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</si>
  <si>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</si>
  <si>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</si>
  <si>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</si>
  <si>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</si>
  <si>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</si>
  <si>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</si>
  <si>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</si>
  <si>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</si>
  <si>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</si>
  <si>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</si>
  <si>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</si>
  <si>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</si>
  <si>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</si>
  <si>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</si>
  <si>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</si>
  <si>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</si>
  <si>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</si>
  <si>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</si>
  <si>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</si>
  <si>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</si>
  <si>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</si>
  <si>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</si>
  <si>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</si>
  <si>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</si>
  <si>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</si>
  <si>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</si>
  <si>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</si>
  <si>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</si>
  <si>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</si>
  <si>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</si>
  <si>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</si>
  <si>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</si>
  <si>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</si>
  <si>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</si>
  <si>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</si>
  <si>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</si>
  <si>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</si>
  <si>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</si>
  <si>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</si>
  <si>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</si>
  <si>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</si>
  <si>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</si>
  <si>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</si>
  <si>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</si>
  <si>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</si>
  <si>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</si>
  <si>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</si>
  <si>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</si>
  <si>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</si>
  <si>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</si>
  <si>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</si>
  <si>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</si>
  <si>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</si>
  <si>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</si>
  <si>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</si>
  <si>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</si>
  <si>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</si>
  <si>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</si>
  <si>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</si>
  <si>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</si>
  <si>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</si>
  <si>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</si>
  <si>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</si>
  <si>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</si>
  <si>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</si>
  <si>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</si>
  <si>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</si>
  <si>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</si>
  <si>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</si>
  <si>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</si>
  <si>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</si>
  <si>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</si>
  <si>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</si>
  <si>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</si>
  <si>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</si>
  <si>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</si>
  <si>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</si>
  <si>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</si>
  <si>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</si>
  <si>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</si>
  <si>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</si>
  <si>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</si>
  <si>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</si>
  <si>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</si>
  <si>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</si>
  <si>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</si>
  <si>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</si>
  <si>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</si>
  <si>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</si>
  <si>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</si>
  <si>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</si>
  <si>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</si>
  <si>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</si>
  <si>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</si>
  <si>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</si>
  <si>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</si>
  <si>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</si>
  <si>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</si>
  <si>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</si>
  <si>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</si>
  <si>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</si>
  <si>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</si>
  <si>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</si>
  <si>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</si>
  <si>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</si>
  <si>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</si>
  <si>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</si>
  <si>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</si>
  <si>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</si>
  <si>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</si>
  <si>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</si>
  <si>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</si>
  <si>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</si>
  <si>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</si>
  <si>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</si>
  <si>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</si>
  <si>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</si>
  <si>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</si>
  <si>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</si>
  <si>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</si>
  <si>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</si>
  <si>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</si>
  <si>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</si>
  <si>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</si>
  <si>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</si>
  <si>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</si>
  <si>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</si>
  <si>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</si>
  <si>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</si>
  <si>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</si>
  <si>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</si>
  <si>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</si>
  <si>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</si>
  <si>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</si>
  <si>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</si>
  <si>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</si>
  <si>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</si>
  <si>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</si>
  <si>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</si>
  <si>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</si>
  <si>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</si>
  <si>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</si>
  <si>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</si>
  <si>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</si>
  <si>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</si>
  <si>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</si>
  <si>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</si>
  <si>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</si>
  <si>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</si>
  <si>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</si>
  <si>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</si>
  <si>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</si>
  <si>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</si>
  <si>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</si>
  <si>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</si>
  <si>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</si>
  <si>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合计</t>
    <phoneticPr fontId="134" type="noConversion"/>
  </si>
  <si>
    <t>房产证号</t>
    <phoneticPr fontId="134" type="noConversion"/>
  </si>
  <si>
    <t>X京房权证房字第149376号</t>
    <phoneticPr fontId="134" type="noConversion"/>
  </si>
  <si>
    <t>坐落</t>
    <phoneticPr fontId="134" type="noConversion"/>
  </si>
  <si>
    <t>公寓式酒店</t>
    <phoneticPr fontId="134" type="noConversion"/>
  </si>
  <si>
    <t>建筑面积</t>
    <phoneticPr fontId="134" type="noConversion"/>
  </si>
  <si>
    <t>总层</t>
    <phoneticPr fontId="134" type="noConversion"/>
  </si>
  <si>
    <t>X京房权证房字第149378号</t>
    <phoneticPr fontId="134" type="noConversion"/>
  </si>
  <si>
    <t>房山区长阳镇昊天北大街48号208号楼15层B座1502</t>
  </si>
  <si>
    <t>产权人</t>
    <phoneticPr fontId="134" type="noConversion"/>
  </si>
  <si>
    <t>北京中佳汇通商贸有限公司</t>
    <phoneticPr fontId="134" type="noConversion"/>
  </si>
  <si>
    <t>房山区长阳镇昊天北大街48号208号楼15层B座1503</t>
  </si>
  <si>
    <t>X京房权证房字第149369号</t>
    <phoneticPr fontId="134" type="noConversion"/>
  </si>
  <si>
    <t>X京房权证房字第149367号</t>
    <phoneticPr fontId="134" type="noConversion"/>
  </si>
  <si>
    <t>X京房权证房字第149363号</t>
    <phoneticPr fontId="134" type="noConversion"/>
  </si>
  <si>
    <t>房山区长阳镇昊天北大街48号208号楼15层B座1505</t>
  </si>
  <si>
    <t>房山区长阳镇昊天北大街48号208号楼15层B座1506</t>
  </si>
  <si>
    <t>房山区长阳镇昊天北大街48号208号楼15层B座1507</t>
  </si>
  <si>
    <t>房山区长阳镇昊天北大街48号208号楼15层B座1508</t>
  </si>
  <si>
    <t>房山区长阳镇昊天北大街48号208号楼15层B座1509</t>
  </si>
  <si>
    <t>房山区长阳镇昊天北大街48号208号楼15层B座1510</t>
  </si>
  <si>
    <t>房山区长阳镇昊天北大街48号208号楼15层B座1511</t>
  </si>
  <si>
    <t>房山区长阳镇昊天北大街48号208号楼15层B座1512</t>
  </si>
  <si>
    <t>房山区长阳镇昊天北大街48号208号楼15层B座1513</t>
  </si>
  <si>
    <t>房山区长阳镇昊天北大街48号208号楼15层B座1514</t>
  </si>
  <si>
    <t>房山区长阳镇昊天北大街48号208号楼15层B座1515</t>
  </si>
  <si>
    <t>X京房权证房字第149364号</t>
  </si>
  <si>
    <t>X京房权证房字第149366号</t>
    <phoneticPr fontId="134" type="noConversion"/>
  </si>
  <si>
    <t>X京房权证房字第149380号</t>
    <phoneticPr fontId="134" type="noConversion"/>
  </si>
  <si>
    <t>X京房权证房字第149381号</t>
  </si>
  <si>
    <t>X京房权证房字第149382号</t>
  </si>
  <si>
    <t>X京房权证房字第149383号</t>
  </si>
  <si>
    <t>X京房权证房字第149385号</t>
    <phoneticPr fontId="134" type="noConversion"/>
  </si>
  <si>
    <t>X京房权证房字第149386号</t>
  </si>
  <si>
    <t>X京房权证房字第149387号</t>
  </si>
  <si>
    <t>X京房权证房字第149379号</t>
    <phoneticPr fontId="134" type="noConversion"/>
  </si>
  <si>
    <t>房山区长阳镇昊天北大街48号208号楼15层B座1504</t>
    <phoneticPr fontId="134" type="noConversion"/>
  </si>
  <si>
    <t>建成年代</t>
    <phoneticPr fontId="134" type="noConversion"/>
  </si>
  <si>
    <t>Ⅶ-房1</t>
  </si>
  <si>
    <t>抵押</t>
  </si>
  <si>
    <t>房地产抵押价值</t>
  </si>
  <si>
    <t>北京市</t>
  </si>
  <si>
    <t>企业</t>
  </si>
  <si>
    <t>是</t>
  </si>
  <si>
    <t>地上</t>
  </si>
  <si>
    <t>公寓</t>
  </si>
  <si>
    <t>剩余商业</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</si>
  <si>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</si>
  <si>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</si>
  <si>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</si>
  <si>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</si>
  <si>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</si>
  <si>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</si>
  <si>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</si>
  <si>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</si>
  <si>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</si>
  <si>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否</t>
  </si>
  <si>
    <t>自定义容积率</t>
  </si>
  <si>
    <t>不临65条商业街</t>
  </si>
  <si>
    <t>与级别开发程度不一致</t>
  </si>
  <si>
    <t>通路</t>
  </si>
  <si>
    <t>通电</t>
  </si>
  <si>
    <t>通讯</t>
  </si>
  <si>
    <t>通上水</t>
  </si>
  <si>
    <t>通下水</t>
  </si>
  <si>
    <t>平整</t>
  </si>
  <si>
    <t>通热</t>
  </si>
  <si>
    <t>中心城区以外</t>
  </si>
  <si>
    <t>一般</t>
  </si>
  <si>
    <t>较差</t>
  </si>
  <si>
    <t>未包含在土地购买价格中</t>
  </si>
  <si>
    <t>已包含在土地取得成本中</t>
  </si>
  <si>
    <t>成本法 (元)</t>
  </si>
  <si>
    <t>楼面单价</t>
  </si>
  <si>
    <t>自定义</t>
  </si>
  <si>
    <t>房山区长阳镇昊天北大街48号208号楼15层B座1501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</si>
</sst>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alignment horizontal="left" vertical="center"/>
    </xf>
    <xf numFmtId="0" fontId="107" fillId="0" borderId="1" xfId="0" applyFont="1" applyBorder="1" applyAlignment="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07" fillId="0" borderId="1" xfId="0" applyFont="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228599</xdr:colOff>
      <xdr:row>0</xdr:row>
      <xdr:rowOff>114300</xdr:rowOff>
    </xdr:from>
    <xdr:to>
      <xdr:col>7</xdr:col>
      <xdr:colOff>579896</xdr:colOff>
      <xdr:row>11</xdr:row>
      <xdr:rowOff>130422</xdr:rowOff>
    </xdr:to>
    <xdr:pic>
      <xdr:nvPicPr>
        <xdr:cNvPr id="2" name="图片 1"/>
        <xdr:cNvPicPr>
          <a:picLocks noChangeAspect="1"/>
        </xdr:cNvPicPr>
      </xdr:nvPicPr>
      <xdr:blipFill>
        <a:blip xmlns:r="http://schemas.openxmlformats.org/officeDocument/2006/relationships" r:embed="rId1"/>
        <a:stretch>
          <a:fillRect/>
        </a:stretch>
      </xdr:blipFill>
      <xdr:spPr>
        <a:xfrm>
          <a:off x="228599" y="114300"/>
          <a:ext cx="5151897" cy="1902072"/>
        </a:xfrm>
        <a:prstGeom prst="rect">
          <a:avLst/>
        </a:prstGeom>
      </xdr:spPr>
    </xdr:pic>
    <xdr:clientData/>
  </xdr:twoCellAnchor>
  <xdr:twoCellAnchor editAs="oneCell">
    <xdr:from>
      <xdr:col>0</xdr:col>
      <xdr:colOff>147741</xdr:colOff>
      <xdr:row>11</xdr:row>
      <xdr:rowOff>133350</xdr:rowOff>
    </xdr:from>
    <xdr:to>
      <xdr:col>7</xdr:col>
      <xdr:colOff>523875</xdr:colOff>
      <xdr:row>29</xdr:row>
      <xdr:rowOff>90441</xdr:rowOff>
    </xdr:to>
    <xdr:pic>
      <xdr:nvPicPr>
        <xdr:cNvPr id="3" name="图片 2"/>
        <xdr:cNvPicPr>
          <a:picLocks noChangeAspect="1"/>
        </xdr:cNvPicPr>
      </xdr:nvPicPr>
      <xdr:blipFill>
        <a:blip xmlns:r="http://schemas.openxmlformats.org/officeDocument/2006/relationships" r:embed="rId2"/>
        <a:stretch>
          <a:fillRect/>
        </a:stretch>
      </xdr:blipFill>
      <xdr:spPr>
        <a:xfrm>
          <a:off x="147741" y="2019300"/>
          <a:ext cx="5176734" cy="3043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估价对象为北京市房地产，为所有。根据《国有土地使用证》[]，估价对象（分摊）出让国有建设用地使用权面积为0平方米，建筑面积为684.23平方米。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估价对象为北京市房地产,属开发建设的，该项目尚在开发建设中。根据《国有土地使用证》[]，估价对象（分摊）出让国有建设用地使用权面积为0平方米，规划建筑面积为684.23平方米。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2023年3月30日（评估专业人员实地查勘之日）</v>
      </c>
    </row>
    <row r="13" spans="1:2" s="1203" customFormat="1">
      <c r="A13" s="1201" t="s">
        <v>529</v>
      </c>
      <c r="B13" s="1202"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798</v>
      </c>
    </row>
    <row r="21" spans="1:2" s="1203" customFormat="1">
      <c r="A21" s="1201" t="s">
        <v>537</v>
      </c>
      <c r="B21" s="1202">
        <f ca="1">'预评函-2'!D7</f>
        <v>11657</v>
      </c>
    </row>
    <row r="22" spans="1:2" s="1203" customFormat="1">
      <c r="A22" s="1201" t="s">
        <v>538</v>
      </c>
      <c r="B22" s="1202" t="str">
        <f ca="1">'预评函-2'!D6</f>
        <v>柒佰玖拾捌万元整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798</v>
      </c>
    </row>
    <row r="31" spans="1:2" s="1203" customFormat="1">
      <c r="A31" s="1201" t="s">
        <v>576</v>
      </c>
      <c r="B31" s="1202">
        <f ca="1">'预评函-2'!D15</f>
        <v>11657</v>
      </c>
    </row>
    <row r="32" spans="1:2" s="1203" customFormat="1">
      <c r="A32" s="1201" t="s">
        <v>543</v>
      </c>
      <c r="B32" s="1202" t="str">
        <f ca="1">'预评函-2'!D14</f>
        <v>柒佰玖拾捌万元整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684.22999999999979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45015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3.72</v>
      </c>
      <c r="D5" s="3025">
        <f>IF(ISERROR(ROUND(POWER(1+E5,A5-C5)*(POWER(1+E5,C5)-1)/(POWER(1+E5,A5)-1),3)),0,ROUND(POWER(1+E5,A5-C5)*(POWER(1+E5,C5)-1)/(POWER(1+E5,A5)-1),4))</f>
        <v>0.17150000000000001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13.73</v>
      </c>
      <c r="D6" s="3025">
        <f>IF(ISERROR(ROUND(POWER(1+E6,A6-C6)*(POWER(1+E6,C6)-1)/(POWER(1+E6,A6)-1),3)),0,ROUND(POWER(1+E6,A6-C6)*(POWER(1+E6,C6)-1)/(POWER(1+E6,A6)-1),4))</f>
        <v>0.48459999999999998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33.74</v>
      </c>
      <c r="D7" s="3025">
        <f>IF(ISERROR(ROUND(POWER(1+E7,A7-C7)*(POWER(1+E7,C7)-1)/(POWER(1+E7,A7)-1),3)),0,ROUND(POWER(1+E7,A7-C7)*(POWER(1+E7,C7)-1)/(POWER(1+E7,A7)-1),4))</f>
        <v>0.78410000000000002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6" sqref="E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45015</v>
      </c>
      <c r="C3" s="2374" t="s">
        <v>2171</v>
      </c>
      <c r="D3" s="2373">
        <f>B3</f>
        <v>45015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06" t="s">
        <v>2177</v>
      </c>
      <c r="E8" s="2391"/>
      <c r="F8" s="2392"/>
      <c r="G8" s="2663"/>
      <c r="H8" s="2663"/>
      <c r="I8" s="2663"/>
      <c r="J8" s="2439"/>
      <c r="K8" s="2614"/>
      <c r="L8" s="2613"/>
      <c r="M8" s="2613"/>
      <c r="N8" s="2439"/>
      <c r="O8" s="2450"/>
      <c r="P8" s="2439"/>
      <c r="Q8" s="2439"/>
      <c r="R8" s="2439"/>
    </row>
    <row r="9" spans="1:30" ht="13.5" thickBot="1">
      <c r="A9" s="2393" t="s">
        <v>2178</v>
      </c>
      <c r="B9" s="2394" t="s">
        <v>3419</v>
      </c>
      <c r="C9" s="2395"/>
      <c r="D9" s="3507"/>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53046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684.22999999999979</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684.22999999999979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684.22999999999979</v>
      </c>
      <c r="H5" s="13">
        <f t="shared" ref="H5:AT5" si="0">SUM(H13:H656)</f>
        <v>684.22999999999979</v>
      </c>
      <c r="I5" s="13">
        <f t="shared" si="0"/>
        <v>684.22999999999979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684.22999999999979</v>
      </c>
      <c r="BA5" s="15">
        <f t="shared" si="1"/>
        <v>684.22999999999979</v>
      </c>
      <c r="BB5" s="15">
        <f t="shared" si="1"/>
        <v>684.22999999999979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3422</v>
      </c>
      <c r="E13" s="13">
        <f>IF($C$3="是",ROUND($A$3*G13/$B$3,2),ROUND($A$3*(G13-AT13)/$B$3,2))</f>
        <v>0</v>
      </c>
      <c r="F13" s="29"/>
      <c r="G13" s="30">
        <f>H13+AC13+AT13</f>
        <v>35.26</v>
      </c>
      <c r="H13" s="17">
        <f>SUMIF(I$12:AB$12,"总值",I13:AB13)</f>
        <v>35.26</v>
      </c>
      <c r="I13" s="1626">
        <f>面积明细!F2</f>
        <v>35.26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35.26</v>
      </c>
      <c r="BA13" s="13">
        <f>SUM(BB13:BK13)</f>
        <v>35.26</v>
      </c>
      <c r="BB13" s="13">
        <f>IF($D13="是",I13-J13,0)</f>
        <v>35.26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3422</v>
      </c>
      <c r="E14" s="13">
        <f>IF($C$3="是",ROUND($A$3*G14/$B$3,2),ROUND($A$3*(G14-AT14)/$B$3,2))</f>
        <v>0</v>
      </c>
      <c r="F14" s="29"/>
      <c r="G14" s="30">
        <f>H14+AC14+AT14</f>
        <v>648.9699999999998</v>
      </c>
      <c r="H14" s="17">
        <f>SUMIF(I$12:AB$12,"总值",I14:AB14)</f>
        <v>648.9699999999998</v>
      </c>
      <c r="I14" s="1626">
        <f>SUM(面积明细!F3:F16)</f>
        <v>648.9699999999998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648.9699999999998</v>
      </c>
      <c r="BA14" s="13">
        <f>SUM(BB14:BK14)</f>
        <v>648.9699999999998</v>
      </c>
      <c r="BB14" s="13">
        <f>IF($D14="是",I14-J14,0)</f>
        <v>648.9699999999998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62" sqref="H6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684.22999999999979</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684.22999999999979</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684.22999999999979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684.22999999999979</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1501</v>
      </c>
      <c r="D19" s="45">
        <f>ROUND($D$3*E19/$E$3,2)</f>
        <v>0</v>
      </c>
      <c r="E19" s="53">
        <f t="shared" ref="E19:E26" si="1">SUM(F19:G19)</f>
        <v>35.26</v>
      </c>
      <c r="F19" s="2795">
        <f>'数据-基础表'!I13</f>
        <v>35.26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35.26</v>
      </c>
    </row>
    <row r="20" spans="1:19">
      <c r="A20" s="1670"/>
      <c r="B20" s="47" t="s">
        <v>1153</v>
      </c>
      <c r="C20" s="3417" t="s">
        <v>3425</v>
      </c>
      <c r="D20" s="45">
        <f t="shared" ref="D20:D26" si="6">ROUND($D$3*E20/$E$3,2)</f>
        <v>0</v>
      </c>
      <c r="E20" s="53">
        <f t="shared" si="1"/>
        <v>648.9699999999998</v>
      </c>
      <c r="F20" s="2795">
        <f>'数据-基础表'!I14</f>
        <v>648.9699999999998</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648.9699999999998</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684.22999999999979</v>
      </c>
      <c r="F27" s="1140">
        <f>IF(SUM(F19:F26)=E8,SUM(F19:F26),"地上面积有误")</f>
        <v>684.22999999999979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684.22999999999979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684.22999999999979</v>
      </c>
      <c r="F31" s="677">
        <f>F27+F30</f>
        <v>684.22999999999979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9"/>
  <sheetViews>
    <sheetView workbookViewId="0">
      <selection activeCell="F29" sqref="F29"/>
    </sheetView>
  </sheetViews>
  <sheetFormatPr defaultRowHeight="12"/>
  <cols>
    <col min="1" max="1" width="4.5" style="3450" customWidth="1"/>
    <col min="2" max="2" width="22.25" style="3450" bestFit="1" customWidth="1"/>
    <col min="3" max="3" width="21.75" style="3450" bestFit="1" customWidth="1"/>
    <col min="4" max="4" width="37.5" style="3450" customWidth="1"/>
    <col min="5" max="16384" width="9" style="3450"/>
  </cols>
  <sheetData>
    <row r="1" spans="1:8">
      <c r="A1" s="3451" t="s">
        <v>3378</v>
      </c>
      <c r="B1" s="3451" t="s">
        <v>3388</v>
      </c>
      <c r="C1" s="3451" t="s">
        <v>3380</v>
      </c>
      <c r="D1" s="3451" t="s">
        <v>3382</v>
      </c>
      <c r="E1" s="3451" t="s">
        <v>2546</v>
      </c>
      <c r="F1" s="3451" t="s">
        <v>3384</v>
      </c>
      <c r="G1" s="3450" t="s">
        <v>3385</v>
      </c>
      <c r="H1" s="3450">
        <v>16</v>
      </c>
    </row>
    <row r="2" spans="1:8">
      <c r="A2" s="3451">
        <v>1</v>
      </c>
      <c r="B2" s="3540" t="s">
        <v>3389</v>
      </c>
      <c r="C2" s="3451" t="s">
        <v>3381</v>
      </c>
      <c r="D2" s="3451" t="s">
        <v>3454</v>
      </c>
      <c r="E2" s="3451" t="s">
        <v>3383</v>
      </c>
      <c r="F2" s="3451">
        <v>35.26</v>
      </c>
      <c r="G2" s="3450" t="s">
        <v>3416</v>
      </c>
      <c r="H2" s="3450">
        <v>2007</v>
      </c>
    </row>
    <row r="3" spans="1:8">
      <c r="A3" s="3451">
        <v>2</v>
      </c>
      <c r="B3" s="3540"/>
      <c r="C3" s="3451" t="s">
        <v>3386</v>
      </c>
      <c r="D3" s="3451" t="s">
        <v>3387</v>
      </c>
      <c r="E3" s="3451" t="s">
        <v>3383</v>
      </c>
      <c r="F3" s="3451">
        <v>33.25</v>
      </c>
    </row>
    <row r="4" spans="1:8">
      <c r="A4" s="3451">
        <v>3</v>
      </c>
      <c r="B4" s="3540"/>
      <c r="C4" s="3451" t="s">
        <v>3391</v>
      </c>
      <c r="D4" s="3451" t="s">
        <v>3390</v>
      </c>
      <c r="E4" s="3451" t="s">
        <v>3383</v>
      </c>
      <c r="F4" s="3451">
        <v>33.25</v>
      </c>
    </row>
    <row r="5" spans="1:8">
      <c r="A5" s="3451">
        <v>4</v>
      </c>
      <c r="B5" s="3540"/>
      <c r="C5" s="3451" t="s">
        <v>3392</v>
      </c>
      <c r="D5" s="3451" t="s">
        <v>3415</v>
      </c>
      <c r="E5" s="3451" t="s">
        <v>3383</v>
      </c>
      <c r="F5" s="3451">
        <v>56.74</v>
      </c>
    </row>
    <row r="6" spans="1:8">
      <c r="A6" s="3451">
        <v>5</v>
      </c>
      <c r="B6" s="3540"/>
      <c r="C6" s="3451" t="s">
        <v>3393</v>
      </c>
      <c r="D6" s="3451" t="s">
        <v>3394</v>
      </c>
      <c r="E6" s="3451" t="s">
        <v>3383</v>
      </c>
      <c r="F6" s="3451">
        <v>45.61</v>
      </c>
    </row>
    <row r="7" spans="1:8">
      <c r="A7" s="3451">
        <v>6</v>
      </c>
      <c r="B7" s="3540"/>
      <c r="C7" s="3451" t="s">
        <v>3405</v>
      </c>
      <c r="D7" s="3451" t="s">
        <v>3395</v>
      </c>
      <c r="E7" s="3451" t="s">
        <v>3383</v>
      </c>
      <c r="F7" s="3451">
        <v>47.08</v>
      </c>
    </row>
    <row r="8" spans="1:8">
      <c r="A8" s="3451">
        <v>7</v>
      </c>
      <c r="B8" s="3540"/>
      <c r="C8" s="3451" t="s">
        <v>3406</v>
      </c>
      <c r="D8" s="3451" t="s">
        <v>3396</v>
      </c>
      <c r="E8" s="3451" t="s">
        <v>3383</v>
      </c>
      <c r="F8" s="3451">
        <v>47.66</v>
      </c>
    </row>
    <row r="9" spans="1:8">
      <c r="A9" s="3451">
        <v>8</v>
      </c>
      <c r="B9" s="3540"/>
      <c r="C9" s="3451" t="s">
        <v>3407</v>
      </c>
      <c r="D9" s="3451" t="s">
        <v>3397</v>
      </c>
      <c r="E9" s="3451" t="s">
        <v>3383</v>
      </c>
      <c r="F9" s="3451">
        <v>47.66</v>
      </c>
    </row>
    <row r="10" spans="1:8">
      <c r="A10" s="3451">
        <v>9</v>
      </c>
      <c r="B10" s="3540"/>
      <c r="C10" s="3451" t="s">
        <v>3408</v>
      </c>
      <c r="D10" s="3451" t="s">
        <v>3398</v>
      </c>
      <c r="E10" s="3451" t="s">
        <v>3383</v>
      </c>
      <c r="F10" s="3451">
        <v>47.66</v>
      </c>
    </row>
    <row r="11" spans="1:8">
      <c r="A11" s="3451">
        <v>10</v>
      </c>
      <c r="B11" s="3540"/>
      <c r="C11" s="3451" t="s">
        <v>3409</v>
      </c>
      <c r="D11" s="3451" t="s">
        <v>3399</v>
      </c>
      <c r="E11" s="3451" t="s">
        <v>3383</v>
      </c>
      <c r="F11" s="3451">
        <v>47.66</v>
      </c>
    </row>
    <row r="12" spans="1:8">
      <c r="A12" s="3451">
        <v>11</v>
      </c>
      <c r="B12" s="3540"/>
      <c r="C12" s="3451" t="s">
        <v>3410</v>
      </c>
      <c r="D12" s="3451" t="s">
        <v>3400</v>
      </c>
      <c r="E12" s="3451" t="s">
        <v>3383</v>
      </c>
      <c r="F12" s="3451">
        <v>47.66</v>
      </c>
    </row>
    <row r="13" spans="1:8">
      <c r="A13" s="3451">
        <v>12</v>
      </c>
      <c r="B13" s="3540"/>
      <c r="C13" s="3451" t="s">
        <v>3411</v>
      </c>
      <c r="D13" s="3451" t="s">
        <v>3401</v>
      </c>
      <c r="E13" s="3451" t="s">
        <v>3383</v>
      </c>
      <c r="F13" s="3451">
        <v>47.66</v>
      </c>
    </row>
    <row r="14" spans="1:8">
      <c r="A14" s="3451">
        <v>13</v>
      </c>
      <c r="B14" s="3540"/>
      <c r="C14" s="3451" t="s">
        <v>3412</v>
      </c>
      <c r="D14" s="3451" t="s">
        <v>3402</v>
      </c>
      <c r="E14" s="3451" t="s">
        <v>3383</v>
      </c>
      <c r="F14" s="3451">
        <v>47.66</v>
      </c>
    </row>
    <row r="15" spans="1:8">
      <c r="A15" s="3451">
        <v>14</v>
      </c>
      <c r="B15" s="3540"/>
      <c r="C15" s="3451" t="s">
        <v>3413</v>
      </c>
      <c r="D15" s="3451" t="s">
        <v>3403</v>
      </c>
      <c r="E15" s="3451" t="s">
        <v>3383</v>
      </c>
      <c r="F15" s="3451">
        <v>47.88</v>
      </c>
    </row>
    <row r="16" spans="1:8">
      <c r="A16" s="3451">
        <v>15</v>
      </c>
      <c r="B16" s="3540"/>
      <c r="C16" s="3451" t="s">
        <v>3414</v>
      </c>
      <c r="D16" s="3451" t="s">
        <v>3404</v>
      </c>
      <c r="E16" s="3451" t="s">
        <v>3383</v>
      </c>
      <c r="F16" s="3451">
        <v>51.54</v>
      </c>
    </row>
    <row r="17" spans="1:7">
      <c r="A17" s="3540" t="s">
        <v>3379</v>
      </c>
      <c r="B17" s="3540"/>
      <c r="C17" s="3540"/>
      <c r="D17" s="3540"/>
      <c r="E17" s="3540"/>
      <c r="F17" s="3451">
        <f>SUM(F2:F16)</f>
        <v>684.22999999999979</v>
      </c>
    </row>
    <row r="18" spans="1:7">
      <c r="F18" s="3450">
        <v>11000</v>
      </c>
      <c r="G18" s="3450">
        <f>F18*F17/10000</f>
        <v>752.65299999999979</v>
      </c>
    </row>
    <row r="19" spans="1:7">
      <c r="F19" s="3450">
        <v>12000</v>
      </c>
      <c r="G19" s="3450">
        <f>F19*F17/10000</f>
        <v>821.07599999999968</v>
      </c>
    </row>
  </sheetData>
  <mergeCells count="2">
    <mergeCell ref="B2:B16"/>
    <mergeCell ref="A17:E17"/>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G30" sqref="AG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1501</v>
      </c>
      <c r="B6" s="1713" t="str">
        <f>IF(A6=0,"","经营性")</f>
        <v>经营性</v>
      </c>
      <c r="C6" s="1714" t="s">
        <v>673</v>
      </c>
      <c r="D6" s="858">
        <f>SUMIF(项目基本情况!C$12:I$12,C6,项目基本情况!C$14:I$14)</f>
        <v>40</v>
      </c>
      <c r="E6" s="857">
        <f>IF(B6="","",SUMIF(项目基本情况!C$12:I$12,C6,项目基本情况!C$13:I$13))</f>
        <v>53046</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35.26</v>
      </c>
      <c r="L6" s="733">
        <v>3500</v>
      </c>
      <c r="M6" s="67">
        <f t="shared" ref="M6:M14" si="0">ROUND(K6*L6/10000,0)</f>
        <v>12</v>
      </c>
      <c r="N6" s="731">
        <f>N21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1.6</v>
      </c>
      <c r="V6" s="70">
        <v>2.5000000000000001E-2</v>
      </c>
      <c r="W6" s="70">
        <v>0.1</v>
      </c>
      <c r="X6" s="1040"/>
      <c r="Y6" s="71">
        <f>N6</f>
        <v>0.82</v>
      </c>
      <c r="Z6" s="72"/>
      <c r="AA6" s="66"/>
      <c r="AB6" s="66"/>
      <c r="AC6" s="1040"/>
      <c r="AD6" s="73"/>
      <c r="AE6" s="1041">
        <f ca="1">IF(AN6="",0,SUMIF(INDIRECT("'"&amp;AN6&amp;"'"&amp;"!E:E"),$AE$5,INDIRECT("'"&amp;AN6&amp;"'"&amp;"!F:F")))</f>
        <v>22</v>
      </c>
      <c r="AF6" s="1348"/>
      <c r="AG6" s="138">
        <f>IF(AF6="",0,AE6-AF6)</f>
        <v>0</v>
      </c>
      <c r="AH6" s="74"/>
      <c r="AI6" s="76">
        <v>365</v>
      </c>
      <c r="AJ6" s="77"/>
      <c r="AK6" s="78">
        <v>0.01</v>
      </c>
      <c r="AL6" s="79">
        <v>1.5E-3</v>
      </c>
      <c r="AM6" s="80">
        <v>0.01</v>
      </c>
      <c r="AN6" s="1715" t="s">
        <v>3431</v>
      </c>
      <c r="AO6" s="52">
        <f ca="1">SUMIF(INDIRECT("'"&amp;AN6&amp;"'"&amp;"!A:A"),"总价",INDIRECT("'"&amp;AN6&amp;"'"&amp;"!B:B"))</f>
        <v>22.245799999999999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剩余商业</v>
      </c>
      <c r="B7" s="1713" t="str">
        <f t="shared" ref="B7:B13" si="1">IF(A7=0,"","经营性")</f>
        <v>经营性</v>
      </c>
      <c r="C7" s="1714" t="s">
        <v>673</v>
      </c>
      <c r="D7" s="858">
        <f>SUMIF(项目基本情况!C$12:I$12,C7,项目基本情况!C$14:I$14)</f>
        <v>40</v>
      </c>
      <c r="E7" s="857">
        <f>IF(B7="","",SUMIF(项目基本情况!C$12:I$12,C7,项目基本情况!C$13:I$13))</f>
        <v>53046</v>
      </c>
      <c r="F7" s="64">
        <f>SUMIF(项目基本情况!C$12:I$12,C7,项目基本情况!C$15:I$15)</f>
        <v>22</v>
      </c>
      <c r="G7" s="65">
        <f t="shared" ref="G7:G11" si="2">IF(ISERROR(ROUND(POWER(1+H7,D7-F7)*(POWER(1+H7,F7)-1)/(POWER(1+H7,D7)-1),3)),0,ROUND(POWER(1+H7,D7-F7)*(POWER(1+H7,F7)-1)/(POWER(1+H7,D7)-1),3))</f>
        <v>0</v>
      </c>
      <c r="H7" s="732"/>
      <c r="I7" s="732"/>
      <c r="J7" s="66"/>
      <c r="K7" s="1030">
        <f>SUMIF('数据-汇总表'!C$19:C$33,A7,'数据-汇总表'!E$19:E$33)</f>
        <v>648.9699999999998</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684.22999999999979</v>
      </c>
      <c r="L16" s="93">
        <f>ROUND(M16*10000/SUM(K6:K14),0)</f>
        <v>175</v>
      </c>
      <c r="M16" s="93">
        <f>SUM(M6:M14)</f>
        <v>12</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3427</v>
      </c>
      <c r="N19" s="2671">
        <f>ROUND(1-(2023-N18)/60,2)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52" t="s">
        <v>3428</v>
      </c>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2" t="s">
        <v>3429</v>
      </c>
      <c r="N21" s="2671">
        <f>ROUND((N20+N19)/2,2)</f>
        <v>0.82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7052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3430</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684.22999999999979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821.07599999999968</v>
      </c>
      <c r="C5" s="2512">
        <f ca="1">IF(B5=D14,结果表!H102,ROUND(B5*10000/$B$1,0))</f>
        <v>11657</v>
      </c>
      <c r="D5" s="2512" t="e">
        <f>ROUND(B5*10000/$B$2,0)</f>
        <v>#DIV/0!</v>
      </c>
      <c r="E5" s="2686"/>
      <c r="F5" s="2687"/>
      <c r="G5" s="2687"/>
      <c r="H5" s="2688"/>
      <c r="I5" s="2688"/>
      <c r="J5" s="2688"/>
      <c r="K5" s="2688"/>
    </row>
    <row r="6" spans="1:11" ht="16.5">
      <c r="A6" s="2512" t="s">
        <v>656</v>
      </c>
      <c r="B6" s="2512">
        <f>SUM(G14:G23)</f>
        <v>821.07599999999968</v>
      </c>
      <c r="C6" s="2512">
        <f ca="1">IF(B6=G14,结果表!H108,ROUND(B6*10000/$B$1,0))</f>
        <v>11657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面积明细!F17</f>
        <v>684.22999999999979</v>
      </c>
      <c r="C14" s="2518"/>
      <c r="D14" s="2518">
        <f>面积明细!G19</f>
        <v>821.07599999999968</v>
      </c>
      <c r="E14" s="2518">
        <f>ROUND(D14*10000/B14,0)</f>
        <v>12000</v>
      </c>
      <c r="F14" s="2518" t="e">
        <f>ROUND(D14*10000/C14,0)</f>
        <v>#DIV/0!</v>
      </c>
      <c r="G14" s="2518">
        <f>D14</f>
        <v>821.07599999999968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44" sqref="M4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3451</v>
      </c>
      <c r="D4" s="1756" t="s">
        <v>3431</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8</v>
      </c>
      <c r="D14" s="3580">
        <v>2</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7" t="s">
        <v>2131</v>
      </c>
      <c r="F18" s="3568"/>
      <c r="G18" s="3568"/>
      <c r="H18" s="3568"/>
      <c r="I18" s="3568"/>
      <c r="K18" s="302" t="s">
        <v>1289</v>
      </c>
      <c r="L18" s="302">
        <f>IF(C1="",'数据-汇总表'!E3,SUMIF(项目类型,C1,'数据-汇总表'!E17:E26)+SUMIF(项目类型,C1,'数据-汇总表'!I17:I26))</f>
        <v>684.22999999999979</v>
      </c>
      <c r="M18" s="302">
        <f>IF(C1="",'数据-汇总表'!E3,SUMIF(项目类型,C1,'数据-汇总表'!E17:E26))</f>
        <v>684.22999999999979</v>
      </c>
    </row>
    <row r="19" spans="1:36" ht="15">
      <c r="A19" s="1761" t="s">
        <v>1290</v>
      </c>
      <c r="B19" s="1762" t="s">
        <v>1291</v>
      </c>
      <c r="C19" s="134">
        <f ca="1">SUMIF(INDIRECT("'"&amp;C4&amp;"'"&amp;"!A:A"),结果表!B19,INDIRECT("'"&amp;C4&amp;"'"&amp;"!B:B"))</f>
        <v>45.815199999999997</v>
      </c>
      <c r="D19" s="135">
        <f ca="1">SUMIF(INDIRECT("'"&amp;D4&amp;"'"&amp;"!A:A"),结果表!B19,INDIRECT("'"&amp;D4&amp;"'"&amp;"!B:B"))</f>
        <v>22.245799999999999</v>
      </c>
      <c r="E19" s="1761" t="s">
        <v>1292</v>
      </c>
      <c r="F19" s="1762" t="s">
        <v>1291</v>
      </c>
      <c r="G19" s="136">
        <f ca="1">ROUND(C19*$C$18+D19*$D$18,0)</f>
        <v>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12994</v>
      </c>
      <c r="D20" s="138">
        <f ca="1">SUMIF(INDIRECT("'"&amp;D4&amp;"'"&amp;"!A:A"),结果表!B20,INDIRECT("'"&amp;D4&amp;"'"&amp;"!B:B"))</f>
        <v>6309</v>
      </c>
      <c r="E20" s="1764"/>
      <c r="F20" s="1026" t="s">
        <v>1295</v>
      </c>
      <c r="G20" s="139">
        <f ca="1">ROUND(C20*$C$18+D20*$D$18,0)</f>
        <v>11657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1.0594988716971292</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11657</v>
      </c>
      <c r="D32" s="1775" t="s">
        <v>3452</v>
      </c>
      <c r="E32" s="129"/>
      <c r="F32" s="129"/>
      <c r="G32" s="129"/>
      <c r="H32" s="129"/>
      <c r="I32" s="129"/>
    </row>
    <row r="33" spans="1:15" ht="15">
      <c r="A33" s="786" t="s">
        <v>1306</v>
      </c>
      <c r="B33" s="1776"/>
      <c r="C33" s="1777" t="s">
        <v>3453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798</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45015</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7" t="s">
        <v>1340</v>
      </c>
      <c r="L48" s="3607"/>
      <c r="M48" s="3629">
        <f ca="1">H101</f>
        <v>798</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42</v>
      </c>
      <c r="E52" s="2334" t="s">
        <v>1354</v>
      </c>
      <c r="F52" s="2554">
        <f>'数据-取费表'!B41</f>
        <v>5.5000000000000007E-2</v>
      </c>
      <c r="G52" s="2555"/>
      <c r="H52" s="2544"/>
      <c r="I52" s="1807"/>
      <c r="J52" s="2523">
        <v>1</v>
      </c>
      <c r="K52" s="3608" t="s">
        <v>1355</v>
      </c>
      <c r="L52" s="3608"/>
      <c r="M52" s="2525" t="b">
        <f>D48</f>
        <v>0</v>
      </c>
      <c r="N52" s="2523" t="str">
        <f>E48</f>
        <v>销售额×税（费）率</v>
      </c>
      <c r="O52" s="2526">
        <f>F48</f>
        <v>5.5000000000000007E-2</v>
      </c>
    </row>
    <row r="53" spans="1:35" ht="12" customHeight="1">
      <c r="A53" s="2335" t="s">
        <v>1356</v>
      </c>
      <c r="B53" s="3569" t="s">
        <v>2291</v>
      </c>
      <c r="C53" s="3570"/>
      <c r="D53" s="1087">
        <f ca="1">ROUND(D45*'数据-取费表'!B41/(1+'数据-取费表'!C42),0)</f>
        <v>42</v>
      </c>
      <c r="E53" s="2334" t="s">
        <v>1354</v>
      </c>
      <c r="F53" s="2554">
        <f>'数据-取费表'!B41</f>
        <v>5.5000000000000007E-2</v>
      </c>
      <c r="G53" s="2555"/>
      <c r="H53" s="2544"/>
      <c r="I53" s="1807"/>
      <c r="J53" s="2523">
        <v>2</v>
      </c>
      <c r="K53" s="3608" t="s">
        <v>1357</v>
      </c>
      <c r="L53" s="3608"/>
      <c r="M53" s="2525">
        <f t="shared" ref="M53:O54" ca="1" si="0">D55</f>
        <v>0</v>
      </c>
      <c r="N53" s="2523" t="str">
        <f t="shared" si="0"/>
        <v>销售额×税（费）率</v>
      </c>
      <c r="O53" s="2526" t="str">
        <f t="shared" si="0"/>
        <v>免征</v>
      </c>
    </row>
    <row r="54" spans="1:35" ht="12" customHeight="1">
      <c r="A54" s="2335" t="s">
        <v>1358</v>
      </c>
      <c r="B54" s="3569" t="s">
        <v>2292</v>
      </c>
      <c r="C54" s="3570"/>
      <c r="D54" s="1087">
        <f ca="1">C68</f>
        <v>42</v>
      </c>
      <c r="E54" s="327" t="s">
        <v>1359</v>
      </c>
      <c r="F54" s="2554">
        <f>'数据-取费表'!B41</f>
        <v>5.5000000000000007E-2</v>
      </c>
      <c r="G54" s="2555"/>
      <c r="H54" s="2556"/>
      <c r="I54" s="1807"/>
      <c r="J54" s="2523">
        <v>3</v>
      </c>
      <c r="K54" s="3608" t="s">
        <v>1360</v>
      </c>
      <c r="L54" s="3608"/>
      <c r="M54" s="2525">
        <f t="shared" ca="1" si="0"/>
        <v>452</v>
      </c>
      <c r="N54" s="2523" t="str">
        <f t="shared" si="0"/>
        <v>增值额×税（费）率</v>
      </c>
      <c r="O54" s="2527" t="str">
        <f t="shared" si="0"/>
        <v>免征</v>
      </c>
    </row>
    <row r="55" spans="1:35" ht="24" customHeight="1">
      <c r="A55" s="3558" t="s">
        <v>1361</v>
      </c>
      <c r="B55" s="3559"/>
      <c r="C55" s="3559"/>
      <c r="D55" s="2324">
        <f ca="1">IF(H55="个人住宅",0,ROUND(D45*I55,0))</f>
        <v>0</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8</v>
      </c>
      <c r="N55" s="2040" t="str">
        <f>E59</f>
        <v>差额计税</v>
      </c>
      <c r="O55" s="2529">
        <f>F59</f>
        <v>0.01</v>
      </c>
    </row>
    <row r="56" spans="1:35" ht="24.75">
      <c r="A56" s="3558" t="s">
        <v>1363</v>
      </c>
      <c r="B56" s="3559"/>
      <c r="C56" s="3559"/>
      <c r="D56" s="2324">
        <f ca="1">IF(H56="个人住宅",D57,D58)</f>
        <v>452</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460</v>
      </c>
      <c r="O57" s="2533"/>
      <c r="P57" s="2690" t="e">
        <f ca="1">N57/M49</f>
        <v>#VALUE!</v>
      </c>
    </row>
    <row r="58" spans="1:35" ht="24.75">
      <c r="A58" s="2335" t="s">
        <v>1352</v>
      </c>
      <c r="B58" s="3569" t="s">
        <v>1369</v>
      </c>
      <c r="C58" s="3543"/>
      <c r="D58" s="2324">
        <f ca="1">IF(H58="转让取得",C81,C97)</f>
        <v>452</v>
      </c>
      <c r="E58" s="2334" t="s">
        <v>1364</v>
      </c>
      <c r="F58" s="302" t="s">
        <v>28</v>
      </c>
      <c r="G58" s="2555"/>
      <c r="H58" s="2558"/>
      <c r="I58" s="1808"/>
      <c r="J58" s="3608"/>
      <c r="K58" s="3608"/>
      <c r="L58" s="2530" t="s">
        <v>1370</v>
      </c>
      <c r="M58" s="2534"/>
      <c r="N58" s="2535" t="str">
        <f ca="1">NUMBERSTRING(INT(N57*10000),2)&amp;"元整"</f>
        <v>肆佰陆拾万元整</v>
      </c>
      <c r="O58" s="2536"/>
    </row>
    <row r="59" spans="1:35" ht="24.75" thickBot="1">
      <c r="A59" s="3611" t="s">
        <v>1371</v>
      </c>
      <c r="B59" s="3612"/>
      <c r="C59" s="3612"/>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0"/>
      <c r="K60" s="3608"/>
      <c r="L60" s="2530" t="s">
        <v>1370</v>
      </c>
      <c r="M60" s="2534"/>
      <c r="N60" s="2535" t="e">
        <f ca="1">NUMBERSTRING(INT(N59*10000),2)&amp;"元整"</f>
        <v>#VALUE!</v>
      </c>
      <c r="O60" s="2536"/>
    </row>
    <row r="61" spans="1:35" ht="13.5" thickBot="1">
      <c r="A61" s="3556" t="s">
        <v>1373</v>
      </c>
      <c r="B61" s="3556"/>
      <c r="C61" s="3556"/>
      <c r="D61" s="3556"/>
      <c r="E61" s="3556"/>
      <c r="F61" s="1808"/>
      <c r="G61" s="1808"/>
      <c r="H61" s="1810"/>
      <c r="I61" s="129"/>
      <c r="J61" s="2523">
        <f>J59+1</f>
        <v>7</v>
      </c>
      <c r="K61" s="3608" t="s">
        <v>1374</v>
      </c>
      <c r="L61" s="3608"/>
      <c r="M61" s="2540"/>
      <c r="N61" s="2541" t="e">
        <f ca="1">ROUND(N59*10000/'数据-汇总表'!E3,0)</f>
        <v>#VALUE!</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760</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798</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M49*0.5%</f>
        <v>#VALUE!</v>
      </c>
      <c r="M66" s="302" t="e">
        <f>IF(L66&gt;0.5,0.5,ROUND(L66,0))</f>
        <v>#VALUE!</v>
      </c>
      <c r="N66" s="2544" t="s">
        <v>1388</v>
      </c>
      <c r="Z66" s="1752"/>
      <c r="AI66" s="1753"/>
    </row>
    <row r="67" spans="1:35" ht="14.25" customHeight="1">
      <c r="A67" s="173" t="s">
        <v>328</v>
      </c>
      <c r="B67" s="174" t="s">
        <v>1389</v>
      </c>
      <c r="C67" s="2568">
        <f ca="1">C63-C66</f>
        <v>760</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42</v>
      </c>
      <c r="D68" s="2570">
        <f>'数据-取费表'!B41</f>
        <v>5.5000000000000007E-2</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756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5"/>
      <c r="E100" s="3537" t="s">
        <v>1429</v>
      </c>
      <c r="F100" s="3537"/>
      <c r="G100" s="3537"/>
      <c r="H100" s="3555"/>
      <c r="I100" s="129"/>
    </row>
    <row r="101" spans="1:35" ht="18.75" customHeight="1">
      <c r="A101" s="3616" t="s">
        <v>1430</v>
      </c>
      <c r="B101" s="3617"/>
      <c r="C101" s="2585" t="str">
        <f>C4</f>
        <v>成本法 (元)</v>
      </c>
      <c r="D101" s="2586" t="str">
        <f>D4</f>
        <v>收益法 (元)</v>
      </c>
      <c r="E101" s="3630" t="s">
        <v>1431</v>
      </c>
      <c r="F101" s="3587"/>
      <c r="G101" s="1827" t="s">
        <v>1432</v>
      </c>
      <c r="H101" s="2595">
        <f ca="1">H118</f>
        <v>798</v>
      </c>
      <c r="I101" s="129"/>
    </row>
    <row r="102" spans="1:35" ht="18.75" customHeight="1">
      <c r="A102" s="3589" t="s">
        <v>1433</v>
      </c>
      <c r="B102" s="2584" t="s">
        <v>1432</v>
      </c>
      <c r="C102" s="2585">
        <f ca="1">IF(D32="楼面单价",ROUND(C19,0),C19)</f>
        <v>46</v>
      </c>
      <c r="D102" s="2586">
        <f ca="1">IF(D32="楼面单价",ROUND(D19,0),D19)</f>
        <v>22</v>
      </c>
      <c r="E102" s="3630"/>
      <c r="F102" s="3587"/>
      <c r="G102" s="1827" t="s">
        <v>1434</v>
      </c>
      <c r="H102" s="2555">
        <f ca="1">I118</f>
        <v>11657</v>
      </c>
      <c r="I102" s="129"/>
    </row>
    <row r="103" spans="1:35" ht="42.75" customHeight="1">
      <c r="A103" s="3589"/>
      <c r="B103" s="2584" t="s">
        <v>1434</v>
      </c>
      <c r="C103" s="2587">
        <f ca="1">C20</f>
        <v>12994</v>
      </c>
      <c r="D103" s="2588">
        <f ca="1">D20</f>
        <v>6309</v>
      </c>
      <c r="E103" s="3624" t="s">
        <v>1435</v>
      </c>
      <c r="F103" s="3625"/>
      <c r="G103" s="1828" t="s">
        <v>1436</v>
      </c>
      <c r="H103" s="2595">
        <f>IF(D36="正常操作",H104+H105+H106,H105+H106)</f>
        <v>0</v>
      </c>
      <c r="I103" s="129"/>
    </row>
    <row r="104" spans="1:35" ht="18.75" customHeight="1">
      <c r="A104" s="3589" t="s">
        <v>1437</v>
      </c>
      <c r="B104" s="2589" t="s">
        <v>1432</v>
      </c>
      <c r="C104" s="2590">
        <f ca="1">H118</f>
        <v>798</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11657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798</v>
      </c>
      <c r="I107" s="129"/>
    </row>
    <row r="108" spans="1:35" ht="18.75" customHeight="1">
      <c r="A108" s="129"/>
      <c r="B108" s="129"/>
      <c r="C108" s="129"/>
      <c r="D108" s="129"/>
      <c r="E108" s="3586"/>
      <c r="F108" s="3587"/>
      <c r="G108" s="1827" t="s">
        <v>1434</v>
      </c>
      <c r="H108" s="2555">
        <f ca="1">IF(H107=H101,H102,ROUND(H107*10000/'数据-汇总表'!E3,0))</f>
        <v>11657</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684.22999999999979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798</v>
      </c>
      <c r="I118" s="2329">
        <f ca="1">ROUND(IF(D32="楼面单价",C32,H118*10000/B118),0)</f>
        <v>11657</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柒佰玖拾捌万元整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798</v>
      </c>
      <c r="E122" s="3622"/>
      <c r="F122" s="3622"/>
      <c r="G122" s="3622"/>
      <c r="H122" s="3622"/>
      <c r="I122" s="3623"/>
      <c r="AA122" s="725"/>
    </row>
    <row r="123" spans="1:27" ht="18.75" customHeight="1">
      <c r="A123" s="3557" t="s">
        <v>1452</v>
      </c>
      <c r="B123" s="3557"/>
      <c r="C123" s="3557"/>
      <c r="D123" s="3597" t="str">
        <f ca="1">NUMBERSTRING(INT(D122*10000),2)&amp;"元整"</f>
        <v>柒佰玖拾捌万元整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9654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141093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7052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7052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684.22999999999979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684.22999999999979</v>
      </c>
      <c r="E19" s="211">
        <f>'数据-取费表'!B31</f>
        <v>200</v>
      </c>
      <c r="F19" s="231"/>
      <c r="G19" s="1856"/>
    </row>
    <row r="20" spans="1:7" s="214" customFormat="1" ht="13.5" customHeight="1">
      <c r="A20" s="255" t="s">
        <v>1493</v>
      </c>
      <c r="B20" s="210" t="s">
        <v>1494</v>
      </c>
      <c r="C20" s="232">
        <f ca="1">ROUND((C5+C19)*F20,0)</f>
        <v>141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1081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1081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9625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684.22999999999979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9654</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2" sqref="J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v>1501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45.815199999999997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12994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228589.22</v>
      </c>
      <c r="D5" s="211" t="s">
        <v>1469</v>
      </c>
      <c r="E5" s="212" t="s">
        <v>1470</v>
      </c>
      <c r="F5" s="212" t="s">
        <v>1471</v>
      </c>
      <c r="G5" s="213"/>
    </row>
    <row r="6" spans="1:8" s="214" customFormat="1" ht="13.5" customHeight="1">
      <c r="A6" s="778" t="s">
        <v>1472</v>
      </c>
      <c r="B6" s="215" t="s">
        <v>1473</v>
      </c>
      <c r="C6" s="216">
        <f>基准地价修正!C33*基准地价修正!D33</f>
        <v>214980.22</v>
      </c>
      <c r="D6" s="217"/>
      <c r="E6" s="218"/>
      <c r="F6" s="218"/>
      <c r="G6" s="219"/>
    </row>
    <row r="7" spans="1:8" s="214" customFormat="1" ht="13.5" customHeight="1">
      <c r="A7" s="778" t="s">
        <v>1474</v>
      </c>
      <c r="B7" s="215" t="s">
        <v>1475</v>
      </c>
      <c r="C7" s="220">
        <f>ROUND(C6*F7,0)</f>
        <v>6557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7052</v>
      </c>
      <c r="D8" s="222"/>
      <c r="E8" s="220"/>
      <c r="F8" s="221"/>
      <c r="G8" s="1856" t="s">
        <v>3449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7052</v>
      </c>
      <c r="D10" s="845">
        <f ca="1">IF(B1="",'数据-汇总表'!E6,IF(INDIRECT("'数据-取费表'!c"&amp;$G$1)="住宅",INDIRECT("'数据-取费表'!s"&amp;$G$1),INDIRECT("'数据-取费表'!k"&amp;$G$1)+INDIRECT("'数据-取费表'!s"&amp;$G$1)))</f>
        <v>35.26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35.26</v>
      </c>
      <c r="E19" s="211">
        <f>'数据-取费表'!B31</f>
        <v>200</v>
      </c>
      <c r="F19" s="231"/>
      <c r="G19" s="1856" t="s">
        <v>3450</v>
      </c>
    </row>
    <row r="20" spans="1:7" s="214" customFormat="1" ht="13.5" customHeight="1">
      <c r="A20" s="255" t="s">
        <v>1574</v>
      </c>
      <c r="B20" s="210" t="s">
        <v>1575</v>
      </c>
      <c r="C20" s="232">
        <f ca="1">ROUND((C5+C19)*F20,0)</f>
        <v>4572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19557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19367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34974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34974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311423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136015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123410</v>
      </c>
      <c r="D34" s="217"/>
      <c r="E34" s="220"/>
      <c r="F34" s="257"/>
      <c r="G34" s="219"/>
    </row>
    <row r="35" spans="1:7" ht="13.5" customHeight="1">
      <c r="A35" s="780" t="s">
        <v>351</v>
      </c>
      <c r="B35" s="215" t="s">
        <v>1527</v>
      </c>
      <c r="C35" s="220">
        <f ca="1">ROUND(C34*F35,0)</f>
        <v>3702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7052</v>
      </c>
      <c r="D37" s="217">
        <f ca="1">D19</f>
        <v>35.26</v>
      </c>
      <c r="E37" s="249">
        <f>'数据-取费表'!B35</f>
        <v>200</v>
      </c>
      <c r="F37" s="259"/>
      <c r="G37" s="261"/>
    </row>
    <row r="38" spans="1:7" ht="13.5" customHeight="1">
      <c r="A38" s="780" t="s">
        <v>354</v>
      </c>
      <c r="B38" s="215" t="s">
        <v>1533</v>
      </c>
      <c r="C38" s="220">
        <f ca="1">ROUND(C34*F38,0)</f>
        <v>1851</v>
      </c>
      <c r="D38" s="220"/>
      <c r="E38" s="220"/>
      <c r="F38" s="259">
        <f>'数据-取费表'!B36</f>
        <v>1.4999999999999999E-2</v>
      </c>
      <c r="G38" s="219" t="s">
        <v>1528</v>
      </c>
    </row>
    <row r="39" spans="1:7" s="214" customFormat="1" ht="13.5" customHeight="1">
      <c r="A39" s="255" t="s">
        <v>1534</v>
      </c>
      <c r="B39" s="210" t="s">
        <v>1535</v>
      </c>
      <c r="C39" s="232">
        <f ca="1">ROUND(C33*F20,0)</f>
        <v>2720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5758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5645</v>
      </c>
      <c r="D42" s="238"/>
      <c r="E42" s="238"/>
      <c r="F42" s="239"/>
      <c r="G42" s="3637" t="s">
        <v>1591</v>
      </c>
    </row>
    <row r="43" spans="1:7" ht="13.5" customHeight="1">
      <c r="A43" s="780" t="s">
        <v>347</v>
      </c>
      <c r="B43" s="215" t="s">
        <v>1545</v>
      </c>
      <c r="C43" s="238">
        <f ca="1">ROUND(IF('数据-取费表'!B22&lt;=1,C39*F22*'数据-取费表'!B20/2,C39*(POWER((1+F22),'数据-取费表'!B20/2)-1)),0)</f>
        <v>113</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20810</v>
      </c>
      <c r="D45" s="235">
        <f ca="1">C47</f>
        <v>3.0000000000000001E-3</v>
      </c>
      <c r="E45" s="236" t="s">
        <v>1539</v>
      </c>
      <c r="F45" s="246">
        <f ca="1">F27</f>
        <v>0.15</v>
      </c>
      <c r="G45" s="247" t="s">
        <v>1548</v>
      </c>
    </row>
    <row r="46" spans="1:7" s="214" customFormat="1" ht="13.5" customHeight="1">
      <c r="A46" s="780" t="s">
        <v>346</v>
      </c>
      <c r="B46" s="248" t="s">
        <v>1549</v>
      </c>
      <c r="C46" s="249">
        <f ca="1">ROUND((C33+C39)*F27,0)</f>
        <v>20810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178938</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146729</v>
      </c>
      <c r="D51" s="232"/>
      <c r="E51" s="232"/>
      <c r="F51" s="264"/>
      <c r="G51" s="234" t="s">
        <v>1560</v>
      </c>
    </row>
    <row r="52" spans="1:7" s="208" customFormat="1" ht="16.5" thickBot="1">
      <c r="A52" s="265" t="s">
        <v>1561</v>
      </c>
      <c r="B52" s="266"/>
      <c r="C52" s="267">
        <f ca="1">C31+C51</f>
        <v>458152</v>
      </c>
      <c r="D52" s="266"/>
      <c r="E52" s="266"/>
      <c r="F52" s="266"/>
      <c r="G52" s="268"/>
    </row>
    <row r="55" spans="1:7" ht="15">
      <c r="B55" s="270" t="s">
        <v>1562</v>
      </c>
      <c r="C55" s="271"/>
    </row>
    <row r="56" spans="1:7">
      <c r="B56" s="273" t="s">
        <v>802</v>
      </c>
      <c r="C56" s="275">
        <f ca="1">1-C57</f>
        <v>0.67999999999999994</v>
      </c>
    </row>
    <row r="57" spans="1:7">
      <c r="B57" s="273" t="s">
        <v>803</v>
      </c>
      <c r="C57" s="274">
        <f ca="1">ROUND(C51/C52,3)</f>
        <v>0.32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8023</v>
      </c>
      <c r="C2" s="276" t="s">
        <v>1595</v>
      </c>
      <c r="D2" s="276"/>
      <c r="E2" s="2806"/>
      <c r="F2" s="2806"/>
      <c r="G2" s="2806"/>
      <c r="H2" s="2806"/>
      <c r="I2" s="2806"/>
      <c r="J2" s="2806"/>
      <c r="K2" s="2806"/>
    </row>
    <row r="3" spans="1:33" ht="18" customHeight="1" thickBot="1">
      <c r="A3" s="203" t="s">
        <v>1464</v>
      </c>
      <c r="B3" s="204">
        <f ca="1">ROUND(B2*10000/IF(C1="",'数据-汇总表'!E3,INDIRECT("'数据-取费表'!K"&amp;$K$1)),0)</f>
        <v>117256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684.22999999999979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684.22999999999979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-7038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684.22999999999979</v>
      </c>
      <c r="E20" s="21">
        <f>'数据-取费表'!B28</f>
        <v>200</v>
      </c>
      <c r="F20" s="804"/>
      <c r="G20" s="12"/>
      <c r="H20" s="809"/>
      <c r="I20" s="809"/>
      <c r="J20" s="809"/>
      <c r="K20" s="810"/>
    </row>
    <row r="21" spans="1:33" s="803" customFormat="1" ht="13.5" customHeight="1">
      <c r="A21" s="790" t="s">
        <v>357</v>
      </c>
      <c r="B21" s="813" t="s">
        <v>1628</v>
      </c>
      <c r="C21" s="814">
        <f ca="1">C16+C17+C18</f>
        <v>-7038</v>
      </c>
      <c r="D21" s="815"/>
      <c r="E21" s="281"/>
      <c r="F21" s="281"/>
      <c r="G21" s="131" t="s">
        <v>1629</v>
      </c>
      <c r="H21" s="807"/>
      <c r="I21" s="807"/>
      <c r="J21" s="807"/>
      <c r="K21" s="808"/>
    </row>
    <row r="22" spans="1:33" s="803" customFormat="1" ht="13.5" customHeight="1">
      <c r="A22" s="790" t="s">
        <v>1601</v>
      </c>
      <c r="B22" s="813" t="s">
        <v>1630</v>
      </c>
      <c r="C22" s="814">
        <f ca="1">ROUND(C21*F22,0)</f>
        <v>-141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-1077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-1077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8023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1501</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22.245799999999999</v>
      </c>
      <c r="C2" s="1387" t="s">
        <v>879</v>
      </c>
      <c r="D2" s="1471">
        <f ca="1">C40+J29+L46</f>
        <v>222458</v>
      </c>
      <c r="E2" s="1388" t="s">
        <v>880</v>
      </c>
      <c r="F2" s="1389"/>
      <c r="G2" s="2706"/>
      <c r="H2" s="2695"/>
      <c r="I2" s="2695"/>
      <c r="J2" s="2695"/>
      <c r="K2" s="2696"/>
      <c r="L2" s="2695"/>
      <c r="M2" s="2695"/>
    </row>
    <row r="3" spans="1:37" ht="18" customHeight="1" thickBot="1">
      <c r="A3" s="1390" t="s">
        <v>881</v>
      </c>
      <c r="B3" s="1391">
        <f ca="1">IF(ISERROR(D2/F43),0,ROUND(D2/F43,0))</f>
        <v>6309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18556</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18533</v>
      </c>
      <c r="D6" s="155" t="s">
        <v>2106</v>
      </c>
      <c r="E6" s="302" t="s">
        <v>696</v>
      </c>
      <c r="F6" s="303">
        <f ca="1">INDIRECT("'数据-取费表'!u"&amp;$G$1)</f>
        <v>1.6</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35.26</v>
      </c>
      <c r="G7" s="1384"/>
      <c r="H7" s="304"/>
      <c r="I7" s="3643"/>
      <c r="J7" s="306"/>
      <c r="K7" s="307"/>
      <c r="L7" s="302" t="s">
        <v>697</v>
      </c>
      <c r="M7" s="303">
        <f ca="1">F7</f>
        <v>35.26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23</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146729</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123410</v>
      </c>
      <c r="D14" s="1345" t="s">
        <v>708</v>
      </c>
      <c r="E14" s="1342"/>
      <c r="F14" s="319"/>
      <c r="G14" s="1384"/>
      <c r="H14" s="982" t="s">
        <v>398</v>
      </c>
      <c r="I14" s="302" t="s">
        <v>709</v>
      </c>
      <c r="J14" s="21">
        <f ca="1">C29</f>
        <v>178938</v>
      </c>
      <c r="K14" s="12"/>
      <c r="L14" s="807"/>
      <c r="M14" s="808"/>
    </row>
    <row r="15" spans="1:37" s="1397" customFormat="1" ht="18" customHeight="1" thickBot="1">
      <c r="A15" s="982" t="s">
        <v>399</v>
      </c>
      <c r="B15" s="302" t="s">
        <v>710</v>
      </c>
      <c r="C15" s="21">
        <f ca="1">ROUND(C14*F15,0)</f>
        <v>3702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1789</v>
      </c>
      <c r="K16" s="1087" t="s">
        <v>715</v>
      </c>
      <c r="L16" s="1088"/>
      <c r="M16" s="1072"/>
    </row>
    <row r="17" spans="1:37" s="1397" customFormat="1" ht="18" customHeight="1">
      <c r="A17" s="982" t="s">
        <v>681</v>
      </c>
      <c r="B17" s="302" t="s">
        <v>716</v>
      </c>
      <c r="C17" s="21">
        <f ca="1">ROUND(F17*(F43+INDIRECT("'数据-取费表'!S"&amp;$G$1)),0)</f>
        <v>7052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1851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136015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2720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5758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-1789</v>
      </c>
      <c r="K25" s="1095" t="s">
        <v>753</v>
      </c>
      <c r="L25" s="1096"/>
      <c r="M25" s="1097"/>
    </row>
    <row r="26" spans="1:37" ht="18" customHeight="1">
      <c r="A26" s="982" t="s">
        <v>397</v>
      </c>
      <c r="B26" s="302" t="s">
        <v>754</v>
      </c>
      <c r="C26" s="21">
        <f ca="1">ROUND((C19+C20)*F26,0)</f>
        <v>20810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178938</v>
      </c>
      <c r="D29" s="1092"/>
      <c r="E29" s="1090"/>
      <c r="F29" s="1093"/>
      <c r="G29" s="1396"/>
      <c r="H29" s="334" t="s">
        <v>396</v>
      </c>
      <c r="I29" s="335" t="s">
        <v>768</v>
      </c>
      <c r="J29" s="336">
        <f ca="1">ROUND(J26/(1+F40)^F41,0)</f>
        <v>0</v>
      </c>
      <c r="K29" s="337" t="s">
        <v>769</v>
      </c>
      <c r="L29" s="338"/>
      <c r="M29" s="339">
        <f ca="1">INDIRECT("'数据-取费表'!k"&amp;$G$1)</f>
        <v>35.26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5284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3089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971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2118</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1789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220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13272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207877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5896</v>
      </c>
      <c r="D43" s="337" t="s">
        <v>777</v>
      </c>
      <c r="E43" s="338" t="s">
        <v>778</v>
      </c>
      <c r="F43" s="339">
        <f ca="1">INDIRECT("'数据-取费表'!k"&amp;$G$1)</f>
        <v>35.26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-23.3157</v>
      </c>
      <c r="D45" s="3432" t="s">
        <v>3359</v>
      </c>
      <c r="E45" s="1400"/>
      <c r="F45" s="1400"/>
      <c r="O45" s="1403" t="s">
        <v>808</v>
      </c>
      <c r="P45" s="1461"/>
      <c r="Q45" s="1461"/>
      <c r="R45" s="1461"/>
    </row>
    <row r="46" spans="1:18" s="1384" customFormat="1" ht="13.5" thickBot="1">
      <c r="A46" s="1404" t="s">
        <v>809</v>
      </c>
      <c r="C46" s="1405">
        <f ca="1">ROUND(C45,0)</f>
        <v>-23</v>
      </c>
      <c r="D46" s="1406" t="str">
        <f>C2</f>
        <v>万元</v>
      </c>
      <c r="I46" s="1407" t="s">
        <v>810</v>
      </c>
      <c r="J46" s="1408"/>
      <c r="K46" s="1409"/>
      <c r="L46" s="1410">
        <f ca="1">IF(M47="住宅",0,IF(L48&gt;J51,L60,J60))</f>
        <v>14581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207877</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22</v>
      </c>
      <c r="O48" s="1418" t="s">
        <v>404</v>
      </c>
      <c r="P48" s="1419" t="s">
        <v>821</v>
      </c>
      <c r="Q48" s="1420">
        <f ca="1">J60</f>
        <v>14581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178938</v>
      </c>
      <c r="R49" s="1420" t="s">
        <v>818</v>
      </c>
    </row>
    <row r="50" spans="1:18" s="1384" customFormat="1" ht="13.5" thickBot="1">
      <c r="A50" s="976"/>
      <c r="B50" s="979"/>
      <c r="C50" s="980"/>
      <c r="D50" s="953"/>
      <c r="E50" s="1056" t="s">
        <v>697</v>
      </c>
      <c r="F50" s="1057">
        <f ca="1">F7</f>
        <v>35.26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53005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40" t="s">
        <v>837</v>
      </c>
      <c r="L53" s="3641"/>
      <c r="O53" s="1418" t="s">
        <v>409</v>
      </c>
      <c r="P53" s="1419" t="s">
        <v>838</v>
      </c>
      <c r="Q53" s="1420">
        <f ca="1">Q47+Q48</f>
        <v>222458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146729</v>
      </c>
      <c r="D56" s="1447"/>
      <c r="E56" s="1448"/>
      <c r="F56" s="1440"/>
      <c r="I56" s="1449" t="s">
        <v>842</v>
      </c>
      <c r="J56" s="1450" t="s">
        <v>3435</v>
      </c>
      <c r="K56" s="1421" t="s">
        <v>843</v>
      </c>
      <c r="L56" s="1424" t="str">
        <f ca="1">IF(L48&lt;J51,"——",L48-J51)</f>
        <v>——</v>
      </c>
      <c r="O56" s="1418" t="s">
        <v>403</v>
      </c>
      <c r="P56" s="1419" t="s">
        <v>817</v>
      </c>
      <c r="Q56" s="1420">
        <f ca="1">C40+J29</f>
        <v>207877</v>
      </c>
      <c r="R56" s="1420" t="s">
        <v>818</v>
      </c>
    </row>
    <row r="57" spans="1:18" s="1384" customFormat="1" ht="24.75" thickBot="1">
      <c r="A57" s="1451"/>
      <c r="B57" s="950" t="s">
        <v>767</v>
      </c>
      <c r="C57" s="238">
        <f ca="1">C29</f>
        <v>178938</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71575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14581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207877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220</v>
      </c>
      <c r="D65" s="964" t="s">
        <v>743</v>
      </c>
      <c r="E65" s="950" t="s">
        <v>744</v>
      </c>
      <c r="F65" s="330">
        <f t="shared" ca="1" si="0"/>
        <v>1.5E-3</v>
      </c>
      <c r="I65" s="1462" t="s">
        <v>867</v>
      </c>
      <c r="J65" s="1463">
        <v>40</v>
      </c>
      <c r="K65" s="1463">
        <v>30</v>
      </c>
      <c r="L65" s="1463">
        <v>50</v>
      </c>
      <c r="M65" s="1465">
        <v>0.02</v>
      </c>
      <c r="O65" s="1418" t="s">
        <v>403</v>
      </c>
      <c r="P65" s="1419" t="s">
        <v>868</v>
      </c>
      <c r="Q65" s="1420">
        <f ca="1">C40+J29</f>
        <v>207877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-2009</v>
      </c>
      <c r="D67" s="963" t="s">
        <v>753</v>
      </c>
      <c r="E67" s="968"/>
      <c r="F67" s="969"/>
      <c r="O67" s="1428" t="s">
        <v>405</v>
      </c>
      <c r="P67" s="1419" t="s">
        <v>850</v>
      </c>
      <c r="Q67" s="1466">
        <f ca="1">L51</f>
        <v>53005</v>
      </c>
      <c r="R67" s="1420" t="s">
        <v>870</v>
      </c>
    </row>
    <row r="68" spans="1:18" s="1384" customFormat="1" ht="16.5" thickBot="1">
      <c r="A68" s="947" t="s">
        <v>395</v>
      </c>
      <c r="B68" s="948" t="s">
        <v>774</v>
      </c>
      <c r="C68" s="301">
        <f ca="1">ROUND(C67*(1-((1+F70)/(1+F68))^F69)/(F68-F70),0)</f>
        <v>-25280</v>
      </c>
      <c r="D68" s="965" t="s">
        <v>758</v>
      </c>
      <c r="E68" s="950" t="s">
        <v>759</v>
      </c>
      <c r="F68" s="312">
        <f ca="1">F40</f>
        <v>5.5E-2</v>
      </c>
      <c r="O68" s="1428" t="s">
        <v>406</v>
      </c>
      <c r="P68" s="1467" t="s">
        <v>871</v>
      </c>
      <c r="Q68" s="1420">
        <f ca="1">ROUND(Q69-Q70*Q71,0)</f>
        <v>3001</v>
      </c>
      <c r="R68" s="1420" t="s">
        <v>414</v>
      </c>
    </row>
    <row r="69" spans="1:18" s="1384" customFormat="1" ht="13.5" thickBot="1">
      <c r="A69" s="951"/>
      <c r="B69" s="952"/>
      <c r="C69" s="306"/>
      <c r="D69" s="970" t="s">
        <v>762</v>
      </c>
      <c r="E69" s="950" t="s">
        <v>763</v>
      </c>
      <c r="F69" s="333">
        <f ca="1">F41</f>
        <v>22</v>
      </c>
      <c r="O69" s="1428" t="s">
        <v>411</v>
      </c>
      <c r="P69" s="1467" t="s">
        <v>872</v>
      </c>
      <c r="Q69" s="1420">
        <f ca="1">C39</f>
        <v>13272</v>
      </c>
      <c r="R69" s="1420" t="s">
        <v>818</v>
      </c>
    </row>
    <row r="70" spans="1:18" s="1384" customFormat="1" ht="13.5" thickBot="1">
      <c r="A70" s="954"/>
      <c r="B70" s="955"/>
      <c r="C70" s="310"/>
      <c r="D70" s="966"/>
      <c r="E70" s="950" t="s">
        <v>766</v>
      </c>
      <c r="F70" s="1054"/>
      <c r="O70" s="1428" t="s">
        <v>412</v>
      </c>
      <c r="P70" s="1467" t="s">
        <v>873</v>
      </c>
      <c r="Q70" s="1420">
        <f ca="1">C13</f>
        <v>146729</v>
      </c>
      <c r="R70" s="1420" t="s">
        <v>818</v>
      </c>
    </row>
    <row r="71" spans="1:18" s="1384" customFormat="1" ht="13.5" thickBot="1">
      <c r="A71" s="971" t="s">
        <v>396</v>
      </c>
      <c r="B71" s="972" t="s">
        <v>776</v>
      </c>
      <c r="C71" s="336">
        <f ca="1">ROUND(C68/F71,0)</f>
        <v>-717</v>
      </c>
      <c r="D71" s="973" t="s">
        <v>777</v>
      </c>
      <c r="E71" s="974" t="s">
        <v>778</v>
      </c>
      <c r="F71" s="339">
        <f ca="1">F43</f>
        <v>35.26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10271</v>
      </c>
      <c r="D75" s="1384"/>
      <c r="E75" s="1384"/>
      <c r="F75" s="1384"/>
      <c r="K75" s="1402"/>
      <c r="L75" s="1384"/>
      <c r="O75" s="1418" t="s">
        <v>409</v>
      </c>
      <c r="P75" s="1419" t="s">
        <v>838</v>
      </c>
      <c r="Q75" s="1420">
        <f ca="1">Q65+Q66</f>
        <v>207877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0.22599999999999998</v>
      </c>
    </row>
    <row r="80" spans="1:18">
      <c r="B80" s="340" t="s">
        <v>800</v>
      </c>
      <c r="C80" s="274">
        <f ca="1">ROUND(C75/C39,3)</f>
        <v>0.77400000000000002</v>
      </c>
    </row>
    <row r="81" spans="2:3">
      <c r="B81" s="270" t="s">
        <v>801</v>
      </c>
      <c r="C81" s="238"/>
    </row>
    <row r="82" spans="2:3">
      <c r="B82" s="273" t="s">
        <v>802</v>
      </c>
      <c r="C82" s="275">
        <f ca="1">1-C83</f>
        <v>0.29400000000000004</v>
      </c>
    </row>
    <row r="83" spans="2:3">
      <c r="B83" s="273" t="s">
        <v>803</v>
      </c>
      <c r="C83" s="274">
        <f ca="1">ROUND(C13/C40,3)</f>
        <v>0.70599999999999996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51" t="s">
        <v>2320</v>
      </c>
      <c r="K2" s="365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3" t="s">
        <v>2330</v>
      </c>
      <c r="K3" s="365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3" t="s">
        <v>2332</v>
      </c>
      <c r="K4" s="365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9" t="s">
        <v>2336</v>
      </c>
      <c r="B6" s="3660"/>
      <c r="C6" s="3661"/>
      <c r="D6" s="2870"/>
      <c r="E6" s="2871"/>
      <c r="F6" s="2872"/>
      <c r="G6" s="2873"/>
      <c r="H6" s="2848"/>
      <c r="I6" s="2849"/>
      <c r="J6" s="3645">
        <v>1</v>
      </c>
      <c r="K6" s="364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5"/>
      <c r="K7" s="364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2" t="s">
        <v>2350</v>
      </c>
      <c r="C8" s="3663"/>
      <c r="D8" s="2889" t="s">
        <v>2351</v>
      </c>
      <c r="E8" s="2890" t="s">
        <v>2352</v>
      </c>
      <c r="F8" s="2891" t="s">
        <v>2353</v>
      </c>
      <c r="G8" s="2892"/>
      <c r="H8" s="2848"/>
      <c r="I8" s="2849"/>
      <c r="J8" s="3645"/>
      <c r="K8" s="364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2" t="s">
        <v>2356</v>
      </c>
      <c r="C9" s="3663"/>
      <c r="D9" s="2889">
        <f>ROUND(D6*E9,0)</f>
        <v>0</v>
      </c>
      <c r="E9" s="2893"/>
      <c r="F9" s="2894" t="s">
        <v>2357</v>
      </c>
      <c r="G9" s="2873"/>
      <c r="H9" s="2848"/>
      <c r="I9" s="2849"/>
      <c r="J9" s="3645"/>
      <c r="K9" s="3647"/>
      <c r="L9" s="2883" t="s">
        <v>2358</v>
      </c>
      <c r="M9" s="2884"/>
      <c r="N9" s="2860"/>
      <c r="O9" s="2885"/>
      <c r="P9" s="2885"/>
      <c r="Q9" s="2886">
        <v>365</v>
      </c>
      <c r="R9" s="2887">
        <f t="shared" si="0"/>
        <v>0</v>
      </c>
      <c r="S9" s="2841"/>
      <c r="T9" s="2841"/>
      <c r="U9" s="2841"/>
      <c r="V9" s="2849"/>
    </row>
    <row r="10" spans="1:22" s="2853" customFormat="1" ht="13.15" customHeight="1">
      <c r="A10" s="2888">
        <v>2</v>
      </c>
      <c r="B10" s="3662" t="s">
        <v>2359</v>
      </c>
      <c r="C10" s="3663"/>
      <c r="D10" s="2889">
        <f>ROUND(D6*E10,0)</f>
        <v>0</v>
      </c>
      <c r="E10" s="2893"/>
      <c r="F10" s="2894" t="s">
        <v>2360</v>
      </c>
      <c r="G10" s="2873"/>
      <c r="H10" s="2848"/>
      <c r="I10" s="2849"/>
      <c r="J10" s="3645"/>
      <c r="K10" s="3647"/>
      <c r="L10" s="2883" t="s">
        <v>2361</v>
      </c>
      <c r="M10" s="2884"/>
      <c r="N10" s="2860"/>
      <c r="O10" s="2885"/>
      <c r="P10" s="2885"/>
      <c r="Q10" s="2886">
        <v>365</v>
      </c>
      <c r="R10" s="2887">
        <f t="shared" si="0"/>
        <v>0</v>
      </c>
      <c r="S10" s="2841"/>
      <c r="T10" s="2841"/>
      <c r="U10" s="2841"/>
      <c r="V10" s="2849"/>
    </row>
    <row r="11" spans="1:22" s="2853" customFormat="1" ht="13.15" customHeight="1">
      <c r="A11" s="2888">
        <v>3</v>
      </c>
      <c r="B11" s="3662" t="s">
        <v>2362</v>
      </c>
      <c r="C11" s="3663"/>
      <c r="D11" s="2889">
        <f>D12+D14+D15+D16</f>
        <v>0</v>
      </c>
      <c r="E11" s="2895" t="e">
        <f>D11/D6</f>
        <v>#DIV/0!</v>
      </c>
      <c r="F11" s="2891"/>
      <c r="G11" s="2892"/>
      <c r="H11" s="2848"/>
      <c r="I11" s="2849"/>
      <c r="J11" s="3645"/>
      <c r="K11" s="364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5"/>
      <c r="K12" s="364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5"/>
      <c r="K13" s="364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5"/>
      <c r="K14" s="364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5">
        <v>2</v>
      </c>
      <c r="K15" s="364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5"/>
      <c r="K16" s="364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5"/>
      <c r="K17" s="364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5"/>
      <c r="K18" s="364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5"/>
      <c r="K19" s="364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5"/>
      <c r="K21" s="364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5"/>
      <c r="K22" s="364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5"/>
      <c r="K23" s="364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5"/>
      <c r="K24" s="364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1" t="s">
        <v>2320</v>
      </c>
      <c r="K32" s="365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3" t="s">
        <v>2330</v>
      </c>
      <c r="K33" s="365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3" t="s">
        <v>2332</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5">
        <v>1</v>
      </c>
      <c r="K36" s="364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5"/>
      <c r="K40" s="364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22.245799999999999</v>
      </c>
      <c r="C2" s="1872" t="s">
        <v>1651</v>
      </c>
      <c r="D2" s="1873" t="s">
        <v>1652</v>
      </c>
      <c r="E2" s="2607">
        <f>SUM(E6:E13)</f>
        <v>35.26</v>
      </c>
      <c r="F2" s="2707"/>
      <c r="G2" s="1489"/>
      <c r="H2" s="1489"/>
      <c r="I2" s="1489"/>
      <c r="J2" s="1489"/>
      <c r="K2" s="1489"/>
      <c r="L2" s="1489"/>
      <c r="M2" s="1489"/>
      <c r="N2" s="1489"/>
      <c r="O2" s="1489"/>
      <c r="P2" s="1489"/>
      <c r="Q2" s="1489"/>
      <c r="R2" s="1489"/>
      <c r="S2" s="1489"/>
    </row>
    <row r="3" spans="1:22" ht="15.75">
      <c r="A3" s="1870" t="s">
        <v>686</v>
      </c>
      <c r="B3" s="2601">
        <f ca="1">ROUND(B2*10000/E2,0)</f>
        <v>6309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22.245799999999999</v>
      </c>
      <c r="C6" s="1872" t="s">
        <v>1651</v>
      </c>
      <c r="D6" s="2709"/>
      <c r="E6" s="2606">
        <f>IF(OR(A6=0,F6="否"),0,'数据-取费表'!K6+'数据-取费表'!S6)</f>
        <v>35.26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684.22999999999979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684.22999999999979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684.22999999999979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45015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估价对象为北京市房地产，为所有。根据《国有土地使用证》[]，估价对象（分摊）出让国有建设用地使用权面积为0平方米，建筑面积为684.23平方米。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估价对象为北京市房地产,属开发建设的，该项目尚在开发建设中。根据《国有土地使用证》[]，估价对象（分摊）出让国有建设用地使用权面积为0平方米，规划建筑面积为684.23平方米。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22" sqref="C15:Q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684.22999999999979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45015</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22" sqref="C15:Q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22" sqref="C15:Q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22" sqref="C15:Q2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45015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69"/>
      <c r="Q10" s="1343" t="str">
        <f t="shared" si="6"/>
        <v>土地使用年限（年）</v>
      </c>
      <c r="R10" s="701" t="s">
        <v>14</v>
      </c>
      <c r="S10" s="702">
        <f t="shared" si="0"/>
        <v>130</v>
      </c>
      <c r="T10" s="701" t="s">
        <v>14</v>
      </c>
      <c r="U10" s="702">
        <f t="shared" si="1"/>
        <v>130</v>
      </c>
      <c r="V10" s="701" t="s">
        <v>14</v>
      </c>
      <c r="W10" s="702">
        <f t="shared" si="2"/>
        <v>130</v>
      </c>
      <c r="X10" s="703"/>
      <c r="Y10" s="3544"/>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684.22999999999979</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684.22999999999979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22" sqref="C15:Q2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69"/>
      <c r="Q10" s="1343" t="str">
        <f t="shared" si="6"/>
        <v>土地使用年限（年）</v>
      </c>
      <c r="R10" s="701" t="s">
        <v>14</v>
      </c>
      <c r="S10" s="702">
        <f t="shared" si="0"/>
        <v>130</v>
      </c>
      <c r="T10" s="701" t="s">
        <v>14</v>
      </c>
      <c r="U10" s="702">
        <f t="shared" si="1"/>
        <v>130</v>
      </c>
      <c r="V10" s="701" t="s">
        <v>14</v>
      </c>
      <c r="W10" s="702">
        <f t="shared" si="2"/>
        <v>130</v>
      </c>
      <c r="X10" s="703"/>
      <c r="Y10" s="3544"/>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684.22999999999979</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22" sqref="C15:Q28"/>
      <selection pane="bottomLeft" activeCell="C22" sqref="C15:Q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21</v>
      </c>
      <c r="C2" s="2145" t="s">
        <v>2074</v>
      </c>
      <c r="D2" s="2145" t="s">
        <v>2075</v>
      </c>
      <c r="E2" s="2612">
        <f ca="1">SUMIF(E6:E13,"&lt;&gt;#ref!",E6:E13)</f>
        <v>35.26</v>
      </c>
      <c r="F2" s="2793"/>
      <c r="G2" s="2793"/>
      <c r="H2" s="2793"/>
      <c r="I2" s="2793"/>
      <c r="J2" s="2793"/>
      <c r="K2" s="2793"/>
      <c r="L2" s="2793"/>
      <c r="M2" s="2793"/>
      <c r="N2" s="2793"/>
      <c r="O2" s="2793"/>
      <c r="P2" s="2793"/>
    </row>
    <row r="3" spans="1:16" ht="15.75">
      <c r="A3" s="2145" t="s">
        <v>2076</v>
      </c>
      <c r="B3" s="2602">
        <f ca="1">ROUND(B2*10000/E2,0)</f>
        <v>5956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21</v>
      </c>
      <c r="C6" s="2145" t="s">
        <v>2074</v>
      </c>
      <c r="D6" s="2793"/>
      <c r="E6" s="2612">
        <f ca="1">SUMIF(INDIRECT("'"&amp;A6&amp;"'"&amp;"!C:C"),"建筑面积",INDIRECT("'"&amp;A6&amp;"'"&amp;"!D:D"))</f>
        <v>35.26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T42" sqref="T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35.26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9156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5956</v>
      </c>
      <c r="C3" s="1999" t="s">
        <v>1941</v>
      </c>
      <c r="D3" s="2000" t="s">
        <v>1942</v>
      </c>
      <c r="E3" s="3420" t="s">
        <v>2448</v>
      </c>
      <c r="F3" s="2004" t="s">
        <v>3436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7217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6100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8424</v>
      </c>
      <c r="D5" s="1339">
        <f>ROUND(C6*C17+C20,0)</f>
        <v>8424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5380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5170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3437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f>ROUND(IF(F21="与级别开发程度一致",0,(G21-E21)/C21),0)</f>
        <v>-16</v>
      </c>
      <c r="D20" s="3341" t="s">
        <v>1998</v>
      </c>
      <c r="E20" s="3342"/>
      <c r="F20" s="3759" t="s">
        <v>1995</v>
      </c>
      <c r="G20" s="3760"/>
      <c r="H20" s="3326" t="s">
        <v>3439</v>
      </c>
      <c r="I20" s="3326" t="s">
        <v>3440</v>
      </c>
      <c r="J20" s="3327" t="s">
        <v>3441</v>
      </c>
      <c r="K20" s="2047" t="s">
        <v>3442</v>
      </c>
      <c r="L20" s="2047" t="s">
        <v>3443</v>
      </c>
      <c r="M20" s="2047" t="s">
        <v>3445</v>
      </c>
      <c r="N20" s="2047" t="s">
        <v>3444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45015</v>
      </c>
      <c r="H23" s="3343" t="s">
        <v>3262</v>
      </c>
      <c r="I23" s="3344" t="str">
        <f>IF(H23="季度增幅（自定义）",SUMIF(N25:N28,E2,O25:O28),"")</f>
        <v/>
      </c>
      <c r="J23" s="3446" t="s">
        <v>3446</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0.99680000000000002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6097</v>
      </c>
      <c r="D33" s="2098">
        <f>面积明细!F2</f>
        <v>35.26</v>
      </c>
      <c r="E33" s="773">
        <f>ROUND(C33*D33/10000,0)</f>
        <v>21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1524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3658</v>
      </c>
      <c r="D37" s="2098"/>
      <c r="E37" s="171">
        <f>ROUND(C37*D37/10000,0)</f>
        <v>0</v>
      </c>
      <c r="F37" s="171">
        <f>SUMIF(修正!A57:A68,G2,修正!B57:B68)</f>
        <v>0.6</v>
      </c>
      <c r="G37" s="171">
        <f>ROUND(IF(E2="工业",C37*$M$42,C37*$M$41),0)</f>
        <v>915</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1829</v>
      </c>
      <c r="D38" s="2098"/>
      <c r="E38" s="171">
        <f t="shared" ref="E38:E42" si="4">ROUND(C38*D38/10000,0)</f>
        <v>0</v>
      </c>
      <c r="F38" s="171">
        <f>SUMIF(修正!A57:A68,G2,修正!C57:C68)</f>
        <v>0.3</v>
      </c>
      <c r="G38" s="171">
        <f>ROUND(IF(E2="工业",C38*$M$42,C38*$M$41),0)</f>
        <v>457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3265</v>
      </c>
      <c r="C39" s="175">
        <f>ROUND(D5*C22*C23*C24*C28*F39,0)</f>
        <v>1524</v>
      </c>
      <c r="D39" s="2098"/>
      <c r="E39" s="171">
        <f t="shared" si="4"/>
        <v>0</v>
      </c>
      <c r="F39" s="171">
        <f>SUMIF(修正!A57:A68,G2,修正!D57:D68)</f>
        <v>0.25</v>
      </c>
      <c r="G39" s="171">
        <f>ROUND(IF(E2="工业",C39*$M$42,C39*$M$41),0)</f>
        <v>381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1524</v>
      </c>
      <c r="D40" s="2098"/>
      <c r="E40" s="171">
        <f t="shared" si="4"/>
        <v>0</v>
      </c>
      <c r="F40" s="175">
        <f>SUMIF(修正!A57:A68,G2,修正!E57:E68)</f>
        <v>0.25</v>
      </c>
      <c r="G40" s="171">
        <f>ROUND(IF(E2="工业",C40*$M$42,C40*$M$41),0)</f>
        <v>381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0.99680000000000002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3447</v>
      </c>
      <c r="D50" s="1065">
        <f t="shared" ref="D50:D58" si="7">SUMIF($J$49:$N$49,C50,J50:N50)</f>
        <v>0</v>
      </c>
      <c r="E50" s="744">
        <f>ROUND(SUM(D50:D58),4)</f>
        <v>-3.2000000000000002E-3</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3447</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3447</v>
      </c>
      <c r="D52" s="1065">
        <f t="shared" si="7"/>
        <v>0</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3448</v>
      </c>
      <c r="D53" s="1065">
        <f t="shared" si="7"/>
        <v>-3.2000000000000002E-3</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3447</v>
      </c>
      <c r="D54" s="1065">
        <f t="shared" si="7"/>
        <v>0</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3447</v>
      </c>
      <c r="D55" s="1065">
        <f t="shared" si="7"/>
        <v>0</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3447</v>
      </c>
      <c r="D56" s="1065">
        <f t="shared" si="7"/>
        <v>0</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3447</v>
      </c>
      <c r="D57" s="1065">
        <f t="shared" si="7"/>
        <v>0</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3447</v>
      </c>
      <c r="D58" s="1065">
        <f t="shared" si="7"/>
        <v>0</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3300</v>
      </c>
      <c r="B103" s="3755"/>
      <c r="C103" s="3755"/>
      <c r="D103" s="3755"/>
      <c r="E103" s="3755"/>
      <c r="F103" s="3755"/>
      <c r="G103" s="3755"/>
      <c r="H103" s="3755"/>
      <c r="I103" s="3755"/>
      <c r="J103" s="3755"/>
      <c r="K103" s="3390"/>
      <c r="L103" s="3390"/>
      <c r="M103" s="3390"/>
      <c r="N103" s="3390"/>
    </row>
    <row r="104" spans="1:14">
      <c r="A104" s="3756" t="s">
        <v>3301</v>
      </c>
      <c r="B104" s="3756" t="s">
        <v>3302</v>
      </c>
      <c r="C104" s="3391" t="s">
        <v>3303</v>
      </c>
      <c r="D104" s="3392"/>
      <c r="E104" s="3392"/>
      <c r="F104" s="3392"/>
      <c r="G104" s="3392"/>
      <c r="H104" s="3392"/>
      <c r="I104" s="3392"/>
      <c r="J104" s="3393"/>
      <c r="K104" s="3394"/>
      <c r="L104" s="3394"/>
      <c r="M104" s="3394"/>
      <c r="N104" s="3394"/>
    </row>
    <row r="105" spans="1:14">
      <c r="A105" s="3756"/>
      <c r="B105" s="3756"/>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2"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3317</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3336</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798</v>
      </c>
      <c r="E5" s="1491"/>
    </row>
    <row r="6" spans="1:5" ht="15.75">
      <c r="A6" s="1491"/>
      <c r="B6" s="3455"/>
      <c r="C6" s="1494" t="s">
        <v>911</v>
      </c>
      <c r="D6" s="850" t="str">
        <f ca="1">NUMBERSTRING(INT(D5*10000),2)&amp;"元整"</f>
        <v>柒佰玖拾捌万元整</v>
      </c>
      <c r="E6" s="1491"/>
    </row>
    <row r="7" spans="1:5" ht="15.75">
      <c r="A7" s="1491"/>
      <c r="B7" s="3460"/>
      <c r="C7" s="1495" t="s">
        <v>912</v>
      </c>
      <c r="D7" s="851">
        <f ca="1">结果表!H102</f>
        <v>11657</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798</v>
      </c>
      <c r="E13" s="1491"/>
    </row>
    <row r="14" spans="1:5" ht="15.75">
      <c r="A14" s="1491"/>
      <c r="B14" s="3455"/>
      <c r="C14" s="1494" t="s">
        <v>911</v>
      </c>
      <c r="D14" s="850" t="str">
        <f ca="1">NUMBERSTRING(INT(D13*10000),2)&amp;"元整"</f>
        <v>柒佰玖拾捌万元整</v>
      </c>
      <c r="E14" s="1491"/>
    </row>
    <row r="15" spans="1:5" ht="15">
      <c r="A15" s="1491"/>
      <c r="B15" s="3460"/>
      <c r="C15" s="1495" t="s">
        <v>921</v>
      </c>
      <c r="D15" s="859">
        <f ca="1">结果表!H108</f>
        <v>11657</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28124</v>
      </c>
      <c r="C2" s="2" t="s">
        <v>106</v>
      </c>
      <c r="D2" s="199"/>
      <c r="E2" s="199"/>
      <c r="F2" s="199"/>
      <c r="G2" s="199"/>
    </row>
    <row r="3" spans="1:7" s="200" customFormat="1" ht="18" customHeight="1" thickBot="1">
      <c r="A3" s="203" t="s">
        <v>58</v>
      </c>
      <c r="B3" s="204">
        <f ca="1">ROUND(B2*10000/'数据-汇总表'!E3,0)</f>
        <v>411031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v>
      </c>
      <c r="D10" s="845">
        <f>'数据-汇总表'!E6</f>
        <v>684.22999999999979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684.22999999999979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684.22999999999979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29</v>
      </c>
      <c r="D51" s="232"/>
      <c r="E51" s="232"/>
      <c r="F51" s="264"/>
      <c r="G51" s="234" t="s">
        <v>37</v>
      </c>
    </row>
    <row r="52" spans="1:7" s="208" customFormat="1" ht="16.5" thickBot="1">
      <c r="A52" s="265" t="s">
        <v>38</v>
      </c>
      <c r="B52" s="266"/>
      <c r="C52" s="267">
        <f ca="1">C31+C51</f>
        <v>28124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3239</v>
      </c>
      <c r="B1" s="3778"/>
      <c r="C1" s="3778"/>
      <c r="D1" s="3778"/>
      <c r="E1" s="3778"/>
      <c r="F1" s="3779"/>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45015</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I39" sqref="I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684.22999999999979</v>
      </c>
      <c r="C4" s="854">
        <f>项目基本情况!C18</f>
        <v>0</v>
      </c>
      <c r="D4" s="854">
        <f>结果表!D118</f>
        <v>0</v>
      </c>
      <c r="E4" s="854">
        <f>结果表!E118</f>
        <v>0</v>
      </c>
      <c r="F4" s="854">
        <f>结果表!F118</f>
        <v>0</v>
      </c>
      <c r="G4" s="854">
        <f>结果表!G118</f>
        <v>0</v>
      </c>
      <c r="H4" s="854">
        <f ca="1">结果表!H118</f>
        <v>798</v>
      </c>
      <c r="I4" s="854">
        <f ca="1">结果表!I118</f>
        <v>11657</v>
      </c>
    </row>
    <row r="5" spans="1:9" ht="30" customHeight="1">
      <c r="A5" s="3467" t="s">
        <v>927</v>
      </c>
      <c r="B5" s="3467"/>
      <c r="C5" s="3467"/>
      <c r="D5" s="3467" t="str">
        <f>结果表!D119</f>
        <v>零元整</v>
      </c>
      <c r="E5" s="3467"/>
      <c r="F5" s="3467" t="str">
        <f>结果表!F119</f>
        <v>零元整</v>
      </c>
      <c r="G5" s="3467"/>
      <c r="H5" s="3467" t="str">
        <f ca="1">结果表!H119</f>
        <v>柒佰玖拾捌万元整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798</v>
      </c>
      <c r="E8" s="3466"/>
      <c r="F8" s="3466"/>
      <c r="G8" s="3466"/>
      <c r="H8" s="3466"/>
      <c r="I8" s="3466"/>
    </row>
    <row r="9" spans="1:9" ht="15">
      <c r="A9" s="3467" t="s">
        <v>927</v>
      </c>
      <c r="B9" s="3467"/>
      <c r="C9" s="3467"/>
      <c r="D9" s="3467" t="str">
        <f ca="1">结果表!D123</f>
        <v>柒佰玖拾捌万元整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2023-05-30T10:45:59Z</dcterms:modified>
</cp:coreProperties>
</file>