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480" yWindow="105" windowWidth="18195" windowHeight="11595" activeTab="15"/>
  </bookViews>
  <sheets>
    <sheet name="使用说明" sheetId="41" r:id="rId1"/>
    <sheet name="定义" sheetId="10" state="hidden" r:id="rId2"/>
    <sheet name="估价对象房地状况" sheetId="20" state="hidden" r:id="rId3"/>
    <sheet name="系统读取表" sheetId="68" state="hidden" r:id="rId4"/>
    <sheet name="结果表" sheetId="9" state="hidden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state="hidden" r:id="rId17"/>
    <sheet name="存贷款利率" sheetId="65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地价!$A$3:$A$19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25725"/>
</workbook>
</file>

<file path=xl/calcChain.xml><?xml version="1.0" encoding="utf-8"?>
<calcChain xmlns="http://schemas.openxmlformats.org/spreadsheetml/2006/main">
  <c r="L5" i="67"/>
  <c r="Q5" s="1"/>
  <c r="K5"/>
  <c r="P5" s="1"/>
  <c r="J5"/>
  <c r="O5" s="1"/>
  <c r="I5"/>
  <c r="N5" s="1"/>
  <c r="E15" i="68" l="1"/>
  <c r="F15"/>
  <c r="E16"/>
  <c r="F16"/>
  <c r="E17"/>
  <c r="F17"/>
  <c r="E18"/>
  <c r="F18"/>
  <c r="E19"/>
  <c r="F19"/>
  <c r="E20"/>
  <c r="F20"/>
  <c r="E21"/>
  <c r="F21"/>
  <c r="E22"/>
  <c r="F22"/>
  <c r="E23"/>
  <c r="F23"/>
  <c r="C14"/>
  <c r="B2" s="1"/>
  <c r="B14"/>
  <c r="B1" s="1"/>
  <c r="B3"/>
  <c r="B8"/>
  <c r="B7"/>
  <c r="B6"/>
  <c r="B5"/>
  <c r="C7" l="1"/>
  <c r="E14"/>
  <c r="F14"/>
  <c r="C6"/>
  <c r="C8"/>
  <c r="D5"/>
  <c r="D7"/>
  <c r="C5"/>
  <c r="D6"/>
  <c r="D8"/>
  <c r="N6" i="67" l="1"/>
  <c r="O6"/>
  <c r="P6"/>
  <c r="Q6"/>
  <c r="N7"/>
  <c r="O7"/>
  <c r="P7"/>
  <c r="Q7"/>
  <c r="B7" l="1"/>
  <c r="S7" s="1"/>
  <c r="F7"/>
  <c r="V7" s="1"/>
  <c r="E7"/>
  <c r="U7" s="1"/>
  <c r="C7"/>
  <c r="T7" s="1"/>
  <c r="C6" l="1"/>
  <c r="C5" s="1"/>
  <c r="D5" s="1"/>
  <c r="E6"/>
  <c r="E5" s="1"/>
  <c r="B6"/>
  <c r="B5" s="1"/>
  <c r="F6"/>
  <c r="F5" s="1"/>
  <c r="D7"/>
  <c r="D6" l="1"/>
  <c r="D68"/>
  <c r="D64"/>
  <c r="D60"/>
  <c r="D56"/>
  <c r="D52"/>
  <c r="D48"/>
  <c r="D44"/>
  <c r="D40"/>
  <c r="D36"/>
  <c r="D32"/>
  <c r="D28"/>
  <c r="D27"/>
  <c r="D24"/>
  <c r="D20"/>
  <c r="D16"/>
  <c r="D12"/>
  <c r="D8"/>
  <c r="F67"/>
  <c r="E67"/>
  <c r="C67"/>
  <c r="D67" s="1"/>
  <c r="B67"/>
  <c r="F66"/>
  <c r="E66"/>
  <c r="C66"/>
  <c r="D66" s="1"/>
  <c r="B66"/>
  <c r="F65"/>
  <c r="E65"/>
  <c r="C65"/>
  <c r="D65" s="1"/>
  <c r="B65"/>
  <c r="F63"/>
  <c r="E63"/>
  <c r="C63"/>
  <c r="D63" s="1"/>
  <c r="B63"/>
  <c r="F62"/>
  <c r="E62"/>
  <c r="C62"/>
  <c r="D62" s="1"/>
  <c r="B62"/>
  <c r="F61"/>
  <c r="E61"/>
  <c r="C61"/>
  <c r="D61" s="1"/>
  <c r="B61"/>
  <c r="Q59"/>
  <c r="P59"/>
  <c r="O59"/>
  <c r="N59"/>
  <c r="F59"/>
  <c r="V59" s="1"/>
  <c r="E59"/>
  <c r="U59" s="1"/>
  <c r="C59"/>
  <c r="T59" s="1"/>
  <c r="B59"/>
  <c r="S59" s="1"/>
  <c r="Q58"/>
  <c r="P58"/>
  <c r="O58"/>
  <c r="N58"/>
  <c r="F58"/>
  <c r="E58"/>
  <c r="C58"/>
  <c r="D58" s="1"/>
  <c r="B58"/>
  <c r="Q57"/>
  <c r="P57"/>
  <c r="O57"/>
  <c r="N57"/>
  <c r="F57"/>
  <c r="E57"/>
  <c r="C57"/>
  <c r="D57" s="1"/>
  <c r="B57"/>
  <c r="Q56"/>
  <c r="P56"/>
  <c r="O56"/>
  <c r="N56"/>
  <c r="Q55"/>
  <c r="P55"/>
  <c r="O55"/>
  <c r="N55"/>
  <c r="F55"/>
  <c r="V55" s="1"/>
  <c r="E55"/>
  <c r="U55" s="1"/>
  <c r="C55"/>
  <c r="T55" s="1"/>
  <c r="B55"/>
  <c r="S55" s="1"/>
  <c r="Q54"/>
  <c r="P54"/>
  <c r="O54"/>
  <c r="N54"/>
  <c r="F54"/>
  <c r="E54"/>
  <c r="C54"/>
  <c r="D54" s="1"/>
  <c r="B54"/>
  <c r="Q53"/>
  <c r="P53"/>
  <c r="O53"/>
  <c r="N53"/>
  <c r="F53"/>
  <c r="E53"/>
  <c r="C53"/>
  <c r="D53" s="1"/>
  <c r="B53"/>
  <c r="Q52"/>
  <c r="P52"/>
  <c r="O52"/>
  <c r="N52"/>
  <c r="Q51"/>
  <c r="P51"/>
  <c r="O51"/>
  <c r="N51"/>
  <c r="F51"/>
  <c r="V51" s="1"/>
  <c r="E51"/>
  <c r="U51" s="1"/>
  <c r="C51"/>
  <c r="T51" s="1"/>
  <c r="B51"/>
  <c r="S51" s="1"/>
  <c r="Q50"/>
  <c r="P50"/>
  <c r="O50"/>
  <c r="N50"/>
  <c r="F50"/>
  <c r="E50"/>
  <c r="C50"/>
  <c r="D50" s="1"/>
  <c r="B50"/>
  <c r="Q49"/>
  <c r="P49"/>
  <c r="O49"/>
  <c r="N49"/>
  <c r="F49"/>
  <c r="E49"/>
  <c r="C49"/>
  <c r="D49" s="1"/>
  <c r="B49"/>
  <c r="Q48"/>
  <c r="P48"/>
  <c r="O48"/>
  <c r="N48"/>
  <c r="F47"/>
  <c r="V47" s="1"/>
  <c r="E47"/>
  <c r="U47" s="1"/>
  <c r="C47"/>
  <c r="T47" s="1"/>
  <c r="B47"/>
  <c r="S47" s="1"/>
  <c r="F46"/>
  <c r="Q46" s="1"/>
  <c r="E46"/>
  <c r="P46" s="1"/>
  <c r="C46"/>
  <c r="O46" s="1"/>
  <c r="B46"/>
  <c r="N46" s="1"/>
  <c r="F45"/>
  <c r="Q45" s="1"/>
  <c r="E45"/>
  <c r="P45" s="1"/>
  <c r="C45"/>
  <c r="O45" s="1"/>
  <c r="B45"/>
  <c r="N45" s="1"/>
  <c r="Q44"/>
  <c r="P44"/>
  <c r="O44"/>
  <c r="N44"/>
  <c r="Q43"/>
  <c r="P43"/>
  <c r="O43"/>
  <c r="N43"/>
  <c r="Q42"/>
  <c r="P42"/>
  <c r="O42"/>
  <c r="N42"/>
  <c r="Q41"/>
  <c r="P41"/>
  <c r="O41"/>
  <c r="N41"/>
  <c r="Q40"/>
  <c r="F41" s="1"/>
  <c r="F42" s="1"/>
  <c r="F43" s="1"/>
  <c r="V43" s="1"/>
  <c r="P40"/>
  <c r="E41" s="1"/>
  <c r="E42" s="1"/>
  <c r="E43" s="1"/>
  <c r="U43" s="1"/>
  <c r="O40"/>
  <c r="C41" s="1"/>
  <c r="C42" s="1"/>
  <c r="C43" s="1"/>
  <c r="T43" s="1"/>
  <c r="N40"/>
  <c r="B41" s="1"/>
  <c r="B42" s="1"/>
  <c r="B43" s="1"/>
  <c r="S43" s="1"/>
  <c r="Q39"/>
  <c r="P39"/>
  <c r="O39"/>
  <c r="N39"/>
  <c r="Q38"/>
  <c r="P38"/>
  <c r="O38"/>
  <c r="N38"/>
  <c r="Q37"/>
  <c r="P37"/>
  <c r="O37"/>
  <c r="N37"/>
  <c r="Q36"/>
  <c r="F37" s="1"/>
  <c r="F38" s="1"/>
  <c r="F39" s="1"/>
  <c r="V39" s="1"/>
  <c r="P36"/>
  <c r="E37" s="1"/>
  <c r="E38" s="1"/>
  <c r="E39" s="1"/>
  <c r="U39" s="1"/>
  <c r="O36"/>
  <c r="C37" s="1"/>
  <c r="C38" s="1"/>
  <c r="C39" s="1"/>
  <c r="T39" s="1"/>
  <c r="N36"/>
  <c r="B37" s="1"/>
  <c r="B38" s="1"/>
  <c r="B39" s="1"/>
  <c r="S39" s="1"/>
  <c r="Q35"/>
  <c r="P35"/>
  <c r="O35"/>
  <c r="N35"/>
  <c r="Q34"/>
  <c r="P34"/>
  <c r="O34"/>
  <c r="N34"/>
  <c r="Q33"/>
  <c r="P33"/>
  <c r="O33"/>
  <c r="N33"/>
  <c r="Q32"/>
  <c r="F33" s="1"/>
  <c r="F34" s="1"/>
  <c r="F35" s="1"/>
  <c r="V35" s="1"/>
  <c r="P32"/>
  <c r="E33" s="1"/>
  <c r="E34" s="1"/>
  <c r="E35" s="1"/>
  <c r="U35" s="1"/>
  <c r="O32"/>
  <c r="C33" s="1"/>
  <c r="C34" s="1"/>
  <c r="C35" s="1"/>
  <c r="T35" s="1"/>
  <c r="N32"/>
  <c r="B33" s="1"/>
  <c r="B34" s="1"/>
  <c r="B35" s="1"/>
  <c r="S35" s="1"/>
  <c r="Q31"/>
  <c r="P31"/>
  <c r="O31"/>
  <c r="N31"/>
  <c r="Q30"/>
  <c r="P30"/>
  <c r="O30"/>
  <c r="N30"/>
  <c r="Q29"/>
  <c r="P29"/>
  <c r="O29"/>
  <c r="N29"/>
  <c r="Q28"/>
  <c r="F29" s="1"/>
  <c r="F30" s="1"/>
  <c r="F31" s="1"/>
  <c r="V31" s="1"/>
  <c r="P28"/>
  <c r="E29" s="1"/>
  <c r="E30" s="1"/>
  <c r="E31" s="1"/>
  <c r="U31" s="1"/>
  <c r="O28"/>
  <c r="C29" s="1"/>
  <c r="C30" s="1"/>
  <c r="C31" s="1"/>
  <c r="T31" s="1"/>
  <c r="N28"/>
  <c r="B29" s="1"/>
  <c r="B30" s="1"/>
  <c r="B31" s="1"/>
  <c r="S31" s="1"/>
  <c r="T27"/>
  <c r="Q27"/>
  <c r="P27"/>
  <c r="O27"/>
  <c r="N27"/>
  <c r="Q26"/>
  <c r="P26"/>
  <c r="O26"/>
  <c r="N26"/>
  <c r="Q25"/>
  <c r="P25"/>
  <c r="O25"/>
  <c r="N25"/>
  <c r="Q24"/>
  <c r="F25" s="1"/>
  <c r="F26" s="1"/>
  <c r="F27" s="1"/>
  <c r="V27" s="1"/>
  <c r="P24"/>
  <c r="E25" s="1"/>
  <c r="E26" s="1"/>
  <c r="E27" s="1"/>
  <c r="U27" s="1"/>
  <c r="O24"/>
  <c r="C25" s="1"/>
  <c r="C26" s="1"/>
  <c r="D26" s="1"/>
  <c r="N24"/>
  <c r="B25" s="1"/>
  <c r="B26" s="1"/>
  <c r="B27" s="1"/>
  <c r="S27" s="1"/>
  <c r="Q23"/>
  <c r="P23"/>
  <c r="O23"/>
  <c r="N23"/>
  <c r="Q22"/>
  <c r="P22"/>
  <c r="O22"/>
  <c r="N22"/>
  <c r="Q21"/>
  <c r="P21"/>
  <c r="O21"/>
  <c r="N21"/>
  <c r="Q20"/>
  <c r="F21" s="1"/>
  <c r="F22" s="1"/>
  <c r="F23" s="1"/>
  <c r="V23" s="1"/>
  <c r="P20"/>
  <c r="E21" s="1"/>
  <c r="E22" s="1"/>
  <c r="E23" s="1"/>
  <c r="U23" s="1"/>
  <c r="O20"/>
  <c r="C21" s="1"/>
  <c r="C22" s="1"/>
  <c r="C23" s="1"/>
  <c r="T23" s="1"/>
  <c r="N20"/>
  <c r="B21" s="1"/>
  <c r="B22" s="1"/>
  <c r="B23" s="1"/>
  <c r="S23" s="1"/>
  <c r="Q19"/>
  <c r="P19"/>
  <c r="O19"/>
  <c r="N19"/>
  <c r="Q18"/>
  <c r="P18"/>
  <c r="O18"/>
  <c r="N18"/>
  <c r="Q17"/>
  <c r="P17"/>
  <c r="O17"/>
  <c r="N17"/>
  <c r="Q16"/>
  <c r="F17" s="1"/>
  <c r="F18" s="1"/>
  <c r="F19" s="1"/>
  <c r="V19" s="1"/>
  <c r="P16"/>
  <c r="E17" s="1"/>
  <c r="E18" s="1"/>
  <c r="E19" s="1"/>
  <c r="U19" s="1"/>
  <c r="O16"/>
  <c r="C17" s="1"/>
  <c r="C18" s="1"/>
  <c r="C19" s="1"/>
  <c r="T19" s="1"/>
  <c r="N16"/>
  <c r="B17" s="1"/>
  <c r="B18" s="1"/>
  <c r="B19" s="1"/>
  <c r="S19" s="1"/>
  <c r="Q15"/>
  <c r="P15"/>
  <c r="O15"/>
  <c r="N15"/>
  <c r="Q14"/>
  <c r="P14"/>
  <c r="O14"/>
  <c r="N14"/>
  <c r="Q13"/>
  <c r="P13"/>
  <c r="O13"/>
  <c r="N13"/>
  <c r="Q12"/>
  <c r="F13" s="1"/>
  <c r="F14" s="1"/>
  <c r="F15" s="1"/>
  <c r="V15" s="1"/>
  <c r="P12"/>
  <c r="E13" s="1"/>
  <c r="E14" s="1"/>
  <c r="E15" s="1"/>
  <c r="U15" s="1"/>
  <c r="O12"/>
  <c r="C13" s="1"/>
  <c r="C14" s="1"/>
  <c r="C15" s="1"/>
  <c r="T15" s="1"/>
  <c r="N12"/>
  <c r="B13" s="1"/>
  <c r="B14" s="1"/>
  <c r="B15" s="1"/>
  <c r="S15" s="1"/>
  <c r="Q11"/>
  <c r="P11"/>
  <c r="O11"/>
  <c r="N11"/>
  <c r="Q10"/>
  <c r="P10"/>
  <c r="O10"/>
  <c r="N10"/>
  <c r="Q9"/>
  <c r="P9"/>
  <c r="O9"/>
  <c r="N9"/>
  <c r="Q8"/>
  <c r="F9" s="1"/>
  <c r="F10" s="1"/>
  <c r="F11" s="1"/>
  <c r="V11" s="1"/>
  <c r="P8"/>
  <c r="E9" s="1"/>
  <c r="E10" s="1"/>
  <c r="E11" s="1"/>
  <c r="U11" s="1"/>
  <c r="O8"/>
  <c r="C9" s="1"/>
  <c r="C10" s="1"/>
  <c r="C11" s="1"/>
  <c r="T11" s="1"/>
  <c r="N8"/>
  <c r="B9" s="1"/>
  <c r="B10" s="1"/>
  <c r="B11" s="1"/>
  <c r="S11" s="1"/>
  <c r="D9" l="1"/>
  <c r="D11"/>
  <c r="D13"/>
  <c r="D15"/>
  <c r="D17"/>
  <c r="D19"/>
  <c r="D21"/>
  <c r="D23"/>
  <c r="D25"/>
  <c r="D29"/>
  <c r="D31"/>
  <c r="D33"/>
  <c r="D35"/>
  <c r="D37"/>
  <c r="D39"/>
  <c r="D41"/>
  <c r="D43"/>
  <c r="D45"/>
  <c r="D47"/>
  <c r="D51"/>
  <c r="D55"/>
  <c r="D59"/>
  <c r="D10"/>
  <c r="D14"/>
  <c r="D18"/>
  <c r="D22"/>
  <c r="D30"/>
  <c r="D34"/>
  <c r="D38"/>
  <c r="D42"/>
  <c r="D46"/>
  <c r="N47"/>
  <c r="P47"/>
  <c r="O47"/>
  <c r="Q47"/>
  <c r="Y63" i="66"/>
  <c r="Y62" s="1"/>
  <c r="A70"/>
  <c r="H6" i="59" l="1"/>
  <c r="O1" i="66" l="1"/>
  <c r="J1"/>
  <c r="B9"/>
  <c r="C9"/>
  <c r="E9"/>
  <c r="F9"/>
  <c r="B10"/>
  <c r="C10"/>
  <c r="E10"/>
  <c r="F10"/>
  <c r="B11"/>
  <c r="C11"/>
  <c r="E11"/>
  <c r="F11"/>
  <c r="B12"/>
  <c r="C12"/>
  <c r="E12"/>
  <c r="F12"/>
  <c r="B13"/>
  <c r="C13"/>
  <c r="E13"/>
  <c r="F13"/>
  <c r="B14"/>
  <c r="C14"/>
  <c r="E14"/>
  <c r="F14"/>
  <c r="B15"/>
  <c r="C15"/>
  <c r="E15"/>
  <c r="F15"/>
  <c r="B16"/>
  <c r="C16"/>
  <c r="E16"/>
  <c r="F16"/>
  <c r="B17"/>
  <c r="C17"/>
  <c r="E17"/>
  <c r="F17"/>
  <c r="B18"/>
  <c r="C18"/>
  <c r="E18"/>
  <c r="F18"/>
  <c r="B19"/>
  <c r="C19"/>
  <c r="E19"/>
  <c r="F19"/>
  <c r="B20"/>
  <c r="C20"/>
  <c r="E20"/>
  <c r="F20"/>
  <c r="B21"/>
  <c r="C21"/>
  <c r="E21"/>
  <c r="F21"/>
  <c r="B22"/>
  <c r="C22"/>
  <c r="E22"/>
  <c r="F22"/>
  <c r="B23"/>
  <c r="C23"/>
  <c r="E23"/>
  <c r="F23"/>
  <c r="B24"/>
  <c r="C24"/>
  <c r="E24"/>
  <c r="F24"/>
  <c r="B25"/>
  <c r="C25"/>
  <c r="E25"/>
  <c r="F25"/>
  <c r="B26"/>
  <c r="C26"/>
  <c r="E26"/>
  <c r="F26"/>
  <c r="B27"/>
  <c r="C27"/>
  <c r="D27" s="1"/>
  <c r="E27"/>
  <c r="F27"/>
  <c r="B28"/>
  <c r="C28"/>
  <c r="E28"/>
  <c r="F28"/>
  <c r="B29"/>
  <c r="C29"/>
  <c r="E29"/>
  <c r="F29"/>
  <c r="B30"/>
  <c r="C30"/>
  <c r="E30"/>
  <c r="F30"/>
  <c r="B31"/>
  <c r="C31"/>
  <c r="E31"/>
  <c r="F31"/>
  <c r="B32"/>
  <c r="C32"/>
  <c r="E32"/>
  <c r="F32"/>
  <c r="B33"/>
  <c r="C33"/>
  <c r="E33"/>
  <c r="F33"/>
  <c r="B34"/>
  <c r="C34"/>
  <c r="E34"/>
  <c r="F34"/>
  <c r="B35"/>
  <c r="C35"/>
  <c r="E35"/>
  <c r="F35"/>
  <c r="B36"/>
  <c r="C36"/>
  <c r="E36"/>
  <c r="F36"/>
  <c r="B37"/>
  <c r="C37"/>
  <c r="E37"/>
  <c r="F37"/>
  <c r="B38"/>
  <c r="C38"/>
  <c r="E38"/>
  <c r="F38"/>
  <c r="B39"/>
  <c r="C39"/>
  <c r="E39"/>
  <c r="F39"/>
  <c r="B40"/>
  <c r="C40"/>
  <c r="E40"/>
  <c r="F40"/>
  <c r="B41"/>
  <c r="C41"/>
  <c r="E41"/>
  <c r="F41"/>
  <c r="B42"/>
  <c r="C42"/>
  <c r="E42"/>
  <c r="F42"/>
  <c r="B43"/>
  <c r="C43"/>
  <c r="E43"/>
  <c r="F43"/>
  <c r="B44"/>
  <c r="C44"/>
  <c r="E44"/>
  <c r="F44"/>
  <c r="B45"/>
  <c r="C45"/>
  <c r="E45"/>
  <c r="F45"/>
  <c r="B46"/>
  <c r="C46"/>
  <c r="E46"/>
  <c r="F46"/>
  <c r="B47"/>
  <c r="C47"/>
  <c r="E47"/>
  <c r="F47"/>
  <c r="B48"/>
  <c r="C48"/>
  <c r="E48"/>
  <c r="F48"/>
  <c r="B49"/>
  <c r="C49"/>
  <c r="E49"/>
  <c r="F49"/>
  <c r="B50"/>
  <c r="C50"/>
  <c r="E50"/>
  <c r="F50"/>
  <c r="B51"/>
  <c r="C51"/>
  <c r="E51"/>
  <c r="F51"/>
  <c r="B52"/>
  <c r="C52"/>
  <c r="E52"/>
  <c r="F52"/>
  <c r="B53"/>
  <c r="C53"/>
  <c r="E53"/>
  <c r="F53"/>
  <c r="B54"/>
  <c r="C54"/>
  <c r="E54"/>
  <c r="F54"/>
  <c r="B55"/>
  <c r="C55"/>
  <c r="D55" s="1"/>
  <c r="E55"/>
  <c r="F55"/>
  <c r="B56"/>
  <c r="C56"/>
  <c r="E56"/>
  <c r="F56"/>
  <c r="B57"/>
  <c r="C57"/>
  <c r="D57" s="1"/>
  <c r="E57"/>
  <c r="F57"/>
  <c r="B58"/>
  <c r="C58"/>
  <c r="E58"/>
  <c r="F58"/>
  <c r="B59"/>
  <c r="C59"/>
  <c r="D59" s="1"/>
  <c r="E59"/>
  <c r="F59"/>
  <c r="F8"/>
  <c r="E8"/>
  <c r="C8"/>
  <c r="B8"/>
  <c r="Z67"/>
  <c r="U67" s="1"/>
  <c r="C67" s="1"/>
  <c r="D67" s="1"/>
  <c r="AA67"/>
  <c r="AA66" s="1"/>
  <c r="AA65" s="1"/>
  <c r="V64" s="1"/>
  <c r="E64" s="1"/>
  <c r="AB67"/>
  <c r="W67" s="1"/>
  <c r="F67" s="1"/>
  <c r="Y67"/>
  <c r="Y66" s="1"/>
  <c r="Y65" s="1"/>
  <c r="T64" s="1"/>
  <c r="B64" s="1"/>
  <c r="AB63"/>
  <c r="W63" s="1"/>
  <c r="F63" s="1"/>
  <c r="AA63"/>
  <c r="AA62" s="1"/>
  <c r="Z63"/>
  <c r="U63" s="1"/>
  <c r="C63" s="1"/>
  <c r="D63" s="1"/>
  <c r="Y61"/>
  <c r="K18" l="1"/>
  <c r="H18"/>
  <c r="J18"/>
  <c r="G18"/>
  <c r="D8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K4"/>
  <c r="H4"/>
  <c r="K17"/>
  <c r="H17"/>
  <c r="K16"/>
  <c r="H16"/>
  <c r="K15"/>
  <c r="H15"/>
  <c r="K14"/>
  <c r="H14"/>
  <c r="K13"/>
  <c r="H13"/>
  <c r="K12"/>
  <c r="H12"/>
  <c r="K11"/>
  <c r="H11"/>
  <c r="K10"/>
  <c r="H10"/>
  <c r="K9"/>
  <c r="H9"/>
  <c r="K8"/>
  <c r="H8"/>
  <c r="K7"/>
  <c r="H7"/>
  <c r="K6"/>
  <c r="H6"/>
  <c r="K5"/>
  <c r="H5"/>
  <c r="D58"/>
  <c r="D56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J4"/>
  <c r="G4"/>
  <c r="J17"/>
  <c r="G17"/>
  <c r="J16"/>
  <c r="G16"/>
  <c r="J15"/>
  <c r="G15"/>
  <c r="J14"/>
  <c r="G14"/>
  <c r="J13"/>
  <c r="G13"/>
  <c r="J12"/>
  <c r="G12"/>
  <c r="J11"/>
  <c r="G11"/>
  <c r="J10"/>
  <c r="G10"/>
  <c r="J9"/>
  <c r="G9"/>
  <c r="J8"/>
  <c r="G8"/>
  <c r="G2" s="1"/>
  <c r="N20" i="43" s="1"/>
  <c r="J7" i="66"/>
  <c r="G7"/>
  <c r="J6"/>
  <c r="G6"/>
  <c r="J5"/>
  <c r="G5"/>
  <c r="I4"/>
  <c r="V67"/>
  <c r="E67" s="1"/>
  <c r="Z62"/>
  <c r="U62" s="1"/>
  <c r="C62" s="1"/>
  <c r="T63"/>
  <c r="B63" s="1"/>
  <c r="AB62"/>
  <c r="W62" s="1"/>
  <c r="F62" s="1"/>
  <c r="T67"/>
  <c r="B67" s="1"/>
  <c r="T60"/>
  <c r="B60" s="1"/>
  <c r="T61"/>
  <c r="B61" s="1"/>
  <c r="AA61"/>
  <c r="V62"/>
  <c r="E62" s="1"/>
  <c r="V66"/>
  <c r="E66" s="1"/>
  <c r="O66" s="1"/>
  <c r="T66"/>
  <c r="B66" s="1"/>
  <c r="L66" s="1"/>
  <c r="V65"/>
  <c r="E65" s="1"/>
  <c r="O65" s="1"/>
  <c r="T65"/>
  <c r="B65" s="1"/>
  <c r="L65" s="1"/>
  <c r="V63"/>
  <c r="E63" s="1"/>
  <c r="T62"/>
  <c r="B62" s="1"/>
  <c r="L62" s="1"/>
  <c r="AB61"/>
  <c r="AB66"/>
  <c r="Z66"/>
  <c r="G32" i="59"/>
  <c r="G31"/>
  <c r="G30"/>
  <c r="O2"/>
  <c r="P33"/>
  <c r="Q33"/>
  <c r="R33"/>
  <c r="O33"/>
  <c r="H21"/>
  <c r="H9"/>
  <c r="I9" i="66" l="1"/>
  <c r="L19"/>
  <c r="K2"/>
  <c r="N24" i="43" s="1"/>
  <c r="L17" i="66"/>
  <c r="L2" s="1"/>
  <c r="L18"/>
  <c r="J2"/>
  <c r="N23" i="43" s="1"/>
  <c r="H2" i="66"/>
  <c r="N21" i="43" s="1"/>
  <c r="L20" i="66"/>
  <c r="I7"/>
  <c r="O63"/>
  <c r="O62"/>
  <c r="I8"/>
  <c r="I5"/>
  <c r="L61"/>
  <c r="L60"/>
  <c r="D62"/>
  <c r="L21"/>
  <c r="L22"/>
  <c r="L23"/>
  <c r="L24"/>
  <c r="L25"/>
  <c r="L26"/>
  <c r="L27"/>
  <c r="I10"/>
  <c r="I12"/>
  <c r="I14"/>
  <c r="I16"/>
  <c r="I18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7"/>
  <c r="L59"/>
  <c r="L56"/>
  <c r="L58"/>
  <c r="L63"/>
  <c r="O64"/>
  <c r="I6"/>
  <c r="I11"/>
  <c r="I13"/>
  <c r="I15"/>
  <c r="I17"/>
  <c r="L64"/>
  <c r="Z61"/>
  <c r="U61" s="1"/>
  <c r="C61" s="1"/>
  <c r="U66"/>
  <c r="C66" s="1"/>
  <c r="Z65"/>
  <c r="W61"/>
  <c r="F61" s="1"/>
  <c r="W60"/>
  <c r="F60" s="1"/>
  <c r="V60"/>
  <c r="E60" s="1"/>
  <c r="V61"/>
  <c r="E61" s="1"/>
  <c r="O61" s="1"/>
  <c r="W66"/>
  <c r="F66" s="1"/>
  <c r="P66" s="1"/>
  <c r="AB65"/>
  <c r="O19" l="1"/>
  <c r="O17"/>
  <c r="O2" s="1"/>
  <c r="O18"/>
  <c r="C26" i="63"/>
  <c r="I2" i="66"/>
  <c r="N22" i="43" s="1"/>
  <c r="D61" i="66"/>
  <c r="O60"/>
  <c r="O59"/>
  <c r="O57"/>
  <c r="O55"/>
  <c r="O58"/>
  <c r="O56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4"/>
  <c r="O22"/>
  <c r="O20"/>
  <c r="O25"/>
  <c r="O23"/>
  <c r="O21"/>
  <c r="D66"/>
  <c r="N66" s="1"/>
  <c r="M66"/>
  <c r="U60"/>
  <c r="C60" s="1"/>
  <c r="W64"/>
  <c r="F64" s="1"/>
  <c r="W65"/>
  <c r="F65" s="1"/>
  <c r="P65" s="1"/>
  <c r="U64"/>
  <c r="C64" s="1"/>
  <c r="U65"/>
  <c r="C65" s="1"/>
  <c r="C18" i="64"/>
  <c r="P19" i="66" l="1"/>
  <c r="C29" i="63"/>
  <c r="P17" i="66"/>
  <c r="P2" s="1"/>
  <c r="M19"/>
  <c r="M18"/>
  <c r="M17"/>
  <c r="M2" s="1"/>
  <c r="P18"/>
  <c r="D65"/>
  <c r="N65" s="1"/>
  <c r="M65"/>
  <c r="D60"/>
  <c r="M60"/>
  <c r="M26"/>
  <c r="C27" i="63" s="1"/>
  <c r="M24" i="66"/>
  <c r="M22"/>
  <c r="M20"/>
  <c r="M59"/>
  <c r="M58"/>
  <c r="M56"/>
  <c r="M54"/>
  <c r="M52"/>
  <c r="M50"/>
  <c r="M48"/>
  <c r="M46"/>
  <c r="M44"/>
  <c r="M42"/>
  <c r="M40"/>
  <c r="M38"/>
  <c r="M36"/>
  <c r="M34"/>
  <c r="M32"/>
  <c r="M30"/>
  <c r="M28"/>
  <c r="M57"/>
  <c r="M27"/>
  <c r="M25"/>
  <c r="M23"/>
  <c r="M21"/>
  <c r="M55"/>
  <c r="M53"/>
  <c r="M51"/>
  <c r="M49"/>
  <c r="M47"/>
  <c r="M45"/>
  <c r="M43"/>
  <c r="M41"/>
  <c r="M39"/>
  <c r="M37"/>
  <c r="M35"/>
  <c r="M33"/>
  <c r="M31"/>
  <c r="M29"/>
  <c r="P31"/>
  <c r="P39"/>
  <c r="P47"/>
  <c r="P28"/>
  <c r="P36"/>
  <c r="P44"/>
  <c r="P52"/>
  <c r="P22"/>
  <c r="P60"/>
  <c r="D64"/>
  <c r="M64"/>
  <c r="M63"/>
  <c r="M62"/>
  <c r="P64"/>
  <c r="P63"/>
  <c r="P62"/>
  <c r="P29"/>
  <c r="P33"/>
  <c r="P37"/>
  <c r="P41"/>
  <c r="P45"/>
  <c r="P49"/>
  <c r="P53"/>
  <c r="P57"/>
  <c r="P21"/>
  <c r="P25"/>
  <c r="P58"/>
  <c r="P30"/>
  <c r="P34"/>
  <c r="P38"/>
  <c r="P42"/>
  <c r="P46"/>
  <c r="P50"/>
  <c r="P20"/>
  <c r="P24"/>
  <c r="P56"/>
  <c r="P61"/>
  <c r="M61"/>
  <c r="P27"/>
  <c r="P35"/>
  <c r="P43"/>
  <c r="P51"/>
  <c r="P55"/>
  <c r="P59"/>
  <c r="P23"/>
  <c r="P54"/>
  <c r="P32"/>
  <c r="P40"/>
  <c r="P48"/>
  <c r="P26"/>
  <c r="C30" i="63" s="1"/>
  <c r="N61" i="66"/>
  <c r="G13" i="9"/>
  <c r="C13"/>
  <c r="C11"/>
  <c r="G10"/>
  <c r="G9"/>
  <c r="G8"/>
  <c r="N18" i="66" l="1"/>
  <c r="N19"/>
  <c r="N17"/>
  <c r="N2" s="1"/>
  <c r="N64"/>
  <c r="N63"/>
  <c r="N62"/>
  <c r="N60"/>
  <c r="N59"/>
  <c r="N57"/>
  <c r="N55"/>
  <c r="N27"/>
  <c r="N30"/>
  <c r="N34"/>
  <c r="N38"/>
  <c r="N42"/>
  <c r="N46"/>
  <c r="N50"/>
  <c r="N54"/>
  <c r="N58"/>
  <c r="N24"/>
  <c r="N35"/>
  <c r="N47"/>
  <c r="N25"/>
  <c r="N29"/>
  <c r="N28"/>
  <c r="N32"/>
  <c r="N36"/>
  <c r="N40"/>
  <c r="N44"/>
  <c r="N48"/>
  <c r="N52"/>
  <c r="N56"/>
  <c r="N22"/>
  <c r="N26"/>
  <c r="N33"/>
  <c r="N37"/>
  <c r="N41"/>
  <c r="N45"/>
  <c r="N49"/>
  <c r="N53"/>
  <c r="N23"/>
  <c r="N20"/>
  <c r="N31"/>
  <c r="N39"/>
  <c r="N43"/>
  <c r="N51"/>
  <c r="N21"/>
  <c r="I22" i="59"/>
  <c r="A48" i="39"/>
  <c r="D120"/>
  <c r="E120" s="1"/>
  <c r="F120" s="1"/>
  <c r="G120" s="1"/>
  <c r="D103"/>
  <c r="E103" s="1"/>
  <c r="F103" s="1"/>
  <c r="G103" s="1"/>
  <c r="A119"/>
  <c r="A102"/>
  <c r="D71"/>
  <c r="E71" s="1"/>
  <c r="C12"/>
  <c r="C28" i="63" l="1"/>
  <c r="F71" i="39"/>
  <c r="G71" s="1"/>
  <c r="H71" s="1"/>
  <c r="I71" s="1"/>
  <c r="J71" s="1"/>
  <c r="K71" s="1"/>
  <c r="L71" s="1"/>
  <c r="M71" s="1"/>
  <c r="N71" s="1"/>
  <c r="B15" i="59"/>
  <c r="C2" i="65"/>
  <c r="L2" s="1"/>
  <c r="C1"/>
  <c r="L1" s="1"/>
  <c r="C7" i="39"/>
  <c r="C56" s="1"/>
  <c r="H9" i="63"/>
  <c r="H19" i="43"/>
  <c r="E2" i="65"/>
  <c r="E1"/>
  <c r="D2"/>
  <c r="D1"/>
  <c r="H4"/>
  <c r="C58" i="39" l="1"/>
  <c r="D56"/>
  <c r="B24" i="63"/>
  <c r="M18" i="43"/>
  <c r="H1" i="66" s="1"/>
  <c r="G10" i="63"/>
  <c r="C24" i="64"/>
  <c r="I20" i="43"/>
  <c r="H7" i="39"/>
  <c r="J7"/>
  <c r="F7"/>
  <c r="J2" i="65"/>
  <c r="J1"/>
  <c r="B7" i="64"/>
  <c r="B5"/>
  <c r="B10"/>
  <c r="B9"/>
  <c r="D29" s="1"/>
  <c r="H6" i="65"/>
  <c r="H5"/>
  <c r="G7"/>
  <c r="G6"/>
  <c r="D6"/>
  <c r="E6"/>
  <c r="H7"/>
  <c r="H8"/>
  <c r="E4"/>
  <c r="E8"/>
  <c r="D4"/>
  <c r="D7"/>
  <c r="G4"/>
  <c r="E5"/>
  <c r="G5"/>
  <c r="D8"/>
  <c r="G8"/>
  <c r="D5"/>
  <c r="D58" i="39" l="1"/>
  <c r="E56"/>
  <c r="C15" i="64"/>
  <c r="C25"/>
  <c r="I3" i="65"/>
  <c r="I1"/>
  <c r="K1"/>
  <c r="E14" i="64"/>
  <c r="D14"/>
  <c r="K4" i="65"/>
  <c r="K3"/>
  <c r="D16" i="64"/>
  <c r="I2" i="65"/>
  <c r="K2"/>
  <c r="E17" i="64"/>
  <c r="D19"/>
  <c r="D20"/>
  <c r="E16"/>
  <c r="D17"/>
  <c r="E19"/>
  <c r="E20"/>
  <c r="D27"/>
  <c r="D30"/>
  <c r="D28"/>
  <c r="E20" i="43"/>
  <c r="G3" i="65"/>
  <c r="G1"/>
  <c r="E7"/>
  <c r="G2"/>
  <c r="F56" i="39" l="1"/>
  <c r="E58"/>
  <c r="G21" i="59"/>
  <c r="G9"/>
  <c r="C23" i="64"/>
  <c r="C22" s="1"/>
  <c r="G11" i="9"/>
  <c r="F7"/>
  <c r="F6"/>
  <c r="C63" i="39"/>
  <c r="C9"/>
  <c r="G56" l="1"/>
  <c r="F58"/>
  <c r="G12" i="9"/>
  <c r="C12"/>
  <c r="J1" i="63"/>
  <c r="D21" s="1"/>
  <c r="O4" i="60"/>
  <c r="O5"/>
  <c r="O6"/>
  <c r="O7"/>
  <c r="O8"/>
  <c r="O9"/>
  <c r="O10"/>
  <c r="O11"/>
  <c r="O3"/>
  <c r="N4"/>
  <c r="N5"/>
  <c r="N6"/>
  <c r="N7"/>
  <c r="N8"/>
  <c r="N9"/>
  <c r="N10"/>
  <c r="N11"/>
  <c r="N12"/>
  <c r="N3"/>
  <c r="M4"/>
  <c r="M5"/>
  <c r="M6"/>
  <c r="M7"/>
  <c r="M8"/>
  <c r="M9"/>
  <c r="M10"/>
  <c r="M11"/>
  <c r="M12"/>
  <c r="M3"/>
  <c r="L4"/>
  <c r="L5"/>
  <c r="L6"/>
  <c r="L7"/>
  <c r="L8"/>
  <c r="L9"/>
  <c r="L10"/>
  <c r="L11"/>
  <c r="L12"/>
  <c r="L3"/>
  <c r="G67" i="62"/>
  <c r="I67"/>
  <c r="J67"/>
  <c r="G68"/>
  <c r="I68"/>
  <c r="J68"/>
  <c r="G69"/>
  <c r="I69"/>
  <c r="J69"/>
  <c r="G70"/>
  <c r="I70"/>
  <c r="J70"/>
  <c r="G71"/>
  <c r="I71"/>
  <c r="J71"/>
  <c r="G72"/>
  <c r="I72"/>
  <c r="J72"/>
  <c r="F73"/>
  <c r="G73"/>
  <c r="I73"/>
  <c r="J73"/>
  <c r="F74"/>
  <c r="G74"/>
  <c r="I74"/>
  <c r="J74"/>
  <c r="F75"/>
  <c r="G75"/>
  <c r="I75"/>
  <c r="J75"/>
  <c r="F76"/>
  <c r="G76"/>
  <c r="I76"/>
  <c r="J76"/>
  <c r="F77"/>
  <c r="G77"/>
  <c r="I77"/>
  <c r="J77"/>
  <c r="F78"/>
  <c r="G78"/>
  <c r="I78"/>
  <c r="J78"/>
  <c r="F79"/>
  <c r="G79"/>
  <c r="I79"/>
  <c r="J79"/>
  <c r="D80"/>
  <c r="E80"/>
  <c r="H80"/>
  <c r="J80"/>
  <c r="D81"/>
  <c r="E81"/>
  <c r="H81"/>
  <c r="J81"/>
  <c r="D82"/>
  <c r="E82"/>
  <c r="H82"/>
  <c r="J82"/>
  <c r="D83"/>
  <c r="E83"/>
  <c r="H83"/>
  <c r="J83"/>
  <c r="D84"/>
  <c r="E84"/>
  <c r="H84"/>
  <c r="J84"/>
  <c r="D85"/>
  <c r="E85"/>
  <c r="H85"/>
  <c r="J85"/>
  <c r="D86"/>
  <c r="E86"/>
  <c r="H86"/>
  <c r="J86"/>
  <c r="D87"/>
  <c r="E87"/>
  <c r="H87"/>
  <c r="J87"/>
  <c r="F88"/>
  <c r="J88"/>
  <c r="K88"/>
  <c r="F89"/>
  <c r="J89"/>
  <c r="K89"/>
  <c r="F90"/>
  <c r="J90"/>
  <c r="K90"/>
  <c r="F91"/>
  <c r="J91"/>
  <c r="K91"/>
  <c r="F92"/>
  <c r="J92"/>
  <c r="K92"/>
  <c r="F93"/>
  <c r="J93"/>
  <c r="K93"/>
  <c r="F94"/>
  <c r="J94"/>
  <c r="K94"/>
  <c r="J66"/>
  <c r="I66"/>
  <c r="G66"/>
  <c r="B37"/>
  <c r="C37"/>
  <c r="D37"/>
  <c r="E37"/>
  <c r="F37"/>
  <c r="G37"/>
  <c r="H37"/>
  <c r="I37"/>
  <c r="J37"/>
  <c r="K37"/>
  <c r="B38"/>
  <c r="C38"/>
  <c r="D38"/>
  <c r="E38"/>
  <c r="F38"/>
  <c r="G38"/>
  <c r="H38"/>
  <c r="I38"/>
  <c r="J38"/>
  <c r="K38"/>
  <c r="B39"/>
  <c r="C39"/>
  <c r="D39"/>
  <c r="E39"/>
  <c r="F39"/>
  <c r="G39"/>
  <c r="H39"/>
  <c r="I39"/>
  <c r="J39"/>
  <c r="K39"/>
  <c r="B40"/>
  <c r="C40"/>
  <c r="D40"/>
  <c r="E40"/>
  <c r="F40"/>
  <c r="G40"/>
  <c r="H40"/>
  <c r="I40"/>
  <c r="J40"/>
  <c r="K40"/>
  <c r="B41"/>
  <c r="C41"/>
  <c r="D41"/>
  <c r="E41"/>
  <c r="F41"/>
  <c r="G41"/>
  <c r="H41"/>
  <c r="I41"/>
  <c r="J41"/>
  <c r="K41"/>
  <c r="B42"/>
  <c r="C42"/>
  <c r="D42"/>
  <c r="E42"/>
  <c r="F42"/>
  <c r="G42"/>
  <c r="H42"/>
  <c r="I42"/>
  <c r="J42"/>
  <c r="K42"/>
  <c r="B43"/>
  <c r="C43"/>
  <c r="D43"/>
  <c r="E43"/>
  <c r="F43"/>
  <c r="G43"/>
  <c r="H43"/>
  <c r="I43"/>
  <c r="J43"/>
  <c r="K43"/>
  <c r="B44"/>
  <c r="C44"/>
  <c r="D44"/>
  <c r="E44"/>
  <c r="F44"/>
  <c r="G44"/>
  <c r="H44"/>
  <c r="I44"/>
  <c r="J44"/>
  <c r="K44"/>
  <c r="B45"/>
  <c r="C45"/>
  <c r="D45"/>
  <c r="E45"/>
  <c r="F45"/>
  <c r="G45"/>
  <c r="H45"/>
  <c r="I45"/>
  <c r="J45"/>
  <c r="K45"/>
  <c r="B46"/>
  <c r="C46"/>
  <c r="D46"/>
  <c r="E46"/>
  <c r="F46"/>
  <c r="G46"/>
  <c r="H46"/>
  <c r="I46"/>
  <c r="J46"/>
  <c r="K46"/>
  <c r="B47"/>
  <c r="C47"/>
  <c r="D47"/>
  <c r="E47"/>
  <c r="F47"/>
  <c r="G47"/>
  <c r="H47"/>
  <c r="I47"/>
  <c r="J47"/>
  <c r="K47"/>
  <c r="B48"/>
  <c r="C48"/>
  <c r="D48"/>
  <c r="E48"/>
  <c r="F48"/>
  <c r="G48"/>
  <c r="H48"/>
  <c r="I48"/>
  <c r="J48"/>
  <c r="K48"/>
  <c r="B49"/>
  <c r="C49"/>
  <c r="D49"/>
  <c r="E49"/>
  <c r="F49"/>
  <c r="G49"/>
  <c r="H49"/>
  <c r="I49"/>
  <c r="J49"/>
  <c r="K49"/>
  <c r="B50"/>
  <c r="C50"/>
  <c r="D50"/>
  <c r="E50"/>
  <c r="F50"/>
  <c r="G50"/>
  <c r="H50"/>
  <c r="I50"/>
  <c r="J50"/>
  <c r="K50"/>
  <c r="B51"/>
  <c r="C51"/>
  <c r="D51"/>
  <c r="E51"/>
  <c r="F51"/>
  <c r="G51"/>
  <c r="H51"/>
  <c r="I51"/>
  <c r="J51"/>
  <c r="K51"/>
  <c r="B52"/>
  <c r="C52"/>
  <c r="D52"/>
  <c r="E52"/>
  <c r="F52"/>
  <c r="G52"/>
  <c r="H52"/>
  <c r="I52"/>
  <c r="J52"/>
  <c r="K52"/>
  <c r="B53"/>
  <c r="C53"/>
  <c r="D53"/>
  <c r="E53"/>
  <c r="F53"/>
  <c r="G53"/>
  <c r="H53"/>
  <c r="I53"/>
  <c r="J53"/>
  <c r="K53"/>
  <c r="B54"/>
  <c r="C54"/>
  <c r="D54"/>
  <c r="E54"/>
  <c r="F54"/>
  <c r="G54"/>
  <c r="H54"/>
  <c r="I54"/>
  <c r="J54"/>
  <c r="K54"/>
  <c r="B55"/>
  <c r="C55"/>
  <c r="D55"/>
  <c r="E55"/>
  <c r="F55"/>
  <c r="G55"/>
  <c r="H55"/>
  <c r="I55"/>
  <c r="J55"/>
  <c r="K55"/>
  <c r="B56"/>
  <c r="C56"/>
  <c r="D56"/>
  <c r="E56"/>
  <c r="F56"/>
  <c r="G56"/>
  <c r="H56"/>
  <c r="I56"/>
  <c r="J56"/>
  <c r="K56"/>
  <c r="B57"/>
  <c r="C57"/>
  <c r="D57"/>
  <c r="E57"/>
  <c r="F57"/>
  <c r="G57"/>
  <c r="H57"/>
  <c r="I57"/>
  <c r="J57"/>
  <c r="K57"/>
  <c r="B58"/>
  <c r="C58"/>
  <c r="D58"/>
  <c r="E58"/>
  <c r="F58"/>
  <c r="G58"/>
  <c r="H58"/>
  <c r="I58"/>
  <c r="J58"/>
  <c r="K58"/>
  <c r="B59"/>
  <c r="C59"/>
  <c r="D59"/>
  <c r="E59"/>
  <c r="F59"/>
  <c r="G59"/>
  <c r="H59"/>
  <c r="I59"/>
  <c r="J59"/>
  <c r="K59"/>
  <c r="B60"/>
  <c r="C60"/>
  <c r="D60"/>
  <c r="E60"/>
  <c r="F60"/>
  <c r="G60"/>
  <c r="H60"/>
  <c r="I60"/>
  <c r="J60"/>
  <c r="K60"/>
  <c r="B61"/>
  <c r="C61"/>
  <c r="D61"/>
  <c r="E61"/>
  <c r="F61"/>
  <c r="G61"/>
  <c r="H61"/>
  <c r="I61"/>
  <c r="J61"/>
  <c r="K61"/>
  <c r="B62"/>
  <c r="C62"/>
  <c r="D62"/>
  <c r="E62"/>
  <c r="F62"/>
  <c r="G62"/>
  <c r="H62"/>
  <c r="I62"/>
  <c r="J62"/>
  <c r="K62"/>
  <c r="B63"/>
  <c r="C63"/>
  <c r="D63"/>
  <c r="E63"/>
  <c r="F63"/>
  <c r="G63"/>
  <c r="H63"/>
  <c r="I63"/>
  <c r="J63"/>
  <c r="K63"/>
  <c r="B64"/>
  <c r="C64"/>
  <c r="D64"/>
  <c r="E64"/>
  <c r="F64"/>
  <c r="G64"/>
  <c r="H64"/>
  <c r="I64"/>
  <c r="J64"/>
  <c r="K64"/>
  <c r="K36"/>
  <c r="J36"/>
  <c r="I36"/>
  <c r="H36"/>
  <c r="G36"/>
  <c r="F36"/>
  <c r="E36"/>
  <c r="D36"/>
  <c r="C36"/>
  <c r="B36"/>
  <c r="P26"/>
  <c r="I89" s="1"/>
  <c r="P27"/>
  <c r="I90" s="1"/>
  <c r="P28"/>
  <c r="I91" s="1"/>
  <c r="P29"/>
  <c r="I92" s="1"/>
  <c r="P30"/>
  <c r="I93" s="1"/>
  <c r="P31"/>
  <c r="I94" s="1"/>
  <c r="P25"/>
  <c r="I88" s="1"/>
  <c r="N26"/>
  <c r="H89" s="1"/>
  <c r="N27"/>
  <c r="H90" s="1"/>
  <c r="N28"/>
  <c r="H91" s="1"/>
  <c r="N29"/>
  <c r="H92" s="1"/>
  <c r="N30"/>
  <c r="H93" s="1"/>
  <c r="N31"/>
  <c r="H94" s="1"/>
  <c r="N25"/>
  <c r="H88" s="1"/>
  <c r="L26"/>
  <c r="G89" s="1"/>
  <c r="L27"/>
  <c r="G90" s="1"/>
  <c r="L28"/>
  <c r="G91" s="1"/>
  <c r="L29"/>
  <c r="G92" s="1"/>
  <c r="L30"/>
  <c r="G93" s="1"/>
  <c r="L31"/>
  <c r="G94" s="1"/>
  <c r="L25"/>
  <c r="G88" s="1"/>
  <c r="H31"/>
  <c r="E94" s="1"/>
  <c r="H30"/>
  <c r="E93" s="1"/>
  <c r="H29"/>
  <c r="E92" s="1"/>
  <c r="H28"/>
  <c r="E91" s="1"/>
  <c r="H27"/>
  <c r="E90" s="1"/>
  <c r="H26"/>
  <c r="E89" s="1"/>
  <c r="H25"/>
  <c r="E88" s="1"/>
  <c r="F26"/>
  <c r="D89" s="1"/>
  <c r="F27"/>
  <c r="D90" s="1"/>
  <c r="F28"/>
  <c r="D91" s="1"/>
  <c r="F29"/>
  <c r="D92" s="1"/>
  <c r="F30"/>
  <c r="D93" s="1"/>
  <c r="F31"/>
  <c r="D94" s="1"/>
  <c r="F25"/>
  <c r="D88" s="1"/>
  <c r="D31"/>
  <c r="C94" s="1"/>
  <c r="D30"/>
  <c r="C93" s="1"/>
  <c r="D29"/>
  <c r="C92" s="1"/>
  <c r="D28"/>
  <c r="C91" s="1"/>
  <c r="D27"/>
  <c r="C90" s="1"/>
  <c r="D26"/>
  <c r="C89" s="1"/>
  <c r="D25"/>
  <c r="C88" s="1"/>
  <c r="B26"/>
  <c r="B89" s="1"/>
  <c r="B27"/>
  <c r="B90" s="1"/>
  <c r="B28"/>
  <c r="B91" s="1"/>
  <c r="B29"/>
  <c r="B92" s="1"/>
  <c r="B30"/>
  <c r="B93" s="1"/>
  <c r="B31"/>
  <c r="B94" s="1"/>
  <c r="B25"/>
  <c r="B88" s="1"/>
  <c r="T18"/>
  <c r="K81" s="1"/>
  <c r="T19"/>
  <c r="K82" s="1"/>
  <c r="T20"/>
  <c r="K83" s="1"/>
  <c r="T21"/>
  <c r="K84" s="1"/>
  <c r="T22"/>
  <c r="K85" s="1"/>
  <c r="T23"/>
  <c r="K86" s="1"/>
  <c r="T24"/>
  <c r="K87" s="1"/>
  <c r="T17"/>
  <c r="K80" s="1"/>
  <c r="P18"/>
  <c r="I81" s="1"/>
  <c r="P19"/>
  <c r="I82" s="1"/>
  <c r="P20"/>
  <c r="I83" s="1"/>
  <c r="P21"/>
  <c r="I84" s="1"/>
  <c r="P22"/>
  <c r="I85" s="1"/>
  <c r="P23"/>
  <c r="I86" s="1"/>
  <c r="P24"/>
  <c r="I87" s="1"/>
  <c r="P17"/>
  <c r="I80" s="1"/>
  <c r="L24"/>
  <c r="G87" s="1"/>
  <c r="L23"/>
  <c r="G86" s="1"/>
  <c r="L22"/>
  <c r="G85" s="1"/>
  <c r="L21"/>
  <c r="G84" s="1"/>
  <c r="L20"/>
  <c r="G83" s="1"/>
  <c r="L19"/>
  <c r="G82" s="1"/>
  <c r="L18"/>
  <c r="G81" s="1"/>
  <c r="L17"/>
  <c r="G80" s="1"/>
  <c r="J18"/>
  <c r="F81" s="1"/>
  <c r="J19"/>
  <c r="F82" s="1"/>
  <c r="J20"/>
  <c r="F83" s="1"/>
  <c r="J21"/>
  <c r="F84" s="1"/>
  <c r="J22"/>
  <c r="F85" s="1"/>
  <c r="J23"/>
  <c r="F86" s="1"/>
  <c r="J24"/>
  <c r="F87" s="1"/>
  <c r="J17"/>
  <c r="F80" s="1"/>
  <c r="D24"/>
  <c r="C87" s="1"/>
  <c r="D23"/>
  <c r="C86" s="1"/>
  <c r="D22"/>
  <c r="C85" s="1"/>
  <c r="D21"/>
  <c r="C84" s="1"/>
  <c r="D20"/>
  <c r="C83" s="1"/>
  <c r="D19"/>
  <c r="C82" s="1"/>
  <c r="D18"/>
  <c r="C81" s="1"/>
  <c r="D17"/>
  <c r="C80" s="1"/>
  <c r="B18"/>
  <c r="B81" s="1"/>
  <c r="B19"/>
  <c r="B82" s="1"/>
  <c r="B20"/>
  <c r="B83" s="1"/>
  <c r="B21"/>
  <c r="B84" s="1"/>
  <c r="B22"/>
  <c r="B85" s="1"/>
  <c r="B23"/>
  <c r="B86" s="1"/>
  <c r="B24"/>
  <c r="B87" s="1"/>
  <c r="B17"/>
  <c r="B80" s="1"/>
  <c r="T11"/>
  <c r="K74" s="1"/>
  <c r="T12"/>
  <c r="K75" s="1"/>
  <c r="T13"/>
  <c r="K76" s="1"/>
  <c r="T14"/>
  <c r="K77" s="1"/>
  <c r="T15"/>
  <c r="K78" s="1"/>
  <c r="T16"/>
  <c r="K79" s="1"/>
  <c r="T10"/>
  <c r="K73" s="1"/>
  <c r="N16"/>
  <c r="H79" s="1"/>
  <c r="N15"/>
  <c r="H78" s="1"/>
  <c r="N14"/>
  <c r="H77" s="1"/>
  <c r="N13"/>
  <c r="H76" s="1"/>
  <c r="N12"/>
  <c r="H75" s="1"/>
  <c r="N11"/>
  <c r="H74" s="1"/>
  <c r="N10"/>
  <c r="H73" s="1"/>
  <c r="F16"/>
  <c r="D79" s="1"/>
  <c r="F15"/>
  <c r="D78" s="1"/>
  <c r="F14"/>
  <c r="D77" s="1"/>
  <c r="F13"/>
  <c r="D76" s="1"/>
  <c r="F12"/>
  <c r="D75" s="1"/>
  <c r="F11"/>
  <c r="D74" s="1"/>
  <c r="F10"/>
  <c r="D73" s="1"/>
  <c r="D11"/>
  <c r="C74" s="1"/>
  <c r="D12"/>
  <c r="C75" s="1"/>
  <c r="D13"/>
  <c r="C76" s="1"/>
  <c r="D14"/>
  <c r="C77" s="1"/>
  <c r="D15"/>
  <c r="C78" s="1"/>
  <c r="D16"/>
  <c r="C79" s="1"/>
  <c r="D10"/>
  <c r="C73" s="1"/>
  <c r="H16"/>
  <c r="E79" s="1"/>
  <c r="H15"/>
  <c r="E78" s="1"/>
  <c r="H14"/>
  <c r="E77" s="1"/>
  <c r="H13"/>
  <c r="E76" s="1"/>
  <c r="H12"/>
  <c r="E75" s="1"/>
  <c r="H11"/>
  <c r="E74" s="1"/>
  <c r="H10"/>
  <c r="E73" s="1"/>
  <c r="B11"/>
  <c r="B74" s="1"/>
  <c r="B12"/>
  <c r="B75" s="1"/>
  <c r="B13"/>
  <c r="B76" s="1"/>
  <c r="B14"/>
  <c r="B77" s="1"/>
  <c r="B15"/>
  <c r="B78" s="1"/>
  <c r="B16"/>
  <c r="B79" s="1"/>
  <c r="B10"/>
  <c r="B73" s="1"/>
  <c r="T4"/>
  <c r="K67" s="1"/>
  <c r="T5"/>
  <c r="K68" s="1"/>
  <c r="T6"/>
  <c r="K69" s="1"/>
  <c r="T7"/>
  <c r="K70" s="1"/>
  <c r="T8"/>
  <c r="K71" s="1"/>
  <c r="T9"/>
  <c r="K72" s="1"/>
  <c r="T3"/>
  <c r="K66" s="1"/>
  <c r="N8"/>
  <c r="H71" s="1"/>
  <c r="N9"/>
  <c r="H72" s="1"/>
  <c r="N5"/>
  <c r="H68" s="1"/>
  <c r="N6"/>
  <c r="H69" s="1"/>
  <c r="N7"/>
  <c r="H70" s="1"/>
  <c r="N4"/>
  <c r="H67" s="1"/>
  <c r="N3"/>
  <c r="H66" s="1"/>
  <c r="J4"/>
  <c r="F67" s="1"/>
  <c r="J5"/>
  <c r="F68" s="1"/>
  <c r="J6"/>
  <c r="F69" s="1"/>
  <c r="J7"/>
  <c r="F70" s="1"/>
  <c r="J8"/>
  <c r="F71" s="1"/>
  <c r="J9"/>
  <c r="F72" s="1"/>
  <c r="J3"/>
  <c r="F66" s="1"/>
  <c r="H4"/>
  <c r="E67" s="1"/>
  <c r="H5"/>
  <c r="E68" s="1"/>
  <c r="H6"/>
  <c r="E69" s="1"/>
  <c r="H7"/>
  <c r="E70" s="1"/>
  <c r="H8"/>
  <c r="E71" s="1"/>
  <c r="H9"/>
  <c r="E72" s="1"/>
  <c r="H3"/>
  <c r="E66" s="1"/>
  <c r="F4"/>
  <c r="D67" s="1"/>
  <c r="F5"/>
  <c r="D68" s="1"/>
  <c r="F6"/>
  <c r="D69" s="1"/>
  <c r="F7"/>
  <c r="D70" s="1"/>
  <c r="F8"/>
  <c r="D71" s="1"/>
  <c r="F9"/>
  <c r="D72" s="1"/>
  <c r="F3"/>
  <c r="D66" s="1"/>
  <c r="D4"/>
  <c r="C67" s="1"/>
  <c r="D5"/>
  <c r="C68" s="1"/>
  <c r="D6"/>
  <c r="C69" s="1"/>
  <c r="D7"/>
  <c r="C70" s="1"/>
  <c r="D8"/>
  <c r="C71" s="1"/>
  <c r="D9"/>
  <c r="C72" s="1"/>
  <c r="D3"/>
  <c r="C66" s="1"/>
  <c r="B4"/>
  <c r="B67" s="1"/>
  <c r="B5"/>
  <c r="B68" s="1"/>
  <c r="B6"/>
  <c r="B69" s="1"/>
  <c r="B7"/>
  <c r="B70" s="1"/>
  <c r="B8"/>
  <c r="B71" s="1"/>
  <c r="B9"/>
  <c r="B72" s="1"/>
  <c r="B3"/>
  <c r="B66" s="1"/>
  <c r="B75" i="63"/>
  <c r="B65"/>
  <c r="B57"/>
  <c r="E4" i="61"/>
  <c r="F4"/>
  <c r="G4"/>
  <c r="E5"/>
  <c r="F5"/>
  <c r="G5"/>
  <c r="E6"/>
  <c r="F6"/>
  <c r="G6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26"/>
  <c r="F26"/>
  <c r="G26"/>
  <c r="E27"/>
  <c r="F27"/>
  <c r="G27"/>
  <c r="E28"/>
  <c r="F28"/>
  <c r="G28"/>
  <c r="E29"/>
  <c r="F29"/>
  <c r="G29"/>
  <c r="E30"/>
  <c r="F30"/>
  <c r="G30"/>
  <c r="E31"/>
  <c r="F31"/>
  <c r="G31"/>
  <c r="E32"/>
  <c r="F32"/>
  <c r="G32"/>
  <c r="E33"/>
  <c r="F33"/>
  <c r="G33"/>
  <c r="E34"/>
  <c r="F34"/>
  <c r="G34"/>
  <c r="E35"/>
  <c r="F35"/>
  <c r="G35"/>
  <c r="E36"/>
  <c r="F36"/>
  <c r="G36"/>
  <c r="E37"/>
  <c r="F37"/>
  <c r="G37"/>
  <c r="E38"/>
  <c r="F38"/>
  <c r="G38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51"/>
  <c r="F51"/>
  <c r="G51"/>
  <c r="E52"/>
  <c r="F52"/>
  <c r="G52"/>
  <c r="E53"/>
  <c r="F53"/>
  <c r="G53"/>
  <c r="E54"/>
  <c r="F54"/>
  <c r="G54"/>
  <c r="E55"/>
  <c r="F55"/>
  <c r="G55"/>
  <c r="E56"/>
  <c r="F56"/>
  <c r="G56"/>
  <c r="E57"/>
  <c r="F57"/>
  <c r="G57"/>
  <c r="E58"/>
  <c r="F58"/>
  <c r="G58"/>
  <c r="E59"/>
  <c r="F59"/>
  <c r="G59"/>
  <c r="E60"/>
  <c r="F60"/>
  <c r="G60"/>
  <c r="E61"/>
  <c r="F61"/>
  <c r="G61"/>
  <c r="E62"/>
  <c r="F62"/>
  <c r="G62"/>
  <c r="E63"/>
  <c r="F63"/>
  <c r="G63"/>
  <c r="E64"/>
  <c r="F64"/>
  <c r="G64"/>
  <c r="E65"/>
  <c r="F65"/>
  <c r="G65"/>
  <c r="E66"/>
  <c r="F66"/>
  <c r="G66"/>
  <c r="E67"/>
  <c r="F67"/>
  <c r="G67"/>
  <c r="E68"/>
  <c r="F68"/>
  <c r="G68"/>
  <c r="E69"/>
  <c r="F69"/>
  <c r="G69"/>
  <c r="E70"/>
  <c r="F70"/>
  <c r="G70"/>
  <c r="E71"/>
  <c r="F71"/>
  <c r="G71"/>
  <c r="E72"/>
  <c r="F72"/>
  <c r="G72"/>
  <c r="E73"/>
  <c r="F73"/>
  <c r="G73"/>
  <c r="E74"/>
  <c r="F74"/>
  <c r="G74"/>
  <c r="E75"/>
  <c r="F75"/>
  <c r="G75"/>
  <c r="E76"/>
  <c r="F76"/>
  <c r="G76"/>
  <c r="E77"/>
  <c r="F77"/>
  <c r="G77"/>
  <c r="E78"/>
  <c r="F78"/>
  <c r="G78"/>
  <c r="E79"/>
  <c r="F79"/>
  <c r="G79"/>
  <c r="E80"/>
  <c r="F80"/>
  <c r="G80"/>
  <c r="E81"/>
  <c r="F81"/>
  <c r="G81"/>
  <c r="E82"/>
  <c r="F82"/>
  <c r="G82"/>
  <c r="E83"/>
  <c r="F83"/>
  <c r="G83"/>
  <c r="E84"/>
  <c r="F84"/>
  <c r="G84"/>
  <c r="E85"/>
  <c r="F85"/>
  <c r="G85"/>
  <c r="E86"/>
  <c r="F86"/>
  <c r="G86"/>
  <c r="E87"/>
  <c r="F87"/>
  <c r="G87"/>
  <c r="E88"/>
  <c r="F88"/>
  <c r="G88"/>
  <c r="E89"/>
  <c r="F89"/>
  <c r="G89"/>
  <c r="E90"/>
  <c r="F90"/>
  <c r="G90"/>
  <c r="E91"/>
  <c r="F91"/>
  <c r="G91"/>
  <c r="E92"/>
  <c r="F92"/>
  <c r="G92"/>
  <c r="E93"/>
  <c r="F93"/>
  <c r="G93"/>
  <c r="E94"/>
  <c r="F94"/>
  <c r="G94"/>
  <c r="E95"/>
  <c r="F95"/>
  <c r="G95"/>
  <c r="E96"/>
  <c r="F96"/>
  <c r="G96"/>
  <c r="E97"/>
  <c r="F97"/>
  <c r="G97"/>
  <c r="E98"/>
  <c r="F98"/>
  <c r="G98"/>
  <c r="E99"/>
  <c r="F99"/>
  <c r="G99"/>
  <c r="E100"/>
  <c r="F100"/>
  <c r="G100"/>
  <c r="E101"/>
  <c r="F101"/>
  <c r="G101"/>
  <c r="E102"/>
  <c r="F102"/>
  <c r="G102"/>
  <c r="F3"/>
  <c r="G3"/>
  <c r="E3"/>
  <c r="E2" i="63"/>
  <c r="E2" i="43"/>
  <c r="D5" s="1"/>
  <c r="B76" i="63"/>
  <c r="B73"/>
  <c r="B72"/>
  <c r="B71"/>
  <c r="B70"/>
  <c r="D67"/>
  <c r="B66"/>
  <c r="B63"/>
  <c r="B62"/>
  <c r="B61"/>
  <c r="B60"/>
  <c r="B55"/>
  <c r="B53"/>
  <c r="B52"/>
  <c r="B51"/>
  <c r="B48"/>
  <c r="B46"/>
  <c r="B44"/>
  <c r="B43"/>
  <c r="B42"/>
  <c r="M1" i="66"/>
  <c r="G2" i="63"/>
  <c r="H1"/>
  <c r="D18" s="1"/>
  <c r="H10" l="1"/>
  <c r="F9"/>
  <c r="I9"/>
  <c r="C9" s="1"/>
  <c r="H56" i="39"/>
  <c r="G58"/>
  <c r="F19" i="43"/>
  <c r="I19"/>
  <c r="C19" s="1"/>
  <c r="F59"/>
  <c r="J20"/>
  <c r="A12"/>
  <c r="A16"/>
  <c r="J71" i="63"/>
  <c r="I71" s="1"/>
  <c r="D8"/>
  <c r="I3"/>
  <c r="D20"/>
  <c r="D19"/>
  <c r="L1" i="60"/>
  <c r="H16" i="63"/>
  <c r="K1" i="60"/>
  <c r="F47" i="63"/>
  <c r="F45"/>
  <c r="F43"/>
  <c r="D43" s="1"/>
  <c r="J48"/>
  <c r="I48" s="1"/>
  <c r="J46"/>
  <c r="I46" s="1"/>
  <c r="J44"/>
  <c r="I44" s="1"/>
  <c r="F42"/>
  <c r="D42" s="1"/>
  <c r="J51"/>
  <c r="I51" s="1"/>
  <c r="F56"/>
  <c r="F54"/>
  <c r="F52"/>
  <c r="J56"/>
  <c r="I56" s="1"/>
  <c r="J54"/>
  <c r="I54" s="1"/>
  <c r="J52"/>
  <c r="I52" s="1"/>
  <c r="F60"/>
  <c r="G60" s="1"/>
  <c r="D60" s="1"/>
  <c r="F66"/>
  <c r="G66" s="1"/>
  <c r="D66" s="1"/>
  <c r="F64"/>
  <c r="G64" s="1"/>
  <c r="D64" s="1"/>
  <c r="F62"/>
  <c r="G62" s="1"/>
  <c r="D62" s="1"/>
  <c r="J67"/>
  <c r="I67" s="1"/>
  <c r="J65"/>
  <c r="I65" s="1"/>
  <c r="J63"/>
  <c r="I63" s="1"/>
  <c r="J61"/>
  <c r="I61" s="1"/>
  <c r="F70"/>
  <c r="G70" s="1"/>
  <c r="D70" s="1"/>
  <c r="F76"/>
  <c r="F74"/>
  <c r="G74" s="1"/>
  <c r="F72"/>
  <c r="G72" s="1"/>
  <c r="D72" s="1"/>
  <c r="J76"/>
  <c r="I76" s="1"/>
  <c r="J74"/>
  <c r="I74" s="1"/>
  <c r="D74" s="1"/>
  <c r="J72"/>
  <c r="I72" s="1"/>
  <c r="F48"/>
  <c r="F46"/>
  <c r="F44"/>
  <c r="J42"/>
  <c r="I42" s="1"/>
  <c r="J47"/>
  <c r="I47" s="1"/>
  <c r="J45"/>
  <c r="I45" s="1"/>
  <c r="J43"/>
  <c r="I43" s="1"/>
  <c r="F51"/>
  <c r="G51" s="1"/>
  <c r="F57"/>
  <c r="F55"/>
  <c r="F53"/>
  <c r="G53" s="1"/>
  <c r="J57"/>
  <c r="I57" s="1"/>
  <c r="J55"/>
  <c r="I55" s="1"/>
  <c r="J53"/>
  <c r="I53" s="1"/>
  <c r="J60"/>
  <c r="I60" s="1"/>
  <c r="F67"/>
  <c r="G67" s="1"/>
  <c r="F65"/>
  <c r="G65" s="1"/>
  <c r="D65" s="1"/>
  <c r="F63"/>
  <c r="F61"/>
  <c r="G61" s="1"/>
  <c r="D61" s="1"/>
  <c r="J66"/>
  <c r="I66" s="1"/>
  <c r="J64"/>
  <c r="I64" s="1"/>
  <c r="J62"/>
  <c r="I62" s="1"/>
  <c r="J70"/>
  <c r="I70" s="1"/>
  <c r="F75"/>
  <c r="G75" s="1"/>
  <c r="D75" s="1"/>
  <c r="F73"/>
  <c r="G73" s="1"/>
  <c r="D73" s="1"/>
  <c r="F71"/>
  <c r="G71" s="1"/>
  <c r="D71" s="1"/>
  <c r="J75"/>
  <c r="I75" s="1"/>
  <c r="J73"/>
  <c r="I73" s="1"/>
  <c r="D53"/>
  <c r="D51"/>
  <c r="I2" i="43"/>
  <c r="M1" s="1"/>
  <c r="D1"/>
  <c r="G2"/>
  <c r="E17" s="1"/>
  <c r="I56" i="39" l="1"/>
  <c r="H58"/>
  <c r="C10" i="63"/>
  <c r="H5" i="44"/>
  <c r="H6"/>
  <c r="M1" i="60"/>
  <c r="C7" i="63" s="1"/>
  <c r="G57"/>
  <c r="D57"/>
  <c r="G44"/>
  <c r="D44"/>
  <c r="G48"/>
  <c r="D48"/>
  <c r="D76"/>
  <c r="E70" s="1"/>
  <c r="B68" s="1"/>
  <c r="G76"/>
  <c r="G54"/>
  <c r="D54"/>
  <c r="D45"/>
  <c r="G45"/>
  <c r="G63"/>
  <c r="D63"/>
  <c r="E60" s="1"/>
  <c r="B58" s="1"/>
  <c r="G55"/>
  <c r="D55"/>
  <c r="G46"/>
  <c r="D46"/>
  <c r="D52"/>
  <c r="G52"/>
  <c r="G56"/>
  <c r="D56"/>
  <c r="G43"/>
  <c r="G47"/>
  <c r="D47"/>
  <c r="O4" i="59"/>
  <c r="O3"/>
  <c r="J56" i="39" l="1"/>
  <c r="I58"/>
  <c r="E51" i="63"/>
  <c r="B49" s="1"/>
  <c r="E42"/>
  <c r="K56" i="39" l="1"/>
  <c r="J58"/>
  <c r="F28" i="59"/>
  <c r="F31"/>
  <c r="G29"/>
  <c r="F13"/>
  <c r="F18" s="1"/>
  <c r="F9" i="9" s="1"/>
  <c r="B8" i="59"/>
  <c r="C11" i="39" l="1"/>
  <c r="G3" i="63"/>
  <c r="B11" i="64"/>
  <c r="G3" i="43"/>
  <c r="L56" i="39"/>
  <c r="K58"/>
  <c r="F16" i="59"/>
  <c r="F8" i="9" s="1"/>
  <c r="F19" i="59"/>
  <c r="F10" i="9" s="1"/>
  <c r="F32" i="59"/>
  <c r="B86" i="43"/>
  <c r="B75"/>
  <c r="B66"/>
  <c r="B55"/>
  <c r="Q29" i="39"/>
  <c r="Z29" s="1"/>
  <c r="D91"/>
  <c r="E91" s="1"/>
  <c r="F91" s="1"/>
  <c r="H29"/>
  <c r="AB29" s="1"/>
  <c r="F29"/>
  <c r="AA29" s="1"/>
  <c r="C29"/>
  <c r="M56" l="1"/>
  <c r="L58"/>
  <c r="F29" i="59"/>
  <c r="F33" s="1"/>
  <c r="B17" i="9" s="1"/>
  <c r="F17" i="59"/>
  <c r="F12" s="1"/>
  <c r="F5" i="9"/>
  <c r="C21" i="64"/>
  <c r="U29" i="39"/>
  <c r="S29"/>
  <c r="H22" i="43"/>
  <c r="F22"/>
  <c r="G91" i="39"/>
  <c r="J29"/>
  <c r="C28" i="64" l="1"/>
  <c r="C27" s="1"/>
  <c r="C30"/>
  <c r="C29" s="1"/>
  <c r="N56" i="39"/>
  <c r="M58"/>
  <c r="F20" i="59"/>
  <c r="F22" s="1"/>
  <c r="AC29" i="39"/>
  <c r="W29"/>
  <c r="E27" i="64" l="1"/>
  <c r="B2" s="1"/>
  <c r="B3"/>
  <c r="E30"/>
  <c r="E28"/>
  <c r="O56" i="39"/>
  <c r="O58" s="1"/>
  <c r="N58"/>
  <c r="E29" i="64"/>
  <c r="F114" i="43"/>
  <c r="N100"/>
  <c r="N109" s="1"/>
  <c r="M100"/>
  <c r="M109" s="1"/>
  <c r="L100"/>
  <c r="L109" s="1"/>
  <c r="K100"/>
  <c r="K109" s="1"/>
  <c r="J100"/>
  <c r="J109" s="1"/>
  <c r="I100"/>
  <c r="I109" s="1"/>
  <c r="H100"/>
  <c r="H109" s="1"/>
  <c r="G100"/>
  <c r="G109" s="1"/>
  <c r="F100"/>
  <c r="F109" s="1"/>
  <c r="E100"/>
  <c r="E109" s="1"/>
  <c r="D100"/>
  <c r="D109" s="1"/>
  <c r="C100"/>
  <c r="C109" s="1"/>
  <c r="D101"/>
  <c r="L101"/>
  <c r="N101"/>
  <c r="D78"/>
  <c r="F81"/>
  <c r="H83" s="1"/>
  <c r="B84"/>
  <c r="B83"/>
  <c r="B72"/>
  <c r="B61"/>
  <c r="B50"/>
  <c r="M88"/>
  <c r="N88" s="1"/>
  <c r="K88"/>
  <c r="J88" s="1"/>
  <c r="D88" s="1"/>
  <c r="M87"/>
  <c r="N87"/>
  <c r="K87"/>
  <c r="J87"/>
  <c r="M86"/>
  <c r="N86"/>
  <c r="K86"/>
  <c r="J86"/>
  <c r="M85"/>
  <c r="N85"/>
  <c r="K85"/>
  <c r="J85"/>
  <c r="M84"/>
  <c r="N84"/>
  <c r="K84"/>
  <c r="J84"/>
  <c r="M83"/>
  <c r="N83"/>
  <c r="K83"/>
  <c r="J83"/>
  <c r="M82"/>
  <c r="N82"/>
  <c r="K82"/>
  <c r="J82"/>
  <c r="M81"/>
  <c r="N81"/>
  <c r="K81"/>
  <c r="J81"/>
  <c r="M78"/>
  <c r="N78"/>
  <c r="K78"/>
  <c r="J78"/>
  <c r="M77"/>
  <c r="N77"/>
  <c r="K77"/>
  <c r="J77"/>
  <c r="M76"/>
  <c r="N76"/>
  <c r="K76"/>
  <c r="J76"/>
  <c r="M75"/>
  <c r="N75"/>
  <c r="K75"/>
  <c r="J75"/>
  <c r="D75" s="1"/>
  <c r="M74"/>
  <c r="N74" s="1"/>
  <c r="K74"/>
  <c r="J74" s="1"/>
  <c r="M73"/>
  <c r="N73" s="1"/>
  <c r="K73"/>
  <c r="J73" s="1"/>
  <c r="D73" s="1"/>
  <c r="M72"/>
  <c r="N72" s="1"/>
  <c r="K72"/>
  <c r="J72" s="1"/>
  <c r="M71"/>
  <c r="N71" s="1"/>
  <c r="K71"/>
  <c r="J71" s="1"/>
  <c r="M70"/>
  <c r="N70" s="1"/>
  <c r="K70"/>
  <c r="J70" s="1"/>
  <c r="M67"/>
  <c r="N67" s="1"/>
  <c r="K67"/>
  <c r="J67" s="1"/>
  <c r="M66"/>
  <c r="N66" s="1"/>
  <c r="K66"/>
  <c r="J66" s="1"/>
  <c r="M65"/>
  <c r="N65" s="1"/>
  <c r="K65"/>
  <c r="J65" s="1"/>
  <c r="M64"/>
  <c r="N64" s="1"/>
  <c r="K64"/>
  <c r="J64" s="1"/>
  <c r="D64" s="1"/>
  <c r="M63"/>
  <c r="N63" s="1"/>
  <c r="K63"/>
  <c r="J63" s="1"/>
  <c r="D63" s="1"/>
  <c r="M62"/>
  <c r="N62" s="1"/>
  <c r="K62"/>
  <c r="J62" s="1"/>
  <c r="D62" s="1"/>
  <c r="M61"/>
  <c r="N61" s="1"/>
  <c r="K61"/>
  <c r="J61" s="1"/>
  <c r="D61" s="1"/>
  <c r="M60"/>
  <c r="N60" s="1"/>
  <c r="K60"/>
  <c r="J60" s="1"/>
  <c r="D60" s="1"/>
  <c r="M59"/>
  <c r="N59" s="1"/>
  <c r="K59"/>
  <c r="J59" s="1"/>
  <c r="D59" s="1"/>
  <c r="M56"/>
  <c r="N56" s="1"/>
  <c r="K56"/>
  <c r="J56" s="1"/>
  <c r="D56" s="1"/>
  <c r="M55"/>
  <c r="N55" s="1"/>
  <c r="K55"/>
  <c r="J55" s="1"/>
  <c r="D55" s="1"/>
  <c r="M54"/>
  <c r="N54" s="1"/>
  <c r="K54"/>
  <c r="J54" s="1"/>
  <c r="M53"/>
  <c r="N53" s="1"/>
  <c r="K53"/>
  <c r="J53" s="1"/>
  <c r="D53"/>
  <c r="M52"/>
  <c r="N52" s="1"/>
  <c r="K52"/>
  <c r="J52" s="1"/>
  <c r="D52" s="1"/>
  <c r="M51"/>
  <c r="N51" s="1"/>
  <c r="K51"/>
  <c r="J51" s="1"/>
  <c r="D51" s="1"/>
  <c r="M50"/>
  <c r="N50" s="1"/>
  <c r="K50"/>
  <c r="J50" s="1"/>
  <c r="M49"/>
  <c r="N49" s="1"/>
  <c r="K49"/>
  <c r="J49" s="1"/>
  <c r="D49"/>
  <c r="M48"/>
  <c r="N48" s="1"/>
  <c r="K48"/>
  <c r="J48" s="1"/>
  <c r="D48" s="1"/>
  <c r="D66"/>
  <c r="D65"/>
  <c r="D67"/>
  <c r="D77"/>
  <c r="D71"/>
  <c r="D70"/>
  <c r="D76"/>
  <c r="D74"/>
  <c r="D72"/>
  <c r="D81"/>
  <c r="D87"/>
  <c r="D85"/>
  <c r="D83"/>
  <c r="D86"/>
  <c r="D84"/>
  <c r="D82"/>
  <c r="H114"/>
  <c r="H34"/>
  <c r="H35"/>
  <c r="H36"/>
  <c r="H37"/>
  <c r="H38"/>
  <c r="H39"/>
  <c r="H33"/>
  <c r="F38"/>
  <c r="F33"/>
  <c r="P17"/>
  <c r="O17"/>
  <c r="N17"/>
  <c r="M17"/>
  <c r="C18"/>
  <c r="H17"/>
  <c r="F15"/>
  <c r="E15"/>
  <c r="D15"/>
  <c r="C15"/>
  <c r="C10"/>
  <c r="C11" s="1"/>
  <c r="C9"/>
  <c r="A7"/>
  <c r="C23" i="39"/>
  <c r="I53"/>
  <c r="J53" s="1"/>
  <c r="G53"/>
  <c r="H53" s="1"/>
  <c r="E53"/>
  <c r="F53" s="1"/>
  <c r="B98"/>
  <c r="F35" s="1"/>
  <c r="B100"/>
  <c r="H36" s="1"/>
  <c r="D69"/>
  <c r="E69" s="1"/>
  <c r="F69" s="1"/>
  <c r="G69" s="1"/>
  <c r="H69" s="1"/>
  <c r="I69" s="1"/>
  <c r="J69" s="1"/>
  <c r="K69" s="1"/>
  <c r="L69" s="1"/>
  <c r="M69" s="1"/>
  <c r="W7"/>
  <c r="AB7"/>
  <c r="S7"/>
  <c r="J38"/>
  <c r="W38" s="1"/>
  <c r="H38"/>
  <c r="AB38" s="1"/>
  <c r="F38"/>
  <c r="AA38" s="1"/>
  <c r="D112"/>
  <c r="E112" s="1"/>
  <c r="F112" s="1"/>
  <c r="G112" s="1"/>
  <c r="D108"/>
  <c r="E108" s="1"/>
  <c r="F108" s="1"/>
  <c r="G108" s="1"/>
  <c r="H108" s="1"/>
  <c r="I108" s="1"/>
  <c r="J108" s="1"/>
  <c r="K108" s="1"/>
  <c r="L108" s="1"/>
  <c r="M108" s="1"/>
  <c r="J37"/>
  <c r="D97"/>
  <c r="F34"/>
  <c r="AA34" s="1"/>
  <c r="D95"/>
  <c r="E95" s="1"/>
  <c r="D93"/>
  <c r="E93" s="1"/>
  <c r="F93" s="1"/>
  <c r="G93" s="1"/>
  <c r="H93" s="1"/>
  <c r="I93" s="1"/>
  <c r="J93" s="1"/>
  <c r="K93" s="1"/>
  <c r="L93" s="1"/>
  <c r="M93" s="1"/>
  <c r="D89"/>
  <c r="D87"/>
  <c r="E87" s="1"/>
  <c r="Q39"/>
  <c r="Z39" s="1"/>
  <c r="Q40"/>
  <c r="Z40" s="1"/>
  <c r="Q41"/>
  <c r="Z41" s="1"/>
  <c r="Q42"/>
  <c r="Z42" s="1"/>
  <c r="Q43"/>
  <c r="Z43" s="1"/>
  <c r="Q44"/>
  <c r="Z44" s="1"/>
  <c r="Q45"/>
  <c r="Z45" s="1"/>
  <c r="Q38"/>
  <c r="Z38" s="1"/>
  <c r="Q36"/>
  <c r="Z36" s="1"/>
  <c r="Q37"/>
  <c r="Z37" s="1"/>
  <c r="M104"/>
  <c r="L104"/>
  <c r="K104"/>
  <c r="J104"/>
  <c r="I104"/>
  <c r="H104"/>
  <c r="G104"/>
  <c r="F104"/>
  <c r="E104"/>
  <c r="D104"/>
  <c r="C104"/>
  <c r="H45"/>
  <c r="B117"/>
  <c r="H44" s="1"/>
  <c r="B115"/>
  <c r="J43" s="1"/>
  <c r="D114"/>
  <c r="E114" s="1"/>
  <c r="F114" s="1"/>
  <c r="G114" s="1"/>
  <c r="H114" s="1"/>
  <c r="I114" s="1"/>
  <c r="J114" s="1"/>
  <c r="K114" s="1"/>
  <c r="L114" s="1"/>
  <c r="M114" s="1"/>
  <c r="D110"/>
  <c r="E110" s="1"/>
  <c r="F110" s="1"/>
  <c r="G110" s="1"/>
  <c r="H110" s="1"/>
  <c r="I110" s="1"/>
  <c r="J110" s="1"/>
  <c r="K110" s="1"/>
  <c r="L110" s="1"/>
  <c r="M110" s="1"/>
  <c r="B92"/>
  <c r="D85"/>
  <c r="E85" s="1"/>
  <c r="D83"/>
  <c r="E83" s="1"/>
  <c r="D81"/>
  <c r="E81" s="1"/>
  <c r="D79"/>
  <c r="E79" s="1"/>
  <c r="D77"/>
  <c r="E77" s="1"/>
  <c r="B74"/>
  <c r="F14" s="1"/>
  <c r="B72"/>
  <c r="B70"/>
  <c r="H12" s="1"/>
  <c r="U12" s="1"/>
  <c r="M67"/>
  <c r="L67"/>
  <c r="K67"/>
  <c r="J67"/>
  <c r="I67"/>
  <c r="H67"/>
  <c r="G67"/>
  <c r="F67"/>
  <c r="E67"/>
  <c r="D67"/>
  <c r="C67"/>
  <c r="P48"/>
  <c r="P47"/>
  <c r="V46"/>
  <c r="T46"/>
  <c r="R46"/>
  <c r="P46"/>
  <c r="J39"/>
  <c r="AC39" s="1"/>
  <c r="F39"/>
  <c r="AA39" s="1"/>
  <c r="Q35"/>
  <c r="Z35" s="1"/>
  <c r="Q34"/>
  <c r="Z34" s="1"/>
  <c r="Q32"/>
  <c r="Z32" s="1"/>
  <c r="Q31"/>
  <c r="Z31" s="1"/>
  <c r="Q27"/>
  <c r="Z27" s="1"/>
  <c r="Q25"/>
  <c r="Z25" s="1"/>
  <c r="Q23"/>
  <c r="Z23" s="1"/>
  <c r="Q21"/>
  <c r="Z21" s="1"/>
  <c r="Q19"/>
  <c r="Z19" s="1"/>
  <c r="Q17"/>
  <c r="Z17" s="1"/>
  <c r="Q15"/>
  <c r="Z15" s="1"/>
  <c r="Q14"/>
  <c r="Z14" s="1"/>
  <c r="Q13"/>
  <c r="Z13" s="1"/>
  <c r="Q12"/>
  <c r="Z12" s="1"/>
  <c r="Q11"/>
  <c r="Z11" s="1"/>
  <c r="Q10"/>
  <c r="Z10" s="1"/>
  <c r="Q9"/>
  <c r="Z9" s="1"/>
  <c r="J9"/>
  <c r="AC9" s="1"/>
  <c r="H9"/>
  <c r="AB9" s="1"/>
  <c r="F9"/>
  <c r="AA9" s="1"/>
  <c r="J8"/>
  <c r="AC8" s="1"/>
  <c r="H8"/>
  <c r="AB8" s="1"/>
  <c r="F8"/>
  <c r="AA8" s="1"/>
  <c r="B88" i="43"/>
  <c r="B85"/>
  <c r="C21" i="39"/>
  <c r="F45"/>
  <c r="AA45" s="1"/>
  <c r="J44"/>
  <c r="W44" s="1"/>
  <c r="F36"/>
  <c r="S36" s="1"/>
  <c r="J36"/>
  <c r="AC36" s="1"/>
  <c r="F42"/>
  <c r="AA42" s="1"/>
  <c r="F41"/>
  <c r="AA41" s="1"/>
  <c r="H39"/>
  <c r="U39" s="1"/>
  <c r="H34"/>
  <c r="AB34" s="1"/>
  <c r="E97"/>
  <c r="F97" s="1"/>
  <c r="G97" s="1"/>
  <c r="H97" s="1"/>
  <c r="I97" s="1"/>
  <c r="J97" s="1"/>
  <c r="K97" s="1"/>
  <c r="L97" s="1"/>
  <c r="M97" s="1"/>
  <c r="H31"/>
  <c r="AB31" s="1"/>
  <c r="F31"/>
  <c r="AA31" s="1"/>
  <c r="E89"/>
  <c r="F89" s="1"/>
  <c r="G89" s="1"/>
  <c r="H42"/>
  <c r="AB42" s="1"/>
  <c r="J34"/>
  <c r="AC34" s="1"/>
  <c r="J31"/>
  <c r="W31" s="1"/>
  <c r="H27"/>
  <c r="AB27" s="1"/>
  <c r="C25"/>
  <c r="H11"/>
  <c r="AB11" s="1"/>
  <c r="F43"/>
  <c r="AA43" s="1"/>
  <c r="H43"/>
  <c r="U43" s="1"/>
  <c r="J14"/>
  <c r="AC14" s="1"/>
  <c r="H14"/>
  <c r="AB14" s="1"/>
  <c r="F13"/>
  <c r="AA13" s="1"/>
  <c r="J13"/>
  <c r="W13" s="1"/>
  <c r="H13"/>
  <c r="U13" s="1"/>
  <c r="J41"/>
  <c r="W41" s="1"/>
  <c r="J42"/>
  <c r="AC42" s="1"/>
  <c r="C12" i="43"/>
  <c r="H37" i="39"/>
  <c r="AB37" s="1"/>
  <c r="F11"/>
  <c r="AA11" s="1"/>
  <c r="J11"/>
  <c r="AC11" s="1"/>
  <c r="G17" i="43"/>
  <c r="F34"/>
  <c r="F39"/>
  <c r="F37"/>
  <c r="H9" i="44"/>
  <c r="H12"/>
  <c r="H7"/>
  <c r="F35" i="43"/>
  <c r="J17"/>
  <c r="C17"/>
  <c r="I17"/>
  <c r="F36"/>
  <c r="G22"/>
  <c r="E22"/>
  <c r="H10" i="44"/>
  <c r="H8"/>
  <c r="N104" i="46"/>
  <c r="C17" i="39"/>
  <c r="B48" i="43"/>
  <c r="B71"/>
  <c r="B60"/>
  <c r="B49"/>
  <c r="B74"/>
  <c r="B65"/>
  <c r="B54"/>
  <c r="C27" i="39"/>
  <c r="B81" i="43"/>
  <c r="H40" i="39"/>
  <c r="U40" s="1"/>
  <c r="C15"/>
  <c r="B70" i="43"/>
  <c r="C19" i="39"/>
  <c r="B59" i="43"/>
  <c r="B77"/>
  <c r="B67"/>
  <c r="B56"/>
  <c r="B73"/>
  <c r="B63"/>
  <c r="B52"/>
  <c r="B82"/>
  <c r="F40" i="39"/>
  <c r="S40" s="1"/>
  <c r="B114" i="43"/>
  <c r="I119" s="1"/>
  <c r="J119" s="1"/>
  <c r="K119" s="1"/>
  <c r="L119" s="1"/>
  <c r="M119" s="1"/>
  <c r="M102"/>
  <c r="M107" s="1"/>
  <c r="K102"/>
  <c r="I102"/>
  <c r="I108" s="1"/>
  <c r="G102"/>
  <c r="G108" s="1"/>
  <c r="E102"/>
  <c r="C102"/>
  <c r="C108" s="1"/>
  <c r="N102"/>
  <c r="L102"/>
  <c r="L108" s="1"/>
  <c r="J102"/>
  <c r="J108" s="1"/>
  <c r="H102"/>
  <c r="F102"/>
  <c r="D102"/>
  <c r="D108" s="1"/>
  <c r="AA10" i="39"/>
  <c r="AB10"/>
  <c r="AC44"/>
  <c r="J12"/>
  <c r="AC12" s="1"/>
  <c r="F12"/>
  <c r="S12" s="1"/>
  <c r="U8"/>
  <c r="H35"/>
  <c r="U35" s="1"/>
  <c r="J35"/>
  <c r="AC35" s="1"/>
  <c r="N10" i="43"/>
  <c r="N6"/>
  <c r="N2"/>
  <c r="M11"/>
  <c r="M7"/>
  <c r="M3"/>
  <c r="N1"/>
  <c r="N7"/>
  <c r="M10"/>
  <c r="M2"/>
  <c r="M8"/>
  <c r="H15" i="44"/>
  <c r="M4" i="43"/>
  <c r="N9"/>
  <c r="H62"/>
  <c r="AA14" i="39" l="1"/>
  <c r="S14"/>
  <c r="H101" i="43"/>
  <c r="N110"/>
  <c r="E81"/>
  <c r="E70"/>
  <c r="B68" s="1"/>
  <c r="E59"/>
  <c r="B57" s="1"/>
  <c r="D50"/>
  <c r="F101"/>
  <c r="D54"/>
  <c r="B79"/>
  <c r="J101"/>
  <c r="G101"/>
  <c r="W8" i="39"/>
  <c r="J23"/>
  <c r="AC23" s="1"/>
  <c r="F23"/>
  <c r="AA23" s="1"/>
  <c r="AB36"/>
  <c r="U36"/>
  <c r="U34"/>
  <c r="S13"/>
  <c r="J27"/>
  <c r="AC27" s="1"/>
  <c r="C24" i="43"/>
  <c r="H110"/>
  <c r="F110"/>
  <c r="G20"/>
  <c r="E8"/>
  <c r="E10"/>
  <c r="E11"/>
  <c r="E9"/>
  <c r="F108"/>
  <c r="E110"/>
  <c r="M110"/>
  <c r="M101"/>
  <c r="E101"/>
  <c r="K101"/>
  <c r="C101"/>
  <c r="C23" s="1"/>
  <c r="C110"/>
  <c r="K110"/>
  <c r="AB13" i="39"/>
  <c r="F27"/>
  <c r="AA27" s="1"/>
  <c r="AC38"/>
  <c r="I101" i="43"/>
  <c r="H82"/>
  <c r="AC13" i="39"/>
  <c r="H106" i="43"/>
  <c r="K103"/>
  <c r="AC7" i="39"/>
  <c r="U7"/>
  <c r="AA7"/>
  <c r="W14"/>
  <c r="W36"/>
  <c r="S8"/>
  <c r="F44"/>
  <c r="S42"/>
  <c r="S41"/>
  <c r="W39"/>
  <c r="S39"/>
  <c r="U38"/>
  <c r="S38"/>
  <c r="U14"/>
  <c r="AA36"/>
  <c r="AB43"/>
  <c r="AB39"/>
  <c r="J40"/>
  <c r="AA40"/>
  <c r="W42"/>
  <c r="H15"/>
  <c r="U15" s="1"/>
  <c r="F77"/>
  <c r="G77" s="1"/>
  <c r="F15"/>
  <c r="J15"/>
  <c r="W15" s="1"/>
  <c r="F37"/>
  <c r="U44"/>
  <c r="AB44"/>
  <c r="W43"/>
  <c r="AC43"/>
  <c r="H112"/>
  <c r="I112" s="1"/>
  <c r="J112" s="1"/>
  <c r="K112" s="1"/>
  <c r="L112" s="1"/>
  <c r="M112" s="1"/>
  <c r="H41"/>
  <c r="U41" s="1"/>
  <c r="AB40"/>
  <c r="AC41"/>
  <c r="AB45"/>
  <c r="U45"/>
  <c r="S45"/>
  <c r="J45"/>
  <c r="H23"/>
  <c r="U23" s="1"/>
  <c r="F85"/>
  <c r="G85" s="1"/>
  <c r="U37"/>
  <c r="AA35"/>
  <c r="S35"/>
  <c r="F87"/>
  <c r="G87" s="1"/>
  <c r="H25"/>
  <c r="U25" s="1"/>
  <c r="F25"/>
  <c r="S25" s="1"/>
  <c r="J25"/>
  <c r="W25" s="1"/>
  <c r="W35"/>
  <c r="S34"/>
  <c r="F79"/>
  <c r="G79" s="1"/>
  <c r="F17"/>
  <c r="AA17" s="1"/>
  <c r="J17"/>
  <c r="W17" s="1"/>
  <c r="H17"/>
  <c r="AB17" s="1"/>
  <c r="F83"/>
  <c r="G83" s="1"/>
  <c r="H21"/>
  <c r="U21" s="1"/>
  <c r="J21"/>
  <c r="AC21" s="1"/>
  <c r="F21"/>
  <c r="AA21" s="1"/>
  <c r="F32"/>
  <c r="AA32" s="1"/>
  <c r="F95"/>
  <c r="G95" s="1"/>
  <c r="H95" s="1"/>
  <c r="I95" s="1"/>
  <c r="J95" s="1"/>
  <c r="K95" s="1"/>
  <c r="L95" s="1"/>
  <c r="M95" s="1"/>
  <c r="J32"/>
  <c r="AC32" s="1"/>
  <c r="H32"/>
  <c r="U32" s="1"/>
  <c r="F81"/>
  <c r="G81" s="1"/>
  <c r="F19"/>
  <c r="AA19" s="1"/>
  <c r="H19"/>
  <c r="U19" s="1"/>
  <c r="J19"/>
  <c r="AC19" s="1"/>
  <c r="W37"/>
  <c r="AC37"/>
  <c r="W34"/>
  <c r="S31"/>
  <c r="U27"/>
  <c r="AC25"/>
  <c r="AA25"/>
  <c r="W23"/>
  <c r="S23"/>
  <c r="W21"/>
  <c r="AB19"/>
  <c r="U17"/>
  <c r="AC15"/>
  <c r="AB15"/>
  <c r="AA12"/>
  <c r="AB12"/>
  <c r="W12"/>
  <c r="U11"/>
  <c r="S11"/>
  <c r="W11"/>
  <c r="E105" i="43"/>
  <c r="N103"/>
  <c r="D116"/>
  <c r="E116" s="1"/>
  <c r="F116" s="1"/>
  <c r="G116" s="1"/>
  <c r="H116" s="1"/>
  <c r="I106"/>
  <c r="J110"/>
  <c r="I117"/>
  <c r="J117" s="1"/>
  <c r="K117" s="1"/>
  <c r="L117" s="1"/>
  <c r="M117" s="1"/>
  <c r="B118"/>
  <c r="C118" s="1"/>
  <c r="M103"/>
  <c r="I110"/>
  <c r="E108"/>
  <c r="N107"/>
  <c r="J106"/>
  <c r="F105"/>
  <c r="U9" i="39"/>
  <c r="S9"/>
  <c r="W9"/>
  <c r="H87" i="43"/>
  <c r="H86"/>
  <c r="H85"/>
  <c r="H81"/>
  <c r="H84"/>
  <c r="H88"/>
  <c r="D118"/>
  <c r="E118" s="1"/>
  <c r="F118" s="1"/>
  <c r="G118" s="1"/>
  <c r="H118" s="1"/>
  <c r="I116"/>
  <c r="J116" s="1"/>
  <c r="K116" s="1"/>
  <c r="L116" s="1"/>
  <c r="M116" s="1"/>
  <c r="B116"/>
  <c r="C116" s="1"/>
  <c r="M105"/>
  <c r="M108"/>
  <c r="I104"/>
  <c r="E107"/>
  <c r="E103"/>
  <c r="N105"/>
  <c r="N108"/>
  <c r="J104"/>
  <c r="F107"/>
  <c r="F103"/>
  <c r="D22"/>
  <c r="H61"/>
  <c r="U10" i="39"/>
  <c r="G119" i="43"/>
  <c r="H119" s="1"/>
  <c r="D119"/>
  <c r="E119" s="1"/>
  <c r="F119" s="1"/>
  <c r="D117"/>
  <c r="E117" s="1"/>
  <c r="F117" s="1"/>
  <c r="G117" s="1"/>
  <c r="H117" s="1"/>
  <c r="I118"/>
  <c r="J118" s="1"/>
  <c r="K118" s="1"/>
  <c r="L118" s="1"/>
  <c r="M118" s="1"/>
  <c r="B119"/>
  <c r="C119" s="1"/>
  <c r="B117"/>
  <c r="C117" s="1"/>
  <c r="M106"/>
  <c r="M104"/>
  <c r="I107"/>
  <c r="I105"/>
  <c r="I103"/>
  <c r="E106"/>
  <c r="E104"/>
  <c r="N106"/>
  <c r="N104"/>
  <c r="J107"/>
  <c r="J105"/>
  <c r="J103"/>
  <c r="F106"/>
  <c r="F104"/>
  <c r="H63"/>
  <c r="S10" i="39"/>
  <c r="L106" i="43"/>
  <c r="D105"/>
  <c r="G110"/>
  <c r="M12"/>
  <c r="N5"/>
  <c r="M6"/>
  <c r="C6" s="1"/>
  <c r="N3"/>
  <c r="N11"/>
  <c r="M5"/>
  <c r="M9"/>
  <c r="N4"/>
  <c r="F70" s="1"/>
  <c r="N8"/>
  <c r="F48" s="1"/>
  <c r="N12"/>
  <c r="H14" i="44"/>
  <c r="H13"/>
  <c r="H16"/>
  <c r="H11"/>
  <c r="L110" i="43"/>
  <c r="H108"/>
  <c r="K107"/>
  <c r="G106"/>
  <c r="C105"/>
  <c r="L104"/>
  <c r="H107"/>
  <c r="H103"/>
  <c r="D104"/>
  <c r="D110"/>
  <c r="K105"/>
  <c r="K108"/>
  <c r="G104"/>
  <c r="C107"/>
  <c r="C103"/>
  <c r="H64"/>
  <c r="L107"/>
  <c r="L105"/>
  <c r="L103"/>
  <c r="H105"/>
  <c r="H104"/>
  <c r="D106"/>
  <c r="D107"/>
  <c r="D103"/>
  <c r="K106"/>
  <c r="K104"/>
  <c r="G107"/>
  <c r="G105"/>
  <c r="G103"/>
  <c r="C106"/>
  <c r="C104"/>
  <c r="H65"/>
  <c r="H66"/>
  <c r="H67"/>
  <c r="H59"/>
  <c r="H60"/>
  <c r="W10" i="39"/>
  <c r="AC10"/>
  <c r="C16" i="43"/>
  <c r="AB35" i="39"/>
  <c r="U31"/>
  <c r="S43"/>
  <c r="S32"/>
  <c r="AB25"/>
  <c r="S27"/>
  <c r="W27"/>
  <c r="AC17"/>
  <c r="U42"/>
  <c r="AC31"/>
  <c r="H72" i="43" l="1"/>
  <c r="H74"/>
  <c r="H78"/>
  <c r="H76"/>
  <c r="H75"/>
  <c r="H71"/>
  <c r="H70"/>
  <c r="H73"/>
  <c r="H77"/>
  <c r="W32" i="39"/>
  <c r="AB23"/>
  <c r="E48" i="43"/>
  <c r="B46" s="1"/>
  <c r="B17" i="59"/>
  <c r="B18" s="1"/>
  <c r="C20" i="43"/>
  <c r="C5"/>
  <c r="S21" i="39"/>
  <c r="S17"/>
  <c r="AB21"/>
  <c r="H49" i="43"/>
  <c r="H56"/>
  <c r="H55"/>
  <c r="H52"/>
  <c r="H53"/>
  <c r="H48"/>
  <c r="H51"/>
  <c r="H54"/>
  <c r="H50"/>
  <c r="C7"/>
  <c r="AA44" i="39"/>
  <c r="S44"/>
  <c r="AC40"/>
  <c r="W40"/>
  <c r="AB41"/>
  <c r="T47" s="1"/>
  <c r="G47" s="1"/>
  <c r="S19"/>
  <c r="AA15"/>
  <c r="S15"/>
  <c r="AA37"/>
  <c r="S37"/>
  <c r="W45"/>
  <c r="AC45"/>
  <c r="R47"/>
  <c r="E47" s="1"/>
  <c r="E51" s="1"/>
  <c r="F51" s="1"/>
  <c r="AB32"/>
  <c r="W19"/>
  <c r="D114" i="43"/>
  <c r="J22" s="1"/>
  <c r="C21" s="1"/>
  <c r="V47" i="39"/>
  <c r="I47" s="1"/>
  <c r="I51" s="1"/>
  <c r="J51" s="1"/>
  <c r="C34" i="43" l="1"/>
  <c r="G34" s="1"/>
  <c r="I34" s="1"/>
  <c r="C33"/>
  <c r="E33" s="1"/>
  <c r="C36"/>
  <c r="E36" s="1"/>
  <c r="C35"/>
  <c r="E35" s="1"/>
  <c r="C37"/>
  <c r="E37" s="1"/>
  <c r="C39"/>
  <c r="E39" s="1"/>
  <c r="C38"/>
  <c r="E38" s="1"/>
  <c r="C29"/>
  <c r="B3" s="1"/>
  <c r="R48" i="39"/>
  <c r="C47" s="1"/>
  <c r="I52"/>
  <c r="J52" s="1"/>
  <c r="G52"/>
  <c r="H52" s="1"/>
  <c r="E52"/>
  <c r="F52" s="1"/>
  <c r="G51"/>
  <c r="H51" s="1"/>
  <c r="G37" i="43" l="1"/>
  <c r="I37" s="1"/>
  <c r="C30"/>
  <c r="E34"/>
  <c r="G35"/>
  <c r="I35" s="1"/>
  <c r="G33"/>
  <c r="I33" s="1"/>
  <c r="G38"/>
  <c r="I38" s="1"/>
  <c r="E29"/>
  <c r="G39"/>
  <c r="I39" s="1"/>
  <c r="G36"/>
  <c r="I36" s="1"/>
  <c r="C48" i="39"/>
  <c r="B3" s="1"/>
  <c r="C26" i="43" l="1"/>
  <c r="B2" s="1"/>
  <c r="E30"/>
  <c r="C27" s="1"/>
  <c r="B2" i="39"/>
  <c r="G42" i="63" l="1"/>
  <c r="B40"/>
  <c r="C15" s="1"/>
  <c r="F21" i="59" l="1"/>
  <c r="F13" i="9"/>
  <c r="F11"/>
  <c r="F11" i="59" l="1"/>
  <c r="F12" i="9"/>
  <c r="F14" s="1"/>
  <c r="E13" i="63" l="1"/>
  <c r="F13" s="1"/>
  <c r="G13"/>
  <c r="H13" s="1"/>
  <c r="G12"/>
  <c r="H12" s="1"/>
  <c r="B80"/>
  <c r="B83" s="1"/>
  <c r="C21"/>
  <c r="E21" s="1"/>
  <c r="E12"/>
  <c r="C20"/>
  <c r="B4" s="1"/>
  <c r="E20" l="1"/>
  <c r="B85"/>
  <c r="F12"/>
  <c r="D13" s="1"/>
  <c r="B84"/>
  <c r="B81" s="1"/>
  <c r="D14" s="1"/>
  <c r="B82"/>
  <c r="C11" l="1"/>
  <c r="C19" s="1"/>
  <c r="E19" s="1"/>
  <c r="D12"/>
  <c r="C18" l="1"/>
  <c r="B3" s="1"/>
  <c r="F6" i="59" s="1"/>
  <c r="C22" i="63" l="1"/>
  <c r="B5" s="1"/>
  <c r="F7" i="59" s="1"/>
  <c r="E18" i="63"/>
  <c r="F5" i="59"/>
  <c r="F8" l="1"/>
  <c r="F9" s="1"/>
  <c r="B12" i="9" s="1"/>
  <c r="B5"/>
  <c r="F10" i="59" l="1"/>
  <c r="B13" i="9" s="1"/>
  <c r="B11"/>
  <c r="B14" l="1"/>
  <c r="F4" i="59"/>
  <c r="F24" s="1"/>
  <c r="F25" l="1"/>
  <c r="F35"/>
  <c r="B18" i="9" s="1"/>
  <c r="C11" i="68" s="1"/>
  <c r="B15" i="9"/>
  <c r="B16" l="1"/>
  <c r="F36" i="59"/>
  <c r="B19" i="9" s="1"/>
  <c r="H1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<sst xmlns="http://schemas.openxmlformats.org/spreadsheetml/2006/main" count="3923" uniqueCount="1769">
  <si>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</si>
  <si>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</si>
  <si>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</si>
  <si>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</si>
  <si>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</si>
  <si>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</si>
  <si>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</si>
  <si>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</si>
  <si>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</si>
  <si>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</si>
  <si>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</si>
  <si>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</si>
  <si>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</si>
  <si>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</si>
  <si>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</si>
  <si>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</si>
  <si>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</si>
  <si>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</si>
  <si>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</si>
  <si>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</si>
  <si>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</si>
  <si>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</si>
  <si>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</si>
  <si>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</si>
  <si>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</si>
  <si>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</si>
  <si>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</si>
  <si>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</si>
  <si>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</si>
  <si>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</si>
  <si>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</si>
  <si>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</si>
  <si>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</si>
  <si>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</si>
  <si>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</si>
  <si>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</si>
  <si>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</si>
  <si>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</si>
  <si>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</si>
  <si>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</si>
  <si>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</si>
  <si>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</si>
  <si>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</si>
  <si>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</si>
  <si>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</si>
  <si>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</si>
  <si>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</si>
  <si>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</si>
  <si>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</si>
  <si>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</si>
  <si>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</si>
  <si>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</si>
  <si>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</si>
  <si>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</si>
  <si>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</si>
  <si>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</si>
  <si>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</si>
  <si>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</si>
  <si>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</si>
  <si>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</si>
  <si>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</si>
  <si>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</si>
  <si>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</si>
  <si>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</si>
  <si>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</si>
  <si>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</si>
  <si>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</si>
  <si>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</si>
  <si>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</si>
  <si>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</si>
  <si>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</si>
  <si>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</si>
  <si>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</si>
  <si>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</si>
  <si>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</si>
  <si>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</si>
  <si>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</si>
  <si>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</si>
  <si>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</si>
  <si>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</si>
  <si>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</si>
  <si>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</si>
  <si>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</si>
  <si>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</si>
  <si>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</si>
  <si>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</si>
  <si>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</si>
  <si>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</si>
  <si>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</si>
  <si>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</si>
  <si>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</si>
  <si>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</si>
  <si>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</si>
  <si>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</si>
  <si>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</si>
  <si>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</si>
  <si>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</si>
  <si>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</si>
  <si>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</si>
  <si>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</si>
  <si>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</si>
  <si>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</si>
  <si>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</si>
  <si>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</si>
  <si>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</si>
  <si>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</si>
  <si>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</si>
  <si>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</si>
  <si>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</si>
  <si>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</si>
  <si>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</si>
  <si>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</si>
  <si>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</si>
  <si>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</si>
  <si>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</si>
  <si>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</si>
  <si>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</si>
  <si>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</si>
  <si>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</si>
  <si>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</si>
  <si>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</si>
  <si>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</si>
  <si>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</si>
  <si>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</si>
  <si>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</si>
  <si>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</si>
  <si>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</si>
  <si>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</si>
  <si>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</si>
  <si>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</si>
  <si>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</si>
  <si>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</si>
  <si>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</si>
  <si>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</si>
  <si>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</si>
  <si>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</si>
  <si>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</si>
  <si>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</si>
  <si>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</si>
  <si>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</si>
  <si>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</si>
  <si>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</si>
  <si>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</si>
  <si>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</si>
  <si>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</si>
  <si>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</si>
  <si>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</si>
  <si>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</si>
  <si>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</si>
  <si>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</si>
  <si>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</si>
  <si>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</si>
  <si>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</si>
  <si>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</si>
  <si>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</si>
  <si>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</si>
  <si>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</si>
  <si>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</si>
  <si>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</si>
  <si>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</si>
  <si>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</si>
  <si>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</si>
  <si>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</si>
  <si>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</si>
  <si>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</si>
  <si>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</si>
  <si>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</si>
  <si>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</si>
  <si>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</si>
  <si>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</si>
  <si>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</si>
  <si>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</si>
  <si>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</si>
  <si>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</si>
  <si>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</si>
  <si>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</si>
  <si>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</si>
  <si>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</si>
  <si>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</si>
  <si>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</si>
  <si>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</si>
  <si>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</si>
  <si>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</si>
  <si>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</si>
  <si>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</si>
  <si>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</si>
  <si>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</si>
  <si>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</si>
  <si>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</si>
  <si>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</si>
  <si>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</si>
  <si>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</si>
  <si>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</si>
  <si>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</si>
  <si>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</si>
  <si>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</si>
  <si>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</si>
  <si>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</si>
  <si>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</si>
  <si>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</si>
  <si>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</si>
  <si>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</si>
  <si>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</si>
  <si>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</si>
  <si>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</si>
  <si>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</si>
  <si>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</si>
  <si>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</si>
  <si>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</si>
  <si>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</si>
  <si>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</si>
  <si>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</si>
  <si>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</si>
  <si>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</si>
  <si>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</si>
  <si>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</si>
  <si>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</si>
  <si>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</si>
  <si>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</si>
  <si>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</si>
  <si>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</si>
  <si>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</si>
  <si>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</si>
  <si>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</si>
  <si>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</si>
  <si>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</si>
  <si>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</si>
  <si>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</si>
  <si>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</si>
  <si>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</si>
  <si>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</si>
  <si>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</si>
  <si>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</si>
  <si>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</si>
  <si>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</si>
  <si>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</si>
  <si>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</si>
  <si>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</si>
  <si>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</si>
  <si>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</si>
  <si>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</si>
  <si>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</si>
  <si>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</si>
  <si>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</si>
  <si>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</si>
  <si>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</si>
  <si>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</si>
  <si>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</si>
  <si>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</si>
  <si>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</si>
  <si>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</si>
  <si>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</si>
  <si>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</si>
  <si>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</si>
  <si>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</si>
  <si>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</si>
  <si>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</si>
  <si>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</si>
  <si>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</si>
  <si>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</si>
  <si>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</si>
  <si>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</si>
  <si>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</si>
  <si>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</si>
  <si>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</si>
  <si>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</si>
  <si>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</si>
  <si>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</si>
  <si>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</si>
  <si>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</si>
  <si>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</si>
  <si>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</si>
  <si>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</si>
  <si>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</si>
  <si>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</si>
  <si>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</si>
  <si>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</si>
  <si>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</si>
  <si>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</si>
  <si>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</si>
  <si>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</si>
  <si>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</si>
  <si>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</si>
  <si>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</si>
  <si>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</si>
  <si>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</si>
  <si>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</si>
  <si>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</si>
  <si>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</si>
  <si>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</si>
  <si>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</si>
  <si>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</si>
  <si>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</si>
  <si>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</si>
  <si>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</si>
  <si>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</si>
  <si>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</si>
  <si>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</si>
  <si>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</si>
  <si>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</si>
  <si>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</si>
  <si>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</si>
  <si>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</si>
  <si>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</si>
  <si>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</si>
  <si>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</si>
  <si>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</si>
  <si>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</si>
  <si>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</si>
  <si>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</si>
  <si>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</si>
  <si>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</si>
  <si>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</si>
  <si>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</si>
  <si>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</si>
  <si>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</si>
  <si>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</si>
  <si>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</si>
  <si>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</si>
  <si>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</si>
  <si>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</si>
  <si>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</si>
  <si>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</si>
  <si>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</si>
  <si>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</si>
  <si>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</si>
  <si>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</si>
  <si>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</si>
  <si>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</si>
  <si>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</si>
  <si>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</si>
  <si>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</si>
  <si>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</si>
  <si>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</si>
  <si>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</si>
  <si>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</si>
  <si>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</si>
  <si>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</si>
  <si>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</si>
  <si>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</si>
  <si>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</si>
  <si>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</si>
  <si>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</si>
  <si>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</si>
  <si>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</si>
  <si>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</si>
  <si>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</si>
  <si>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</si>
  <si>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</si>
  <si>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</si>
  <si>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</si>
  <si>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</si>
  <si>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</si>
  <si>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</si>
  <si>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</si>
  <si>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</si>
  <si>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</si>
  <si>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</si>
  <si>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</si>
  <si>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</si>
  <si>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</si>
  <si>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</si>
  <si>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</si>
  <si>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</si>
  <si>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</si>
  <si>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</si>
  <si>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</si>
  <si>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</si>
  <si>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</si>
  <si>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</si>
  <si>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</si>
  <si>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</si>
  <si>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</si>
  <si>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</si>
  <si>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</si>
  <si>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</si>
  <si>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</si>
  <si>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</si>
  <si>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</si>
  <si>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</si>
  <si>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</si>
  <si>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</si>
  <si>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</si>
  <si>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</si>
  <si>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</si>
  <si>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</si>
  <si>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</si>
  <si>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</si>
  <si>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</si>
  <si>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</si>
  <si>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</si>
  <si>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</si>
  <si>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</si>
  <si>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</si>
  <si>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</si>
  <si>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</si>
  <si>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</si>
  <si>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</si>
  <si>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</si>
  <si>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</si>
  <si>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</si>
  <si>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</si>
  <si>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</si>
  <si>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</si>
  <si>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</si>
  <si>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</si>
  <si>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</si>
  <si>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</si>
  <si>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</si>
  <si>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</si>
  <si>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</si>
  <si>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</si>
  <si>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</si>
  <si>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</si>
  <si>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</si>
  <si>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</si>
  <si>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</si>
  <si>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</si>
  <si>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</si>
  <si>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</si>
  <si>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</si>
  <si>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</si>
  <si>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</si>
  <si>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</si>
  <si>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</si>
  <si>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</si>
  <si>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</si>
  <si>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</si>
  <si>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</si>
  <si>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</si>
  <si>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</si>
  <si>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</si>
  <si>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</si>
  <si>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</si>
  <si>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</si>
  <si>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</si>
  <si>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</si>
  <si>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</si>
  <si>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</si>
  <si>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</si>
  <si>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</si>
  <si>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</si>
  <si>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</si>
  <si>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</si>
  <si>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</si>
  <si>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</si>
  <si>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</si>
  <si>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</si>
  <si>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</si>
  <si>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</si>
  <si>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</si>
  <si>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</si>
  <si>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</si>
  <si>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</si>
  <si>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</si>
  <si>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</si>
  <si>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</si>
  <si>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</si>
  <si>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</si>
  <si>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</si>
  <si>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</si>
  <si>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</si>
  <si>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</si>
  <si>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</si>
  <si>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</si>
  <si>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</si>
  <si>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</si>
  <si>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</si>
  <si>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</si>
  <si>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</si>
  <si>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</si>
  <si>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</si>
  <si>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</si>
  <si>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</si>
  <si>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</si>
  <si>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</si>
  <si>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</si>
  <si>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</si>
  <si>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</si>
  <si>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</si>
  <si>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</si>
  <si>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</si>
  <si>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</si>
  <si>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</si>
  <si>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</si>
  <si>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</si>
  <si>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</si>
  <si>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</si>
  <si>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</si>
  <si>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</si>
  <si>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</si>
  <si>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</si>
  <si>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</si>
  <si>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</si>
  <si>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</si>
  <si>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</si>
  <si>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</si>
  <si>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</si>
  <si>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</si>
  <si>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</si>
  <si>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</si>
  <si>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</si>
  <si>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</si>
  <si>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</si>
  <si>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</si>
  <si>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</si>
  <si>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</si>
  <si>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</si>
  <si>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</si>
  <si>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</si>
  <si>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</si>
  <si>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</si>
  <si>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</si>
  <si>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</si>
  <si>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</si>
  <si>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</si>
  <si>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</si>
  <si>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</si>
  <si>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</si>
  <si>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</si>
  <si>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</si>
  <si>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</si>
  <si>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</si>
  <si>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</si>
  <si>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</si>
  <si>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</si>
  <si>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</si>
  <si>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</si>
  <si>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</si>
  <si>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</si>
  <si>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</si>
  <si>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</si>
  <si>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</si>
  <si>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</si>
  <si>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</si>
  <si>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</si>
  <si>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</si>
  <si>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</si>
  <si>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</si>
  <si>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</si>
  <si>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</si>
  <si>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</si>
  <si>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</si>
  <si>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</si>
  <si>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</si>
  <si>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</si>
  <si>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</si>
  <si>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</si>
  <si>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</si>
  <si>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</si>
  <si>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</si>
  <si>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</si>
  <si>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</si>
  <si>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</si>
  <si>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</si>
  <si>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</si>
  <si>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</si>
  <si>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</si>
  <si>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</si>
  <si>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</si>
  <si>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</si>
  <si>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</si>
  <si>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</si>
  <si>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</si>
  <si>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</si>
  <si>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</si>
  <si>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</si>
  <si>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</si>
  <si>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</si>
  <si>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</si>
  <si>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</si>
  <si>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</si>
  <si>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</si>
  <si>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</si>
  <si>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</si>
  <si>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</si>
  <si>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</si>
  <si>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</si>
  <si>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</si>
  <si>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</si>
  <si>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</si>
  <si>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</si>
  <si>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</si>
  <si>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</si>
  <si>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</si>
  <si>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</si>
  <si>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</si>
  <si>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</si>
  <si>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</si>
  <si>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</si>
  <si>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</si>
  <si>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</si>
  <si>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</si>
  <si>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</si>
  <si>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</si>
  <si>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</si>
  <si>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</si>
  <si>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</si>
  <si>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</si>
  <si>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</si>
  <si>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</si>
  <si>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</si>
  <si>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</si>
  <si>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</si>
  <si>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</si>
  <si>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</si>
  <si>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</si>
  <si>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</si>
  <si>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</si>
  <si>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</si>
  <si>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</si>
  <si>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</si>
  <si>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</si>
  <si>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</si>
  <si>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</si>
  <si>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</si>
  <si>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</si>
  <si>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</si>
  <si>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</si>
  <si>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</si>
  <si>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</si>
  <si>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</si>
  <si>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</si>
  <si>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</si>
  <si>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</si>
  <si>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</si>
  <si>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</si>
  <si>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</si>
  <si>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</si>
  <si>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</si>
  <si>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</si>
  <si>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</si>
  <si>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</si>
  <si>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</si>
  <si>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</si>
  <si>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</si>
  <si>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</si>
  <si>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</si>
  <si>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</si>
  <si>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</si>
  <si>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</si>
  <si>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</si>
  <si>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</si>
  <si>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</si>
  <si>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</si>
  <si>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</si>
  <si>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</si>
  <si>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</si>
  <si>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</si>
  <si>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</si>
  <si>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</si>
  <si>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</si>
  <si>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</si>
  <si>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</si>
  <si>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</si>
  <si>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</si>
  <si>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</si>
  <si>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</si>
  <si>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</si>
  <si>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</si>
  <si>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</si>
  <si>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</si>
  <si>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</si>
  <si>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</si>
  <si>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</si>
  <si>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</si>
  <si>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</si>
  <si>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</si>
  <si>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</si>
  <si>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</si>
  <si>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</si>
  <si>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</si>
  <si>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</si>
  <si>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</si>
  <si>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</si>
  <si>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</si>
  <si>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</si>
  <si>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</si>
  <si>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</si>
  <si>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</si>
  <si>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</si>
  <si>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</si>
  <si>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</si>
  <si>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</si>
  <si>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</si>
  <si>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</si>
  <si>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</si>
  <si>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</si>
  <si>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</si>
  <si>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</si>
  <si>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</si>
  <si>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</si>
  <si>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</si>
  <si>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</si>
  <si>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</si>
  <si>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</si>
  <si>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</si>
  <si>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</si>
  <si>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</si>
  <si>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</si>
  <si>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</si>
  <si>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</si>
  <si>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</si>
  <si>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</si>
  <si>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</si>
  <si>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</si>
  <si>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</si>
  <si>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</si>
  <si>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</si>
  <si>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</si>
  <si>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</si>
  <si>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</si>
  <si>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</si>
  <si>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</si>
  <si>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</si>
  <si>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</si>
  <si>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</si>
  <si>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</si>
  <si>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</si>
  <si>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</si>
  <si>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</si>
  <si>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</si>
  <si>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</si>
  <si>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</si>
  <si>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</si>
  <si>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</si>
  <si>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</si>
  <si>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</si>
  <si>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</si>
  <si>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</si>
  <si>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</si>
  <si>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</si>
  <si>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</si>
  <si>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</si>
  <si>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</si>
  <si>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</si>
  <si>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</si>
  <si>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</si>
  <si>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</si>
  <si>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</si>
  <si>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</si>
  <si>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</si>
  <si>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</si>
  <si>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</si>
  <si>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</si>
  <si>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</si>
  <si>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</si>
  <si>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</si>
  <si>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</si>
  <si>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</si>
  <si>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</si>
  <si>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</si>
  <si>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</si>
  <si>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</si>
  <si>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</si>
  <si>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</si>
  <si>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</si>
  <si>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</si>
  <si>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</si>
  <si>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</si>
  <si>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</si>
  <si>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</si>
  <si>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</si>
  <si>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</si>
  <si>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</si>
  <si>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</si>
  <si>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</si>
  <si>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</si>
  <si>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</si>
  <si>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</si>
  <si>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</si>
  <si>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</si>
  <si>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</si>
  <si>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</si>
  <si>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</si>
  <si>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</si>
  <si>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</si>
  <si>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</si>
  <si>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</si>
  <si>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</si>
  <si>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</si>
  <si>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</si>
  <si>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</si>
  <si>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</si>
  <si>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</si>
  <si>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</si>
  <si>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</si>
  <si>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</si>
  <si>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</si>
  <si>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</si>
  <si>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</si>
  <si>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</si>
  <si>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</si>
  <si>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</si>
  <si>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</si>
  <si>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</si>
  <si>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</si>
  <si>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</si>
  <si>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</si>
  <si>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</si>
  <si>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</si>
  <si>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</si>
  <si>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</si>
  <si>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</si>
  <si>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</si>
  <si>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</si>
  <si>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</si>
  <si>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</si>
  <si>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</si>
  <si>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</si>
  <si>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</si>
  <si>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</si>
  <si>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</si>
  <si>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</si>
  <si>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</si>
  <si>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</si>
  <si>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</si>
  <si>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</si>
  <si>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</si>
  <si>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</si>
  <si>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</si>
  <si>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</si>
  <si>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</si>
  <si>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</si>
  <si>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</si>
  <si>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</si>
  <si>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</si>
  <si>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</si>
  <si>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</si>
  <si>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</si>
  <si>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</si>
  <si>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</si>
  <si>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</si>
  <si>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</si>
  <si>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</si>
  <si>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</si>
  <si>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</si>
  <si>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</si>
  <si>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</si>
  <si>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</si>
  <si>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</si>
  <si>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</si>
  <si>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</si>
  <si>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</si>
  <si>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</si>
  <si>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</si>
  <si>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</si>
  <si>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</si>
  <si>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</si>
  <si>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</si>
  <si>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</si>
  <si>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</si>
  <si>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</si>
  <si>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</si>
  <si>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</si>
  <si>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</si>
  <si>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</si>
  <si>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</si>
  <si>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</si>
  <si>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</si>
  <si>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</si>
  <si>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</si>
  <si>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</si>
  <si>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</si>
  <si>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</si>
  <si>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</si>
  <si>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</si>
  <si>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</si>
  <si>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</si>
  <si>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</si>
  <si>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</si>
  <si>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</si>
  <si>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</si>
  <si>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</si>
  <si>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</si>
  <si>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</si>
  <si>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</si>
  <si>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</si>
  <si>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</si>
  <si>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</si>
  <si>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</si>
  <si>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</si>
  <si>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</si>
  <si>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</si>
  <si>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</si>
  <si>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</si>
  <si>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</si>
  <si>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</si>
  <si>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</si>
  <si>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</si>
  <si>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</si>
  <si>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</si>
  <si>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</si>
  <si>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</si>
  <si>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</si>
  <si>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</si>
  <si>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</si>
  <si>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</si>
  <si>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</si>
  <si>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</si>
  <si>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</si>
  <si>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</si>
  <si>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</si>
  <si>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</si>
  <si>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</si>
  <si>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</si>
  <si>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</si>
  <si>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</si>
  <si>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</si>
  <si>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</si>
  <si>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</si>
  <si>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</si>
  <si>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</si>
  <si>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</si>
  <si>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</si>
  <si>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</si>
  <si>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</si>
  <si>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</si>
  <si>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</si>
  <si>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</si>
  <si>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</si>
  <si>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</si>
  <si>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</si>
  <si>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</si>
  <si>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</si>
  <si>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</si>
  <si>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</si>
  <si>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</si>
  <si>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</si>
  <si>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</si>
  <si>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</si>
  <si>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</si>
  <si>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</si>
  <si>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</si>
  <si>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</si>
  <si>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</si>
  <si>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</si>
  <si>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</si>
  <si>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</si>
  <si>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</si>
  <si>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</si>
  <si>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</si>
  <si>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</si>
  <si>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</si>
  <si>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</si>
  <si>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</si>
  <si>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</si>
  <si>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</si>
  <si>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</si>
  <si>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</si>
  <si>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</si>
  <si>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</si>
  <si>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</si>
  <si>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</si>
  <si>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</si>
  <si>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</si>
  <si>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</si>
  <si>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</si>
  <si>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</si>
  <si>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</si>
  <si>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</si>
  <si>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</si>
  <si>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</si>
  <si>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</si>
  <si>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</si>
  <si>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</si>
  <si>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</si>
  <si>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</si>
  <si>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</si>
  <si>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</si>
  <si>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</si>
  <si>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</si>
  <si>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</si>
  <si>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</si>
  <si>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</si>
  <si>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</si>
  <si>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</si>
  <si>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</si>
  <si>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</si>
  <si>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</si>
  <si>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</si>
  <si>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</si>
  <si>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</si>
  <si>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</si>
  <si>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</si>
  <si>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</si>
  <si>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</si>
  <si>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</si>
  <si>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</si>
  <si>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</si>
  <si>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</si>
  <si>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</si>
  <si>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</si>
  <si>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</si>
  <si>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</si>
  <si>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</si>
  <si>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</si>
  <si>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</si>
  <si>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</si>
  <si>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</si>
  <si>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</si>
  <si>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</si>
  <si>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</si>
  <si>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</si>
  <si>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</si>
  <si>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</si>
  <si>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</si>
  <si>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</si>
  <si>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</si>
  <si>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</si>
  <si>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</si>
  <si>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</si>
  <si>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</si>
  <si>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</si>
  <si>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</si>
  <si>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</si>
  <si>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</si>
  <si>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</si>
  <si>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</si>
  <si>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</si>
  <si>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</si>
  <si>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</si>
  <si>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</si>
  <si>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</si>
  <si>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</si>
  <si>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</si>
  <si>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</si>
  <si>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</si>
  <si>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</si>
  <si>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</si>
  <si>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</si>
  <si>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</si>
  <si>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</si>
  <si>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</si>
  <si>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</si>
  <si>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</si>
  <si>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</si>
  <si>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</si>
  <si>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</si>
  <si>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</si>
  <si>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</si>
  <si>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</si>
  <si>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</si>
  <si>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</si>
  <si>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</si>
  <si>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</si>
  <si>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</si>
  <si>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</si>
  <si>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</si>
  <si>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</si>
  <si>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</si>
  <si>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</si>
  <si>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</si>
  <si>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</si>
  <si>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</si>
  <si>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</si>
  <si>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</si>
  <si>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</si>
  <si>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</si>
  <si>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</si>
  <si>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</si>
  <si>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</si>
  <si>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</si>
  <si>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</si>
  <si>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</si>
  <si>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</si>
  <si>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</si>
  <si>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</si>
  <si>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</si>
  <si>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</si>
  <si>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</si>
  <si>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</si>
  <si>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</si>
  <si>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</si>
  <si>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</si>
  <si>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</si>
  <si>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</si>
  <si>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</si>
  <si>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</si>
  <si>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</si>
  <si>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</si>
  <si>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</si>
  <si>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</si>
  <si>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</si>
  <si>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</si>
  <si>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</si>
  <si>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</si>
  <si>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</si>
  <si>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</si>
  <si>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</si>
  <si>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</si>
  <si>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</si>
  <si>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</si>
  <si>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</si>
  <si>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</si>
  <si>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</si>
  <si>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</si>
  <si>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</si>
  <si>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</si>
  <si>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</si>
  <si>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</si>
  <si>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</si>
  <si>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</si>
  <si>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</si>
  <si>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</si>
  <si>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</si>
  <si>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</si>
  <si>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</si>
  <si>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</si>
  <si>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</si>
  <si>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</si>
  <si>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</si>
  <si>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</si>
  <si>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</si>
  <si>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</si>
  <si>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</si>
  <si>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</si>
  <si>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</si>
  <si>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</si>
  <si>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</si>
  <si>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</si>
  <si>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</si>
  <si>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</si>
  <si>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</si>
  <si>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</si>
  <si>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</si>
  <si>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</si>
  <si>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</si>
  <si>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</si>
  <si>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</si>
  <si>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</si>
  <si>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</si>
  <si>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</si>
  <si>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</si>
  <si>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</si>
  <si>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</si>
  <si>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</si>
  <si>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</si>
  <si>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</si>
  <si>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</si>
  <si>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</si>
  <si>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</si>
  <si>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</si>
  <si>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</si>
  <si>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</si>
  <si>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</si>
  <si>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</si>
  <si>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</si>
  <si>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</si>
  <si>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</si>
  <si>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</si>
  <si>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</si>
  <si>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</si>
  <si>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</si>
  <si>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</si>
  <si>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</si>
  <si>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</si>
  <si>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</si>
  <si>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</si>
  <si>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</si>
  <si>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</si>
  <si>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</si>
  <si>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</si>
  <si>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</si>
  <si>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</si>
  <si>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</si>
  <si>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</si>
  <si>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</si>
  <si>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</si>
  <si>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</si>
  <si>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</si>
  <si>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</si>
  <si>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</si>
  <si>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</si>
  <si>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</si>
  <si>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</si>
  <si>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</si>
  <si>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</si>
  <si>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</si>
  <si>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</si>
  <si>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</si>
  <si>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</si>
  <si>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</si>
  <si>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</si>
  <si>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</si>
  <si>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</si>
  <si>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</si>
  <si>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</si>
  <si>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</si>
  <si>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</si>
  <si>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</si>
  <si>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</si>
  <si>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</si>
  <si>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</si>
  <si>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</si>
  <si>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</si>
  <si>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</si>
  <si>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</si>
  <si>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</si>
  <si>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</si>
  <si>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</si>
  <si>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</si>
  <si>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</si>
  <si>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</si>
  <si>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</si>
  <si>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</si>
  <si>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</si>
  <si>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</si>
  <si>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</si>
  <si>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</si>
  <si>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</si>
  <si>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</si>
  <si>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</si>
  <si>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</si>
  <si>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</si>
  <si>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</si>
  <si>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</si>
  <si>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</si>
  <si>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</si>
  <si>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</si>
  <si>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</si>
  <si>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</si>
  <si>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</si>
  <si>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</si>
  <si>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</si>
  <si>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</si>
  <si>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</si>
  <si>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</si>
  <si>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</si>
  <si>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</si>
  <si>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</si>
  <si>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</si>
  <si>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</si>
  <si>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</si>
  <si>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</si>
  <si>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</si>
  <si>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</si>
  <si>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</si>
  <si>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</si>
  <si>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</si>
  <si>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</si>
  <si>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</si>
  <si>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</si>
  <si>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</si>
  <si>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</si>
  <si>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</si>
  <si>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</si>
  <si>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</si>
  <si>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</si>
  <si>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</si>
  <si>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</si>
  <si>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</si>
  <si>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</si>
  <si>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</si>
  <si>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</si>
  <si>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</si>
  <si>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</si>
  <si>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</si>
  <si>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</si>
  <si>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</si>
  <si>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</si>
  <si>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</si>
  <si>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</si>
  <si>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</si>
  <si>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</si>
  <si>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</si>
  <si>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</si>
  <si>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</si>
  <si>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</si>
  <si>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</si>
  <si>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</si>
  <si>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</si>
  <si>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</si>
  <si>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</si>
  <si>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</si>
  <si>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</si>
  <si>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</si>
  <si>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</si>
  <si>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</si>
  <si>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</si>
  <si>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</si>
  <si>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</si>
  <si>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</si>
  <si>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</si>
  <si>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</si>
  <si>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</si>
  <si>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</si>
  <si>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</si>
  <si>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</si>
  <si>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</si>
  <si>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</si>
  <si>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</si>
  <si>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</si>
  <si>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</si>
  <si>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</si>
  <si>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</si>
  <si>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</si>
  <si>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</si>
  <si>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</si>
  <si>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</si>
  <si>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</si>
  <si>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</si>
  <si>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</si>
  <si>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</si>
  <si>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</si>
  <si>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</si>
  <si>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</si>
  <si>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</si>
  <si>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</si>
  <si>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</si>
  <si>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</si>
  <si>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</si>
  <si>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</si>
  <si>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</si>
  <si>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</si>
  <si>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</si>
  <si>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</si>
  <si>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</si>
  <si>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</si>
  <si>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</si>
  <si>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</si>
  <si>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</si>
  <si>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</si>
  <si>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</si>
  <si>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</si>
  <si>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</si>
  <si>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</si>
  <si>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</si>
  <si>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</si>
  <si>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</si>
  <si>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</si>
  <si>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</si>
  <si>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</si>
  <si>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</si>
  <si>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</si>
  <si>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</si>
  <si>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</si>
  <si>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</si>
  <si>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</si>
  <si>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</si>
  <si>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</si>
  <si>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</si>
  <si>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</si>
  <si>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</si>
  <si>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</si>
  <si>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</si>
  <si>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</si>
  <si>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</si>
  <si>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</si>
  <si>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</si>
  <si>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</si>
  <si>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</si>
  <si>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</si>
  <si>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</si>
  <si>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</si>
  <si>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</si>
  <si>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</si>
  <si>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</si>
  <si>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</si>
  <si>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</si>
  <si>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</si>
  <si>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</si>
  <si>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</si>
  <si>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</si>
  <si>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</si>
  <si>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</si>
  <si>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</si>
  <si>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</si>
  <si>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</si>
  <si>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</si>
  <si>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</si>
  <si>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</si>
  <si>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</si>
  <si>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</si>
  <si>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</si>
  <si>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</si>
  <si>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</si>
  <si>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</si>
  <si>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</si>
  <si>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</si>
  <si>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</si>
  <si>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</si>
  <si>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</si>
  <si>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</si>
  <si>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</si>
  <si>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</si>
  <si>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</si>
  <si>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</si>
  <si>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</si>
  <si>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</si>
  <si>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</si>
  <si>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</si>
  <si>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</si>
  <si>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</si>
  <si>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</si>
  <si>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</si>
  <si>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</si>
  <si>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</si>
  <si>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</si>
  <si>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</si>
  <si>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</si>
  <si>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</si>
  <si>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</si>
  <si>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</si>
  <si>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</si>
  <si>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</si>
  <si>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</si>
  <si>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</si>
  <si>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</si>
  <si>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</si>
  <si>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</si>
  <si>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</si>
  <si>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</si>
  <si>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</si>
  <si>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</si>
  <si>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</si>
  <si>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</si>
  <si>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</si>
  <si>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</si>
  <si>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</si>
  <si>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</si>
  <si>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</si>
  <si>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</si>
  <si>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</si>
  <si>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</si>
  <si>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</si>
  <si>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</si>
  <si>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</si>
  <si>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</si>
  <si>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</si>
  <si>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</si>
  <si>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</si>
  <si>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</si>
  <si>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</si>
  <si>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</si>
  <si>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</si>
  <si>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</si>
  <si>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</si>
  <si>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</si>
  <si>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</si>
  <si>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</si>
  <si>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</si>
  <si>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</si>
  <si>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</si>
  <si>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</si>
  <si>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</si>
  <si>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</si>
  <si>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</si>
  <si>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</si>
  <si>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</si>
  <si>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</si>
  <si>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</si>
  <si>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</si>
  <si>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</si>
  <si>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</si>
  <si>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</si>
  <si>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</si>
  <si>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</si>
  <si>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</si>
  <si>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</si>
  <si>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</si>
  <si>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</si>
  <si>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</si>
  <si>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</si>
  <si>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</si>
  <si>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</si>
  <si>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</si>
  <si>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</si>
  <si>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</si>
  <si>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</si>
  <si>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</si>
  <si>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</si>
  <si>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</si>
  <si>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</si>
  <si>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</si>
  <si>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</si>
  <si>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</si>
  <si>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</si>
  <si>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</si>
  <si>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</si>
  <si>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</si>
  <si>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</si>
  <si>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</si>
  <si>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</si>
  <si>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</si>
  <si>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</si>
  <si>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</si>
  <si>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</si>
  <si>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</si>
  <si>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</si>
  <si>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</si>
  <si>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</si>
  <si>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</si>
  <si>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</si>
  <si>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</si>
  <si>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</si>
  <si>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</si>
  <si>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</si>
  <si>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</si>
  <si>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</si>
  <si>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</si>
  <si>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</si>
  <si>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</si>
  <si>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</si>
  <si>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</si>
  <si>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</si>
  <si>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</si>
  <si>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</si>
  <si>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</si>
  <si>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</si>
  <si>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</si>
  <si>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</si>
  <si>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</si>
  <si>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</si>
  <si>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</si>
  <si>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</si>
  <si>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</si>
  <si>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</si>
  <si>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</si>
  <si>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</si>
  <si>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</si>
  <si>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</si>
  <si>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</si>
  <si>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</si>
  <si>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</si>
  <si>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</si>
  <si>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</si>
  <si>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</si>
  <si>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</si>
  <si>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</si>
  <si>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</si>
  <si>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</si>
  <si>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</si>
  <si>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</si>
  <si>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</si>
  <si>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</si>
  <si>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</si>
  <si>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</si>
  <si>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</si>
  <si>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</si>
  <si>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</si>
  <si>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</si>
  <si>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</si>
  <si>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</si>
  <si>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</si>
  <si>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</si>
  <si>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</si>
  <si>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</si>
  <si>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</si>
  <si>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</si>
  <si>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</si>
  <si>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</si>
  <si>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</si>
  <si>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</si>
  <si>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</si>
  <si>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</si>
  <si>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</si>
  <si>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</si>
  <si>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</si>
  <si>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</si>
  <si>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</si>
  <si>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</si>
  <si>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</si>
  <si>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</si>
  <si>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</si>
  <si>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</si>
  <si>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</si>
  <si>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</si>
  <si>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</si>
  <si>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</si>
  <si>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</si>
  <si>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</si>
  <si>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</si>
  <si>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</si>
  <si>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</si>
  <si>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</si>
  <si>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</si>
  <si>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</si>
  <si>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</si>
  <si>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</si>
  <si>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</si>
  <si>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</si>
  <si>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</si>
  <si>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</si>
  <si>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</si>
  <si>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</si>
  <si>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</si>
  <si>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</si>
  <si>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</si>
  <si>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</si>
  <si>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</si>
  <si>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</si>
  <si>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</si>
  <si>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</si>
  <si>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</si>
  <si>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</si>
  <si>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</si>
  <si>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</si>
  <si>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</si>
  <si>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</si>
  <si>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</si>
  <si>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</si>
  <si>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</si>
  <si>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</si>
  <si>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</si>
  <si>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</si>
  <si>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</si>
  <si>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</si>
  <si>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</si>
  <si>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</si>
  <si>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</si>
  <si>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</si>
  <si>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</si>
  <si>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</si>
  <si>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</si>
  <si>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</si>
  <si>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</si>
  <si>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</si>
  <si>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</si>
  <si>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</si>
  <si>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</si>
  <si>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</si>
  <si>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</si>
  <si>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</si>
  <si>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</si>
  <si>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</si>
  <si>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</si>
  <si>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</si>
  <si>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</si>
  <si>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</si>
  <si>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</si>
  <si>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</si>
  <si>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</si>
  <si>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</si>
  <si>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</si>
  <si>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</si>
  <si>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</si>
  <si>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</si>
  <si>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</si>
  <si>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</si>
  <si>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</si>
  <si>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</si>
  <si>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</si>
  <si>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</si>
  <si>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</si>
  <si>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</si>
  <si>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</si>
  <si>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</si>
  <si>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</si>
  <si>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</si>
  <si>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</si>
  <si>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</si>
  <si>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</si>
  <si>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</si>
  <si>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</si>
  <si>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</si>
  <si>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</si>
  <si>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</si>
  <si>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2017-4</t>
    <phoneticPr fontId="3" type="noConversion"/>
  </si>
  <si>
    <t>2017-3</t>
    <phoneticPr fontId="3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</si>
  <si>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</si>
  <si>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</si>
  <si>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</si>
  <si>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</si>
  <si>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</si>
  <si>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</si>
  <si>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</si>
  <si>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</si>
  <si>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</si>
  <si>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</si>
  <si>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</si>
  <si>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</si>
  <si>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</si>
  <si>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</si>
  <si>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</si>
  <si>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</si>
  <si>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</si>
  <si>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</si>
  <si>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</si>
  <si>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</si>
  <si>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</si>
  <si>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</si>
  <si>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</si>
  <si>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</si>
  <si>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</si>
  <si>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</si>
  <si>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</si>
  <si>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</si>
  <si>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</si>
  <si>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</si>
  <si>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</si>
  <si>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</si>
  <si>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</si>
  <si>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</si>
  <si>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</si>
  <si>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</si>
  <si>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</si>
  <si>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</si>
  <si>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</si>
  <si>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</si>
  <si>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</si>
  <si>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</si>
  <si>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</si>
  <si>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</si>
  <si>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</si>
  <si>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</si>
  <si>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</si>
  <si>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</si>
  <si>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</si>
  <si>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</si>
  <si>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</si>
  <si>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</si>
  <si>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</si>
  <si>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</si>
  <si>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</si>
  <si>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</si>
  <si>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</si>
  <si>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</si>
  <si>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</si>
  <si>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</si>
  <si>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</si>
  <si>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</si>
  <si>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</si>
  <si>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</si>
  <si>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</si>
  <si>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</si>
  <si>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</si>
  <si>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</si>
  <si>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</si>
  <si>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</si>
  <si>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</si>
  <si>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</si>
  <si>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</si>
  <si>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</si>
  <si>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</si>
  <si>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</si>
  <si>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</si>
  <si>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</si>
  <si>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</si>
  <si>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</si>
  <si>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</si>
  <si>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</si>
  <si>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</si>
  <si>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</si>
  <si>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</si>
  <si>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</si>
  <si>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</si>
  <si>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</si>
  <si>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</si>
  <si>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</si>
  <si>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</si>
  <si>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</si>
  <si>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</si>
  <si>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</si>
  <si>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</si>
  <si>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</si>
  <si>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</si>
  <si>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</si>
  <si>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</si>
  <si>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</si>
  <si>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住宅/居住</t>
  </si>
  <si>
    <t>砖混</t>
  </si>
  <si>
    <t>扣毛地价</t>
  </si>
  <si>
    <t>求取熟地价</t>
  </si>
  <si>
    <t>住宅</t>
  </si>
  <si>
    <t>设定容积率</t>
  </si>
  <si>
    <t>剩余土地使用年限（设定）</t>
  </si>
  <si>
    <t>城镇拆迁</t>
  </si>
  <si>
    <t>近郊区县征地费</t>
  </si>
</sst>
</file>

<file path=xl/styles.xml><?xml version="1.0" encoding="utf-8"?>
<styleSheet xmlns="http://schemas.openxmlformats.org/spreadsheetml/2006/main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3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</borders>
  <cellStyleXfs count="11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</cellStyleXfs>
  <cellXfs count="185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85" fillId="0" borderId="0" xfId="8" applyFont="1" applyBorder="1" applyAlignment="1">
      <alignment horizontal="center" vertical="center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184" fontId="155" fillId="10" borderId="0" xfId="8" applyNumberFormat="1" applyFont="1" applyFill="1" applyAlignment="1">
      <alignment horizontal="center"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49" fontId="52" fillId="10" borderId="1" xfId="8" applyNumberFormat="1" applyFont="1" applyFill="1" applyBorder="1" applyAlignment="1" applyProtection="1">
      <alignment horizontal="center" vertical="center" wrapText="1"/>
    </xf>
    <xf numFmtId="0" fontId="151" fillId="10" borderId="114" xfId="8" applyFont="1" applyFill="1" applyBorder="1" applyAlignment="1" applyProtection="1">
      <alignment horizontal="center" vertical="center" wrapText="1"/>
    </xf>
    <xf numFmtId="0" fontId="85" fillId="10" borderId="0" xfId="8" applyFont="1" applyFill="1" applyBorder="1" applyAlignment="1">
      <alignment horizontal="center" vertical="center"/>
    </xf>
    <xf numFmtId="0" fontId="85" fillId="10" borderId="0" xfId="8" applyFont="1" applyFill="1">
      <alignment vertical="center"/>
    </xf>
    <xf numFmtId="10" fontId="84" fillId="10" borderId="140" xfId="8" applyNumberFormat="1" applyFont="1" applyFill="1" applyBorder="1">
      <alignment vertical="center"/>
    </xf>
    <xf numFmtId="10" fontId="84" fillId="10" borderId="0" xfId="8" applyNumberFormat="1" applyFont="1" applyFill="1">
      <alignment vertical="center"/>
    </xf>
    <xf numFmtId="0" fontId="85" fillId="10" borderId="0" xfId="8" applyFont="1" applyFill="1" applyAlignment="1">
      <alignment horizontal="center" vertical="center"/>
    </xf>
    <xf numFmtId="0" fontId="85" fillId="10" borderId="140" xfId="8" applyFont="1" applyFill="1" applyBorder="1" applyAlignment="1">
      <alignment horizontal="center" vertical="center"/>
    </xf>
    <xf numFmtId="0" fontId="161" fillId="5" borderId="36" xfId="0" applyFont="1" applyFill="1" applyBorder="1" applyAlignment="1" applyProtection="1">
      <alignment horizontal="center" vertical="center"/>
    </xf>
    <xf numFmtId="0" fontId="56" fillId="9" borderId="71" xfId="0" applyFont="1" applyFill="1" applyBorder="1" applyAlignment="1" applyProtection="1">
      <alignment horizontal="center" vertical="center" wrapText="1"/>
      <protection locked="0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1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G23"/>
  <sheetViews>
    <sheetView workbookViewId="0"/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24" t="s">
        <v>168</v>
      </c>
      <c r="B15" s="666" t="s">
        <v>253</v>
      </c>
    </row>
    <row r="16" spans="1:7" ht="13.5">
      <c r="A16" s="1725"/>
      <c r="B16" s="667" t="s">
        <v>169</v>
      </c>
    </row>
    <row r="17" spans="1:2" ht="13.5">
      <c r="A17" s="180" t="s">
        <v>170</v>
      </c>
      <c r="B17" s="668"/>
    </row>
    <row r="18" spans="1:2" ht="13.5">
      <c r="A18" s="1723" t="s">
        <v>171</v>
      </c>
      <c r="B18" s="666" t="s">
        <v>1402</v>
      </c>
    </row>
    <row r="19" spans="1:2" ht="13.5">
      <c r="A19" s="1723"/>
      <c r="B19" s="666" t="s">
        <v>1403</v>
      </c>
    </row>
    <row r="20" spans="1:2" ht="13.5">
      <c r="A20" s="1723"/>
      <c r="B20" s="666" t="s">
        <v>1404</v>
      </c>
    </row>
    <row r="21" spans="1:2" ht="13.5">
      <c r="A21" s="1723"/>
      <c r="B21" s="503" t="s">
        <v>172</v>
      </c>
    </row>
    <row r="22" spans="1:2" ht="13.5">
      <c r="A22" s="1723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19"/>
  <sheetViews>
    <sheetView workbookViewId="0"/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73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73"/>
      <c r="B19" s="1773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73"/>
      <c r="B20" s="1773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73"/>
      <c r="B21" s="1773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73"/>
      <c r="B22" s="1773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73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73"/>
      <c r="B24" s="1773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73"/>
      <c r="B25" s="1773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73"/>
      <c r="B26" s="1773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73"/>
      <c r="B27" s="1773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73"/>
      <c r="B28" s="1773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73"/>
      <c r="B29" s="1773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73"/>
      <c r="B30" s="1773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73"/>
      <c r="B31" s="1773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73"/>
      <c r="B32" s="1773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73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73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73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73"/>
      <c r="B36" s="1773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73"/>
      <c r="B37" s="1773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73"/>
      <c r="B38" s="1773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73"/>
      <c r="B39" s="1773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73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73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73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73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73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73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73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73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73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73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73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73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73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73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73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73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73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73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73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73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73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73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73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73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73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73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73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73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73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73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73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73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73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73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73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73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73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73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73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73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73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73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73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73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73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73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73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73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73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73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408"/>
  <sheetViews>
    <sheetView workbookViewId="0"/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AK93"/>
  <sheetViews>
    <sheetView workbookViewId="0"/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79.84</v>
      </c>
      <c r="I1" s="726" t="s">
        <v>1356</v>
      </c>
      <c r="J1" s="526">
        <f>主表!B6</f>
        <v>1</v>
      </c>
      <c r="AE1" s="731"/>
      <c r="AF1" s="731"/>
    </row>
    <row r="2" spans="1:36" ht="24">
      <c r="A2" s="686" t="s">
        <v>913</v>
      </c>
      <c r="B2" s="633" t="s">
        <v>1571</v>
      </c>
      <c r="C2" s="732" t="s">
        <v>986</v>
      </c>
      <c r="D2" s="733" t="s">
        <v>989</v>
      </c>
      <c r="E2" s="734" t="str">
        <f>主表!B12</f>
        <v>住宅/居住</v>
      </c>
      <c r="F2" s="733" t="s">
        <v>689</v>
      </c>
      <c r="G2" s="735" t="str">
        <f>主表!B10</f>
        <v>六级</v>
      </c>
      <c r="H2" s="734" t="s">
        <v>1366</v>
      </c>
      <c r="I2" s="1352"/>
      <c r="J2" s="736"/>
      <c r="AE2" s="731"/>
      <c r="AF2" s="731"/>
    </row>
    <row r="3" spans="1:36" ht="15.75">
      <c r="A3" s="687" t="s">
        <v>916</v>
      </c>
      <c r="B3" s="1438">
        <f>C18</f>
        <v>0</v>
      </c>
      <c r="C3" s="732" t="s">
        <v>917</v>
      </c>
      <c r="D3" s="733" t="s">
        <v>256</v>
      </c>
      <c r="E3" s="737"/>
      <c r="F3" s="1499" t="s">
        <v>1229</v>
      </c>
      <c r="G3" s="238">
        <f>IF(F3="容积率",主表!B8,主表!B9)</f>
        <v>79.84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1579</v>
      </c>
      <c r="B4" s="633">
        <f>C20</f>
        <v>0</v>
      </c>
      <c r="C4" s="1437" t="s">
        <v>1581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1580</v>
      </c>
      <c r="B5" s="1436">
        <f>C22</f>
        <v>0</v>
      </c>
      <c r="C5" s="1439" t="s">
        <v>1582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0</v>
      </c>
      <c r="D7" s="750" t="s">
        <v>1546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/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0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37332</v>
      </c>
      <c r="I9" s="1643">
        <f>ROUND(SUMPRODUCT((地价!A17:A67=YEAR(H9)&amp;"-"&amp;ROUNDUP(MONTH(H9)/3,0))*(地价!B3:F3=E2)*(地价!B17:F67)),0)</f>
        <v>104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1</v>
      </c>
      <c r="D10" s="1524" t="s">
        <v>940</v>
      </c>
      <c r="E10" s="1525">
        <v>0.04</v>
      </c>
      <c r="F10" s="1647"/>
      <c r="G10" s="1648">
        <f>IF(F10="剩余土地使用年限",主表!B15,主表!B16)</f>
        <v>70</v>
      </c>
      <c r="H10" s="1648">
        <f>IF(E2="住宅/居住",70,IF(E2="商业",40,50))</f>
        <v>70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-0.73050000000000004</v>
      </c>
      <c r="D11" s="1531"/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1503</v>
      </c>
      <c r="D12" s="1520" t="str">
        <f>IF(E12=G12,F12,IF(G3&lt;=10,ROUND(F12+(H12-F12)*(G3-E12)/(G12-E12),4),"——"))</f>
        <v>——</v>
      </c>
      <c r="E12" s="1522">
        <f>ROUNDDOWN(G3,1)</f>
        <v>79.8</v>
      </c>
      <c r="F12" s="1523" t="str">
        <f>IF(G3&lt;=10,SUMPRODUCT(('2002容积率修正'!A3:A102=E12)*('2002容积率修正'!B2:D2=E2)*('2002容积率修正'!B3:D102)),"——")</f>
        <v>——</v>
      </c>
      <c r="G12" s="1521">
        <f>ROUNDUP(G3,1)</f>
        <v>79.899999999999991</v>
      </c>
      <c r="H12" s="638" t="str">
        <f>IF(G3&lt;=10,SUMPRODUCT(('2002容积率修正'!A3:A102=G12)*('2002容积率修正'!B2:D2=E2)*('2002容积率修正'!B3:D102)),"——")</f>
        <v>——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1503</v>
      </c>
      <c r="D13" s="1520" t="str">
        <f>IF(E12=G12,F12,IF(G3&lt;=10,ROUND(F12+(H12-F12)*(G3-E12)/(G12-E12),4),"——"))</f>
        <v>——</v>
      </c>
      <c r="E13" s="1522">
        <f>ROUNDDOWN(G3,1)</f>
        <v>79.8</v>
      </c>
      <c r="F13" s="1523" t="str">
        <f>IF(G3&lt;=10,SUMPRODUCT(('2002容积率修正'!A3:A102=E13)*('2002容积率修正'!E2:G2=E2)*('2002容积率修正'!E3:G102)),"——")</f>
        <v>——</v>
      </c>
      <c r="G13" s="1521">
        <f>ROUNDUP(G3,1)</f>
        <v>79.899999999999991</v>
      </c>
      <c r="H13" s="638" t="str">
        <f>IF(G3&lt;=10,SUMPRODUCT(('2002容积率修正'!A3:A102=G13)*('2002容积率修正'!E2:G2=E2)*('2002容积率修正'!E3:G102)),"——")</f>
        <v>——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>
        <f>IF(G3&gt;10,B81,"——")</f>
        <v>-0.73050000000000004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/>
      <c r="D16" s="1651" t="s">
        <v>1352</v>
      </c>
      <c r="E16" s="1526" t="s">
        <v>929</v>
      </c>
      <c r="F16" s="1527"/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1504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783" t="s">
        <v>1353</v>
      </c>
      <c r="B18" s="780" t="s">
        <v>1340</v>
      </c>
      <c r="C18" s="646">
        <f>ROUND(C7*C9*C10*C11*C15*C16,0)</f>
        <v>0</v>
      </c>
      <c r="D18" s="647">
        <f>H1</f>
        <v>79.84</v>
      </c>
      <c r="E18" s="648">
        <f>ROUND(C18*D18,0)</f>
        <v>0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784"/>
      <c r="B19" s="785" t="s">
        <v>1343</v>
      </c>
      <c r="C19" s="638">
        <f>ROUND(C7*C9*C10*C11*C15*C16*G3,0)</f>
        <v>0</v>
      </c>
      <c r="D19" s="647">
        <f>J1</f>
        <v>1</v>
      </c>
      <c r="E19" s="648">
        <f>ROUND(C19*D19,0)</f>
        <v>0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785" t="s">
        <v>1354</v>
      </c>
      <c r="B20" s="767" t="s">
        <v>1341</v>
      </c>
      <c r="C20" s="652">
        <f>ROUND(IF(G3&gt;=I3,C8*C9*C10*C15,C8*C9*C10*C15*G3),0)</f>
        <v>0</v>
      </c>
      <c r="D20" s="653">
        <f>H1</f>
        <v>79.84</v>
      </c>
      <c r="E20" s="654">
        <f>ROUND(C20*D20,0)</f>
        <v>0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785"/>
      <c r="B21" s="790" t="s">
        <v>1342</v>
      </c>
      <c r="C21" s="655">
        <f>ROUND(IF(G3&lt;I3,C8*C9*C10*C15,C8*C9*C10*C15*G3),0)</f>
        <v>0</v>
      </c>
      <c r="D21" s="656">
        <f>J1</f>
        <v>1</v>
      </c>
      <c r="E21" s="657">
        <f t="shared" ref="E21" si="0">ROUND(C21*D21,0)</f>
        <v>0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0</v>
      </c>
      <c r="D22" s="795"/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1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4" t="s">
        <v>1505</v>
      </c>
      <c r="C25" s="1498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5"/>
      <c r="C26" s="1448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8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8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8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1469</v>
      </c>
      <c r="E41" s="812" t="s">
        <v>1470</v>
      </c>
      <c r="F41" s="813" t="s">
        <v>1471</v>
      </c>
      <c r="G41" s="813" t="s">
        <v>1472</v>
      </c>
      <c r="H41" s="813" t="s">
        <v>1473</v>
      </c>
      <c r="I41" s="813" t="s">
        <v>1474</v>
      </c>
      <c r="J41" s="813" t="s">
        <v>1475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5.3999999999999999E-2</v>
      </c>
      <c r="G42" s="531">
        <f>F42/2</f>
        <v>2.7E-2</v>
      </c>
      <c r="H42" s="532">
        <v>0</v>
      </c>
      <c r="I42" s="531">
        <f>J42/2</f>
        <v>-0.03</v>
      </c>
      <c r="J42" s="531">
        <f>SUMPRODUCT(('2002因素修正幅度'!$A$66:$A$72=A42)*('2002因素修正幅度'!$B$35:$K$35=$G$2)*('2002因素修正幅度'!$B$66:$K$72))</f>
        <v>-0.06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2.7E-2</v>
      </c>
      <c r="G43" s="531">
        <f t="shared" ref="G43:G48" si="2">F43/2</f>
        <v>1.35E-2</v>
      </c>
      <c r="H43" s="532">
        <v>0</v>
      </c>
      <c r="I43" s="531">
        <f t="shared" ref="I43:I48" si="3">J43/2</f>
        <v>-1.4999999999999999E-2</v>
      </c>
      <c r="J43" s="531">
        <f>SUMPRODUCT(('2002因素修正幅度'!$A$66:$A$72=A43)*('2002因素修正幅度'!$B$35:$K$35=$G$2)*('2002因素修正幅度'!$B$66:$K$72))</f>
        <v>-0.03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1.7999999999999999E-2</v>
      </c>
      <c r="G44" s="531">
        <f t="shared" si="2"/>
        <v>8.9999999999999993E-3</v>
      </c>
      <c r="H44" s="532">
        <v>0</v>
      </c>
      <c r="I44" s="531">
        <f t="shared" si="3"/>
        <v>-0.01</v>
      </c>
      <c r="J44" s="531">
        <f>SUMPRODUCT(('2002因素修正幅度'!$A$66:$A$72=A44)*('2002因素修正幅度'!$B$35:$K$35=$G$2)*('2002因素修正幅度'!$B$66:$K$72))</f>
        <v>-0.02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7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3.5999999999999997E-2</v>
      </c>
      <c r="G45" s="531">
        <f t="shared" si="2"/>
        <v>1.7999999999999999E-2</v>
      </c>
      <c r="H45" s="532">
        <v>0</v>
      </c>
      <c r="I45" s="531">
        <f t="shared" si="3"/>
        <v>-0.02</v>
      </c>
      <c r="J45" s="531">
        <f>SUMPRODUCT(('2002因素修正幅度'!$A$66:$A$72=A45)*('2002因素修正幅度'!$B$35:$K$35=$G$2)*('2002因素修正幅度'!$B$66:$K$72))</f>
        <v>-0.04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1.7999999999999999E-2</v>
      </c>
      <c r="G46" s="531">
        <f t="shared" si="2"/>
        <v>8.9999999999999993E-3</v>
      </c>
      <c r="H46" s="532">
        <v>0</v>
      </c>
      <c r="I46" s="531">
        <f t="shared" si="3"/>
        <v>-0.01</v>
      </c>
      <c r="J46" s="531">
        <f>SUMPRODUCT(('2002因素修正幅度'!$A$66:$A$72=A46)*('2002因素修正幅度'!$B$35:$K$35=$G$2)*('2002因素修正幅度'!$B$66:$K$72))</f>
        <v>-0.02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8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1.44E-2</v>
      </c>
      <c r="G47" s="531">
        <f t="shared" si="2"/>
        <v>7.1999999999999998E-3</v>
      </c>
      <c r="H47" s="532">
        <v>0</v>
      </c>
      <c r="I47" s="531">
        <f t="shared" si="3"/>
        <v>-8.0000000000000002E-3</v>
      </c>
      <c r="J47" s="531">
        <f>SUMPRODUCT(('2002因素修正幅度'!$A$66:$A$72=A47)*('2002因素修正幅度'!$B$35:$K$35=$G$2)*('2002因素修正幅度'!$B$66:$K$72))</f>
        <v>-1.6E-2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1.26E-2</v>
      </c>
      <c r="G48" s="531">
        <f t="shared" si="2"/>
        <v>6.3E-3</v>
      </c>
      <c r="H48" s="532">
        <v>0</v>
      </c>
      <c r="I48" s="531">
        <f t="shared" si="3"/>
        <v>-7.0000000000000001E-3</v>
      </c>
      <c r="J48" s="531">
        <f>SUMPRODUCT(('2002因素修正幅度'!$A$66:$A$72=A48)*('2002因素修正幅度'!$B$35:$K$35=$G$2)*('2002因素修正幅度'!$B$66:$K$72))</f>
        <v>-1.4E-2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1506</v>
      </c>
      <c r="E50" s="250" t="s">
        <v>1507</v>
      </c>
      <c r="F50" s="138" t="s">
        <v>1508</v>
      </c>
      <c r="G50" s="138" t="s">
        <v>1509</v>
      </c>
      <c r="H50" s="138" t="s">
        <v>1510</v>
      </c>
      <c r="I50" s="138" t="s">
        <v>1511</v>
      </c>
      <c r="J50" s="138" t="s">
        <v>1512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4.5999999999999999E-2</v>
      </c>
      <c r="G51" s="531">
        <f>F51/2</f>
        <v>2.3E-2</v>
      </c>
      <c r="H51" s="532">
        <v>0</v>
      </c>
      <c r="I51" s="531">
        <f>J51/2</f>
        <v>-2.4E-2</v>
      </c>
      <c r="J51" s="531">
        <f>SUMPRODUCT(('2002因素修正幅度'!$A$73:$A$79=A51)*('2002因素修正幅度'!$B$35:$K$35=$G$2)*('2002因素修正幅度'!$B$73:$K$79))</f>
        <v>-4.8000000000000001E-2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5.7500000000000002E-2</v>
      </c>
      <c r="G52" s="531">
        <f t="shared" ref="G52:G57" si="5">F52/2</f>
        <v>2.8750000000000001E-2</v>
      </c>
      <c r="H52" s="532">
        <v>0</v>
      </c>
      <c r="I52" s="531">
        <f t="shared" ref="I52:I57" si="6">J52/2</f>
        <v>-0.03</v>
      </c>
      <c r="J52" s="531">
        <f>SUMPRODUCT(('2002因素修正幅度'!$A$73:$A$79=A52)*('2002因素修正幅度'!$B$35:$K$35=$G$2)*('2002因素修正幅度'!$B$73:$K$79))</f>
        <v>-0.06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2.3E-2</v>
      </c>
      <c r="G53" s="531">
        <f t="shared" si="5"/>
        <v>1.15E-2</v>
      </c>
      <c r="H53" s="532">
        <v>0</v>
      </c>
      <c r="I53" s="531">
        <f t="shared" si="6"/>
        <v>-1.2E-2</v>
      </c>
      <c r="J53" s="531">
        <f>SUMPRODUCT(('2002因素修正幅度'!$A$73:$A$79=A53)*('2002因素修正幅度'!$B$35:$K$35=$G$2)*('2002因素修正幅度'!$B$73:$K$79))</f>
        <v>-2.4E-2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7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2.3E-2</v>
      </c>
      <c r="G54" s="531">
        <f t="shared" si="5"/>
        <v>1.15E-2</v>
      </c>
      <c r="H54" s="532">
        <v>0</v>
      </c>
      <c r="I54" s="531">
        <f t="shared" si="6"/>
        <v>-1.2E-2</v>
      </c>
      <c r="J54" s="531">
        <f>SUMPRODUCT(('2002因素修正幅度'!$A$73:$A$79=A54)*('2002因素修正幅度'!$B$35:$K$35=$G$2)*('2002因素修正幅度'!$B$73:$K$79))</f>
        <v>-2.4E-2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3.4500000000000003E-2</v>
      </c>
      <c r="G55" s="531">
        <f t="shared" si="5"/>
        <v>1.7250000000000001E-2</v>
      </c>
      <c r="H55" s="532">
        <v>0</v>
      </c>
      <c r="I55" s="531">
        <f t="shared" si="6"/>
        <v>-1.7999999999999999E-2</v>
      </c>
      <c r="J55" s="531">
        <f>SUMPRODUCT(('2002因素修正幅度'!$A$73:$A$79=A55)*('2002因素修正幅度'!$B$35:$K$35=$G$2)*('2002因素修正幅度'!$B$73:$K$79))</f>
        <v>-3.5999999999999997E-2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8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1.84E-2</v>
      </c>
      <c r="G56" s="531">
        <f t="shared" si="5"/>
        <v>9.1999999999999998E-3</v>
      </c>
      <c r="H56" s="532">
        <v>0</v>
      </c>
      <c r="I56" s="531">
        <f t="shared" si="6"/>
        <v>-9.5999999999999992E-3</v>
      </c>
      <c r="J56" s="531">
        <f>SUMPRODUCT(('2002因素修正幅度'!$A$73:$A$79=A56)*('2002因素修正幅度'!$B$35:$K$35=$G$2)*('2002因素修正幅度'!$B$73:$K$79))</f>
        <v>-1.9199999999999998E-2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2.76E-2</v>
      </c>
      <c r="G57" s="531">
        <f t="shared" si="5"/>
        <v>1.38E-2</v>
      </c>
      <c r="H57" s="532">
        <v>0</v>
      </c>
      <c r="I57" s="531">
        <f t="shared" si="6"/>
        <v>-1.44E-2</v>
      </c>
      <c r="J57" s="531">
        <f>SUMPRODUCT(('2002因素修正幅度'!$A$73:$A$79=A57)*('2002因素修正幅度'!$B$35:$K$35=$G$2)*('2002因素修正幅度'!$B$73:$K$79))</f>
        <v>-2.8799999999999999E-2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1513</v>
      </c>
      <c r="E59" s="250" t="s">
        <v>1514</v>
      </c>
      <c r="F59" s="138" t="s">
        <v>1515</v>
      </c>
      <c r="G59" s="138" t="s">
        <v>1516</v>
      </c>
      <c r="H59" s="138" t="s">
        <v>1517</v>
      </c>
      <c r="I59" s="138" t="s">
        <v>1518</v>
      </c>
      <c r="J59" s="138" t="s">
        <v>1519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2.5999999999999999E-2</v>
      </c>
      <c r="G60" s="531">
        <f>F60/2</f>
        <v>1.2999999999999999E-2</v>
      </c>
      <c r="H60" s="532">
        <v>0</v>
      </c>
      <c r="I60" s="531">
        <f>J60/2</f>
        <v>-1.2999999999999999E-2</v>
      </c>
      <c r="J60" s="531">
        <f>SUMPRODUCT(('2002因素修正幅度'!$A$80:$A$87=A60)*('2002因素修正幅度'!$B$35:$K$35=$G$2)*('2002因素修正幅度'!$B$80:$K$87))</f>
        <v>-2.5999999999999999E-2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5.1999999999999998E-2</v>
      </c>
      <c r="G61" s="531">
        <f t="shared" ref="G61:G67" si="8">F61/2</f>
        <v>2.5999999999999999E-2</v>
      </c>
      <c r="H61" s="532">
        <v>0</v>
      </c>
      <c r="I61" s="531">
        <f t="shared" ref="I61:I67" si="9">J61/2</f>
        <v>-2.5999999999999999E-2</v>
      </c>
      <c r="J61" s="531">
        <f>SUMPRODUCT(('2002因素修正幅度'!$A$80:$A$87=A61)*('2002因素修正幅度'!$B$35:$K$35=$G$2)*('2002因素修正幅度'!$B$80:$K$87))</f>
        <v>-5.1999999999999998E-2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2.5999999999999999E-2</v>
      </c>
      <c r="G62" s="531">
        <f t="shared" si="8"/>
        <v>1.2999999999999999E-2</v>
      </c>
      <c r="H62" s="532">
        <v>0</v>
      </c>
      <c r="I62" s="531">
        <f t="shared" si="9"/>
        <v>-1.2999999999999999E-2</v>
      </c>
      <c r="J62" s="531">
        <f>SUMPRODUCT(('2002因素修正幅度'!$A$80:$A$87=A62)*('2002因素修正幅度'!$B$35:$K$35=$G$2)*('2002因素修正幅度'!$B$80:$K$87))</f>
        <v>-2.5999999999999999E-2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2.5999999999999999E-2</v>
      </c>
      <c r="G63" s="531">
        <f t="shared" si="8"/>
        <v>1.2999999999999999E-2</v>
      </c>
      <c r="H63" s="532">
        <v>0</v>
      </c>
      <c r="I63" s="531">
        <f t="shared" si="9"/>
        <v>-1.2999999999999999E-2</v>
      </c>
      <c r="J63" s="531">
        <f>SUMPRODUCT(('2002因素修正幅度'!$A$80:$A$87=A63)*('2002因素修正幅度'!$B$35:$K$35=$G$2)*('2002因素修正幅度'!$B$80:$K$87))</f>
        <v>-2.5999999999999999E-2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8" t="s">
        <v>1757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2.0799999999999999E-2</v>
      </c>
      <c r="G64" s="531">
        <f t="shared" si="8"/>
        <v>1.04E-2</v>
      </c>
      <c r="H64" s="532">
        <v>0</v>
      </c>
      <c r="I64" s="531">
        <f t="shared" si="9"/>
        <v>-1.04E-2</v>
      </c>
      <c r="J64" s="531">
        <f>SUMPRODUCT(('2002因素修正幅度'!$A$80:$A$87=A64)*('2002因素修正幅度'!$B$35:$K$35=$G$2)*('2002因素修正幅度'!$B$80:$K$87))</f>
        <v>-2.0799999999999999E-2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3.1199999999999999E-2</v>
      </c>
      <c r="G65" s="531">
        <f t="shared" si="8"/>
        <v>1.5599999999999999E-2</v>
      </c>
      <c r="H65" s="532">
        <v>0</v>
      </c>
      <c r="I65" s="531">
        <f t="shared" si="9"/>
        <v>-1.5599999999999999E-2</v>
      </c>
      <c r="J65" s="531">
        <f>SUMPRODUCT(('2002因素修正幅度'!$A$80:$A$87=A65)*('2002因素修正幅度'!$B$35:$K$35=$G$2)*('2002因素修正幅度'!$B$80:$K$87))</f>
        <v>-3.1199999999999999E-2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5.1999999999999998E-2</v>
      </c>
      <c r="G66" s="531">
        <f t="shared" si="8"/>
        <v>2.5999999999999999E-2</v>
      </c>
      <c r="H66" s="532">
        <v>0</v>
      </c>
      <c r="I66" s="531">
        <f t="shared" si="9"/>
        <v>-2.5999999999999999E-2</v>
      </c>
      <c r="J66" s="531">
        <f>SUMPRODUCT(('2002因素修正幅度'!$A$80:$A$87=A66)*('2002因素修正幅度'!$B$35:$K$35=$G$2)*('2002因素修正幅度'!$B$80:$K$87))</f>
        <v>-5.1999999999999998E-2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2.5999999999999999E-2</v>
      </c>
      <c r="G67" s="531">
        <f t="shared" si="8"/>
        <v>1.2999999999999999E-2</v>
      </c>
      <c r="H67" s="532">
        <v>0</v>
      </c>
      <c r="I67" s="531">
        <f t="shared" si="9"/>
        <v>-1.2999999999999999E-2</v>
      </c>
      <c r="J67" s="531">
        <f>SUMPRODUCT(('2002因素修正幅度'!$A$80:$A$87=A67)*('2002因素修正幅度'!$B$35:$K$35=$G$2)*('2002因素修正幅度'!$B$80:$K$87))</f>
        <v>-2.5999999999999999E-2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1513</v>
      </c>
      <c r="E69" s="250" t="s">
        <v>1514</v>
      </c>
      <c r="F69" s="138" t="s">
        <v>1515</v>
      </c>
      <c r="G69" s="138" t="s">
        <v>1516</v>
      </c>
      <c r="H69" s="138" t="s">
        <v>1517</v>
      </c>
      <c r="I69" s="138" t="s">
        <v>1518</v>
      </c>
      <c r="J69" s="138" t="s">
        <v>1519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0.04</v>
      </c>
      <c r="G70" s="531">
        <f t="shared" ref="G70:G76" si="11">F70/2</f>
        <v>0.02</v>
      </c>
      <c r="H70" s="532">
        <v>0</v>
      </c>
      <c r="I70" s="531">
        <f t="shared" ref="I70:I76" si="12">J70/2</f>
        <v>-0.02</v>
      </c>
      <c r="J70" s="531">
        <f>SUMPRODUCT(('2002因素修正幅度'!$A$88:$A$94=A70)*('2002因素修正幅度'!$B$35:$K$35=$G$2)*('2002因素修正幅度'!$B$88:$K$94))</f>
        <v>-0.04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6.4000000000000001E-2</v>
      </c>
      <c r="G71" s="531">
        <f t="shared" si="11"/>
        <v>3.2000000000000001E-2</v>
      </c>
      <c r="H71" s="532">
        <v>0</v>
      </c>
      <c r="I71" s="531">
        <f t="shared" si="12"/>
        <v>-3.2000000000000001E-2</v>
      </c>
      <c r="J71" s="531">
        <f>SUMPRODUCT(('2002因素修正幅度'!$A$88:$A$94=A71)*('2002因素修正幅度'!$B$35:$K$35=$G$2)*('2002因素修正幅度'!$B$88:$K$94))</f>
        <v>-6.4000000000000001E-2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0.02</v>
      </c>
      <c r="G72" s="531">
        <f t="shared" si="11"/>
        <v>0.01</v>
      </c>
      <c r="H72" s="532">
        <v>0</v>
      </c>
      <c r="I72" s="531">
        <f t="shared" si="12"/>
        <v>-0.01</v>
      </c>
      <c r="J72" s="531">
        <f>SUMPRODUCT(('2002因素修正幅度'!$A$88:$A$94=A72)*('2002因素修正幅度'!$B$35:$K$35=$G$2)*('2002因素修正幅度'!$B$88:$K$94))</f>
        <v>-0.02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1.6E-2</v>
      </c>
      <c r="G73" s="531">
        <f t="shared" si="11"/>
        <v>8.0000000000000002E-3</v>
      </c>
      <c r="H73" s="532">
        <v>0</v>
      </c>
      <c r="I73" s="531">
        <f t="shared" si="12"/>
        <v>-8.0000000000000002E-3</v>
      </c>
      <c r="J73" s="531">
        <f>SUMPRODUCT(('2002因素修正幅度'!$A$88:$A$94=A73)*('2002因素修正幅度'!$B$35:$K$35=$G$2)*('2002因素修正幅度'!$B$88:$K$94))</f>
        <v>-1.6E-2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8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2.4E-2</v>
      </c>
      <c r="G74" s="531">
        <f t="shared" si="11"/>
        <v>1.2E-2</v>
      </c>
      <c r="H74" s="532">
        <v>0</v>
      </c>
      <c r="I74" s="531">
        <f t="shared" si="12"/>
        <v>-1.2E-2</v>
      </c>
      <c r="J74" s="531">
        <f>SUMPRODUCT(('2002因素修正幅度'!$A$88:$A$94=A74)*('2002因素修正幅度'!$B$35:$K$35=$G$2)*('2002因素修正幅度'!$B$88:$K$94))</f>
        <v>-2.4E-2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0.02</v>
      </c>
      <c r="G75" s="531">
        <f t="shared" si="11"/>
        <v>0.01</v>
      </c>
      <c r="H75" s="532">
        <v>0</v>
      </c>
      <c r="I75" s="531">
        <f t="shared" si="12"/>
        <v>-0.01</v>
      </c>
      <c r="J75" s="531">
        <f>SUMPRODUCT(('2002因素修正幅度'!$A$88:$A$94=A75)*('2002因素修正幅度'!$B$35:$K$35=$G$2)*('2002因素修正幅度'!$B$88:$K$94))</f>
        <v>-0.02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1.6E-2</v>
      </c>
      <c r="G76" s="531">
        <f t="shared" si="11"/>
        <v>8.0000000000000002E-3</v>
      </c>
      <c r="H76" s="532">
        <v>0</v>
      </c>
      <c r="I76" s="531">
        <f t="shared" si="12"/>
        <v>-8.0000000000000002E-3</v>
      </c>
      <c r="J76" s="531">
        <f>SUMPRODUCT(('2002因素修正幅度'!$A$88:$A$94=A76)*('2002因素修正幅度'!$B$35:$K$35=$G$2)*('2002因素修正幅度'!$B$88:$K$94))</f>
        <v>-1.6E-2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1480</v>
      </c>
      <c r="B80" s="599">
        <f>G3</f>
        <v>79.84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1481</v>
      </c>
      <c r="B81" s="600">
        <f>SUMIF(A82:A85,E2,B82:B85)</f>
        <v>-0.73050000000000004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-2.0859999999999999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-1.2125999999999999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-0.73050000000000004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-7.0900000000000005E-2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24"/>
  <sheetViews>
    <sheetView workbookViewId="0"/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六级</v>
      </c>
      <c r="M1" s="583">
        <f>SUMPRODUCT((K3:K7=L1)*(L2:O2=K1)*(L3:O7))</f>
        <v>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102"/>
  <sheetViews>
    <sheetView workbookViewId="0">
      <selection sqref="A1:A2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789" t="s">
        <v>1324</v>
      </c>
      <c r="B1" s="1786" t="s">
        <v>1325</v>
      </c>
      <c r="C1" s="1787"/>
      <c r="D1" s="1788"/>
      <c r="E1" s="1786" t="s">
        <v>1326</v>
      </c>
      <c r="F1" s="1787"/>
      <c r="G1" s="1788"/>
    </row>
    <row r="2" spans="1:7">
      <c r="A2" s="1790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94"/>
  <sheetViews>
    <sheetView workbookViewId="0"/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AK58"/>
  <sheetViews>
    <sheetView tabSelected="1" workbookViewId="0">
      <selection activeCell="H16" sqref="H16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1468</v>
      </c>
      <c r="B1" s="632"/>
      <c r="C1" s="1530" t="s">
        <v>1763</v>
      </c>
      <c r="D1" s="703" t="s">
        <v>1433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>
        <f ca="1">IF(C1="求取熟地价",E27,IF(C1="求取毛地价",E29,"——"))</f>
        <v>266825</v>
      </c>
      <c r="C2" s="978" t="s">
        <v>986</v>
      </c>
      <c r="D2" s="1794" t="s">
        <v>1438</v>
      </c>
      <c r="E2" s="1798" t="s">
        <v>1434</v>
      </c>
      <c r="F2" s="680" t="s">
        <v>1437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1569</v>
      </c>
      <c r="B3" s="717">
        <f ca="1">IF(C1="求取熟地价",C27,ROUND((C15*B11+C18)*C22/B11,0))</f>
        <v>3342</v>
      </c>
      <c r="C3" s="979" t="s">
        <v>917</v>
      </c>
      <c r="D3" s="1795"/>
      <c r="E3" s="1799"/>
      <c r="F3" s="680" t="s">
        <v>1448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795"/>
      <c r="E4" s="1799"/>
      <c r="F4" s="680" t="s">
        <v>1449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住宅/居住</v>
      </c>
      <c r="C5" s="722"/>
      <c r="D5" s="1796"/>
      <c r="E5" s="1800"/>
      <c r="F5" s="680" t="s">
        <v>1450</v>
      </c>
      <c r="G5" s="376"/>
      <c r="H5" s="376"/>
      <c r="I5" s="683"/>
      <c r="J5" s="707"/>
      <c r="AE5" s="480"/>
      <c r="AF5" s="480"/>
    </row>
    <row r="6" spans="1:36" ht="14.25">
      <c r="A6" s="719" t="s">
        <v>1446</v>
      </c>
      <c r="B6" s="1354" t="s">
        <v>1764</v>
      </c>
      <c r="C6" s="722"/>
      <c r="D6" s="1794" t="s">
        <v>1439</v>
      </c>
      <c r="E6" s="1798" t="s">
        <v>1435</v>
      </c>
      <c r="F6" s="680" t="s">
        <v>1451</v>
      </c>
      <c r="G6" s="376"/>
      <c r="H6" s="376"/>
      <c r="I6" s="683"/>
      <c r="J6" s="707"/>
      <c r="AE6" s="480"/>
      <c r="AF6" s="480"/>
    </row>
    <row r="7" spans="1:36" ht="14.25">
      <c r="A7" s="1387" t="s">
        <v>1447</v>
      </c>
      <c r="B7" s="1388" t="str">
        <f>LEFT(主表!B10,1)&amp;"类"</f>
        <v>六类</v>
      </c>
      <c r="C7" s="722"/>
      <c r="D7" s="1795"/>
      <c r="E7" s="1799"/>
      <c r="F7" s="680" t="s">
        <v>1452</v>
      </c>
      <c r="G7" s="376"/>
      <c r="H7" s="376"/>
      <c r="I7" s="683"/>
      <c r="J7" s="707"/>
      <c r="AE7" s="480"/>
      <c r="AF7" s="480"/>
    </row>
    <row r="8" spans="1:36" ht="15">
      <c r="A8" s="719" t="s">
        <v>1573</v>
      </c>
      <c r="B8" s="1419" t="s">
        <v>1767</v>
      </c>
      <c r="C8" s="722"/>
      <c r="D8" s="1796"/>
      <c r="E8" s="1800"/>
      <c r="F8" s="680" t="s">
        <v>1453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79.84</v>
      </c>
      <c r="C9" s="722"/>
      <c r="D9" s="706" t="s">
        <v>1440</v>
      </c>
      <c r="E9" s="682" t="s">
        <v>1417</v>
      </c>
      <c r="F9" s="680" t="s">
        <v>1454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1</v>
      </c>
      <c r="C10" s="722"/>
      <c r="D10" s="1794" t="s">
        <v>1418</v>
      </c>
      <c r="E10" s="1798" t="s">
        <v>1436</v>
      </c>
      <c r="F10" s="680" t="s">
        <v>1455</v>
      </c>
      <c r="G10" s="376"/>
      <c r="H10" s="376"/>
      <c r="I10" s="683"/>
      <c r="J10" s="707"/>
      <c r="AE10" s="480"/>
      <c r="AF10" s="480"/>
    </row>
    <row r="11" spans="1:36" ht="15.75" thickBot="1">
      <c r="A11" s="1503" t="s">
        <v>1765</v>
      </c>
      <c r="B11" s="721">
        <f>IF(A11="容积率",主表!B8,主表!B9)</f>
        <v>2.5</v>
      </c>
      <c r="C11" s="722"/>
      <c r="D11" s="1797"/>
      <c r="E11" s="1801"/>
      <c r="F11" s="708" t="s">
        <v>1456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1463</v>
      </c>
      <c r="B13" s="701"/>
      <c r="C13" s="702" t="s">
        <v>1464</v>
      </c>
      <c r="D13" s="980" t="s">
        <v>1306</v>
      </c>
      <c r="E13" s="981" t="s">
        <v>1457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1441</v>
      </c>
      <c r="C14" s="1395">
        <v>400</v>
      </c>
      <c r="D14" s="1396">
        <f>SUMPRODUCT((D35:M35=B7)*(B36:B39=B6)*(D36:M39))</f>
        <v>400</v>
      </c>
      <c r="E14" s="1397">
        <f>SUMPRODUCT((D35:M35=B7)*(B40:B43=B6)*(D40:M43))</f>
        <v>600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1460</v>
      </c>
      <c r="B15" s="1389" t="s">
        <v>1426</v>
      </c>
      <c r="C15" s="1390">
        <f>IF(B5="住宅/居住",C16+C17,C16)</f>
        <v>610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1442</v>
      </c>
      <c r="C16" s="1355">
        <v>460</v>
      </c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1443</v>
      </c>
      <c r="C17" s="1355">
        <v>150</v>
      </c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1577</v>
      </c>
      <c r="G17" s="361"/>
      <c r="H17" s="677"/>
      <c r="I17" s="678"/>
      <c r="J17" s="366"/>
      <c r="AE17" s="480"/>
      <c r="AF17" s="480"/>
    </row>
    <row r="18" spans="1:37" ht="16.5" thickTop="1" thickBot="1">
      <c r="A18" s="1429" t="s">
        <v>1461</v>
      </c>
      <c r="B18" s="1430" t="s">
        <v>1445</v>
      </c>
      <c r="C18" s="1431">
        <f>IF(B8="城镇拆迁",C19*IF(F19="居民住宅",1,IF(F19="企业事业单位",2,4)),C20)</f>
        <v>5900</v>
      </c>
      <c r="D18" s="1432"/>
      <c r="E18" s="1433"/>
      <c r="F18" s="361"/>
      <c r="G18" s="361"/>
      <c r="H18" s="677"/>
      <c r="I18" s="678"/>
      <c r="J18" s="366"/>
      <c r="AE18" s="480"/>
      <c r="AF18" s="480"/>
    </row>
    <row r="19" spans="1:37" ht="15.75">
      <c r="A19" s="1426"/>
      <c r="B19" s="1427" t="s">
        <v>1444</v>
      </c>
      <c r="C19" s="1428">
        <v>5900</v>
      </c>
      <c r="D19" s="652">
        <f>SUMPRODUCT((D35:M35=B7)*(B44:B46=B19)*(D44:M46))</f>
        <v>5900</v>
      </c>
      <c r="E19" s="652">
        <f>SUMPRODUCT((D35:M35=B7)*(B47:B49=B19)*(D47:M49))</f>
        <v>7800</v>
      </c>
      <c r="F19" s="1417" t="s">
        <v>1462</v>
      </c>
      <c r="G19" s="361"/>
      <c r="H19" s="677"/>
      <c r="I19" s="678"/>
      <c r="J19" s="366"/>
      <c r="AE19" s="480"/>
      <c r="AF19" s="480"/>
    </row>
    <row r="20" spans="1:37" ht="15.75" thickBot="1">
      <c r="A20" s="1416"/>
      <c r="B20" s="1414" t="s">
        <v>1576</v>
      </c>
      <c r="C20" s="1722">
        <v>150</v>
      </c>
      <c r="D20" s="1415">
        <f>SUMPRODUCT((D35:M35=B7)*(B50:B51=F20)*(D50:M51))</f>
        <v>150</v>
      </c>
      <c r="E20" s="1396">
        <f>SUMPRODUCT((D35:M35=B7)*(B52:B53=F20)*(D52:M53))</f>
        <v>450</v>
      </c>
      <c r="F20" s="1418" t="s">
        <v>1768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1574</v>
      </c>
      <c r="B21" s="1403" t="s">
        <v>942</v>
      </c>
      <c r="C21" s="1404">
        <f>IF(B11&lt;1,1,SUMIF(B55:K55,ROUNDDOWN(B11,0),B56:K56)+(SUMIF(B55:K55,ROUNDUP(B11,0),B56:K56)-SUMIF(B55:K55,ROUNDDOWN(B11,0),B56:K56))*(B11-ROUNDDOWN(B11,0)))</f>
        <v>2.3250000000000002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1575</v>
      </c>
      <c r="B22" s="1389" t="s">
        <v>202</v>
      </c>
      <c r="C22" s="1399">
        <f ca="1">ROUND(POWER(1+C23,C25-C24)*(POWER(1+C23,C24)-1)/(POWER(1+C23,C25)-1),4)</f>
        <v>1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4.0050000000000002E-2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1766</v>
      </c>
      <c r="C24" s="638">
        <f>IF(B24="剩余土地使用年限",主表!B15,主表!B16)</f>
        <v>70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1459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783" t="s">
        <v>1353</v>
      </c>
      <c r="B27" s="780" t="s">
        <v>1340</v>
      </c>
      <c r="C27" s="638">
        <f ca="1">ROUND(C28/B11,0)</f>
        <v>3342</v>
      </c>
      <c r="D27" s="647">
        <f>B9</f>
        <v>79.84</v>
      </c>
      <c r="E27" s="648">
        <f ca="1">ROUND(C27*D27,0)</f>
        <v>266825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784"/>
      <c r="B28" s="785" t="s">
        <v>1343</v>
      </c>
      <c r="C28" s="638">
        <f ca="1">IF(主表!B4&lt;DATE(2002,12,10),ROUND(C14*C21*C22+C15*B11+C18,0),0)</f>
        <v>8355</v>
      </c>
      <c r="D28" s="647">
        <f>B10</f>
        <v>1</v>
      </c>
      <c r="E28" s="648">
        <f ca="1">ROUND(C28*D28,0)</f>
        <v>8355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785" t="s">
        <v>1465</v>
      </c>
      <c r="B29" s="767" t="s">
        <v>1466</v>
      </c>
      <c r="C29" s="652">
        <f ca="1">ROUND(C30/B11,0)</f>
        <v>982</v>
      </c>
      <c r="D29" s="653">
        <f>B9</f>
        <v>79.84</v>
      </c>
      <c r="E29" s="654">
        <f ca="1">ROUND(C29*D29,0)</f>
        <v>78403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04"/>
      <c r="B30" s="982" t="s">
        <v>1467</v>
      </c>
      <c r="C30" s="643">
        <f ca="1">IF(主表!B4&lt;DATE(2002,12,10),ROUND(C14*C21*C22+C15*B11,0),0)</f>
        <v>2455</v>
      </c>
      <c r="D30" s="695">
        <f>B10</f>
        <v>1</v>
      </c>
      <c r="E30" s="696">
        <f t="shared" ref="E30" ca="1" si="0">ROUND(C30*D30,0)</f>
        <v>2455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02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03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03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03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03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03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03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03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791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792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792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792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792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793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792" t="s">
        <v>1430</v>
      </c>
      <c r="B50" s="996" t="s">
        <v>1458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792"/>
      <c r="B51" s="998" t="s">
        <v>1432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792"/>
      <c r="B52" s="996" t="s">
        <v>1431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793"/>
      <c r="B53" s="998" t="s">
        <v>1432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5">
    <tabColor rgb="FF92D050"/>
    <pageSetUpPr fitToPage="1"/>
  </sheetPr>
  <dimension ref="A1:AD120"/>
  <sheetViews>
    <sheetView workbookViewId="0"/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28" t="s">
        <v>91</v>
      </c>
      <c r="D4" s="1829"/>
      <c r="E4" s="1830" t="s">
        <v>92</v>
      </c>
      <c r="F4" s="1831"/>
      <c r="G4" s="1828" t="s">
        <v>93</v>
      </c>
      <c r="H4" s="1829"/>
      <c r="I4" s="1828" t="s">
        <v>94</v>
      </c>
      <c r="J4" s="1829"/>
      <c r="K4" s="142" t="s">
        <v>95</v>
      </c>
      <c r="L4" s="451"/>
      <c r="M4" s="452"/>
      <c r="N4" s="452"/>
      <c r="O4" s="452"/>
      <c r="P4" s="1832" t="s">
        <v>96</v>
      </c>
      <c r="Q4" s="1833"/>
      <c r="R4" s="1815" t="s">
        <v>92</v>
      </c>
      <c r="S4" s="1816"/>
      <c r="T4" s="1815" t="s">
        <v>93</v>
      </c>
      <c r="U4" s="1816"/>
      <c r="V4" s="1812" t="s">
        <v>94</v>
      </c>
      <c r="W4" s="1812"/>
      <c r="X4" s="201"/>
      <c r="Y4" s="1815" t="s">
        <v>96</v>
      </c>
      <c r="Z4" s="1816"/>
      <c r="AA4" s="1825" t="s">
        <v>92</v>
      </c>
      <c r="AB4" s="1826" t="s">
        <v>93</v>
      </c>
      <c r="AC4" s="1825" t="s">
        <v>94</v>
      </c>
    </row>
    <row r="5" spans="1:30" ht="15">
      <c r="A5" s="41"/>
      <c r="B5" s="42"/>
      <c r="C5" s="1840" t="s">
        <v>230</v>
      </c>
      <c r="D5" s="1841"/>
      <c r="E5" s="1838" t="s">
        <v>231</v>
      </c>
      <c r="F5" s="1839"/>
      <c r="G5" s="1840" t="s">
        <v>234</v>
      </c>
      <c r="H5" s="1841"/>
      <c r="I5" s="1840" t="s">
        <v>232</v>
      </c>
      <c r="J5" s="1841"/>
      <c r="K5" s="142"/>
      <c r="L5" s="451"/>
      <c r="M5" s="452"/>
      <c r="N5" s="452"/>
      <c r="O5" s="452"/>
      <c r="P5" s="1834"/>
      <c r="Q5" s="1835"/>
      <c r="R5" s="1817"/>
      <c r="S5" s="1818"/>
      <c r="T5" s="1817"/>
      <c r="U5" s="1818"/>
      <c r="V5" s="1812"/>
      <c r="W5" s="1812"/>
      <c r="X5" s="201"/>
      <c r="Y5" s="1817"/>
      <c r="Z5" s="1818"/>
      <c r="AA5" s="1826"/>
      <c r="AB5" s="1826"/>
      <c r="AC5" s="1826"/>
    </row>
    <row r="6" spans="1:30" ht="15.75" thickBot="1">
      <c r="A6" s="43"/>
      <c r="B6" s="44"/>
      <c r="C6" s="1842" t="s">
        <v>233</v>
      </c>
      <c r="D6" s="1843"/>
      <c r="E6" s="1844" t="s">
        <v>233</v>
      </c>
      <c r="F6" s="1845"/>
      <c r="G6" s="1842" t="s">
        <v>233</v>
      </c>
      <c r="H6" s="1843"/>
      <c r="I6" s="1842" t="s">
        <v>233</v>
      </c>
      <c r="J6" s="1843"/>
      <c r="K6" s="142" t="s">
        <v>97</v>
      </c>
      <c r="L6" s="451"/>
      <c r="M6" s="452"/>
      <c r="N6" s="452"/>
      <c r="O6" s="452"/>
      <c r="P6" s="1836"/>
      <c r="Q6" s="1837"/>
      <c r="R6" s="1817"/>
      <c r="S6" s="1818"/>
      <c r="T6" s="1819"/>
      <c r="U6" s="1820"/>
      <c r="V6" s="1812"/>
      <c r="W6" s="1812"/>
      <c r="X6" s="201"/>
      <c r="Y6" s="1819"/>
      <c r="Z6" s="1820"/>
      <c r="AA6" s="1827"/>
      <c r="AB6" s="1827"/>
      <c r="AC6" s="1827"/>
    </row>
    <row r="7" spans="1:30" s="22" customFormat="1" ht="15.75" thickBot="1">
      <c r="A7" s="45" t="s">
        <v>98</v>
      </c>
      <c r="B7" s="46"/>
      <c r="C7" s="1385">
        <f>主表!B4</f>
        <v>37332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13" t="s">
        <v>99</v>
      </c>
      <c r="Q7" s="1821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13" t="s">
        <v>99</v>
      </c>
      <c r="Z7" s="1814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13" t="s">
        <v>125</v>
      </c>
      <c r="Q8" s="1814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13" t="s">
        <v>125</v>
      </c>
      <c r="Z8" s="1814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05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24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2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05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24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8">
        <f>IF(B11="容积率",主表!B8,主表!B9)</f>
        <v>79.84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05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24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1547</v>
      </c>
      <c r="C12" s="1096" t="str">
        <f>主表!B10</f>
        <v>六级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05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24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05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24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05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24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22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22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23"/>
      <c r="Q16" s="206"/>
      <c r="R16" s="207"/>
      <c r="S16" s="208"/>
      <c r="T16" s="207"/>
      <c r="U16" s="208"/>
      <c r="V16" s="207"/>
      <c r="W16" s="208"/>
      <c r="X16" s="201"/>
      <c r="Y16" s="1823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23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23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23"/>
      <c r="Q18" s="206"/>
      <c r="R18" s="207"/>
      <c r="S18" s="208"/>
      <c r="T18" s="207"/>
      <c r="U18" s="208"/>
      <c r="V18" s="207"/>
      <c r="W18" s="208"/>
      <c r="X18" s="201"/>
      <c r="Y18" s="1823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23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23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23"/>
      <c r="Q20" s="206"/>
      <c r="R20" s="207"/>
      <c r="S20" s="208"/>
      <c r="T20" s="207"/>
      <c r="U20" s="208"/>
      <c r="V20" s="207"/>
      <c r="W20" s="208"/>
      <c r="X20" s="201"/>
      <c r="Y20" s="1823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23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23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23"/>
      <c r="Q22" s="206"/>
      <c r="R22" s="207"/>
      <c r="S22" s="208"/>
      <c r="T22" s="207"/>
      <c r="U22" s="208"/>
      <c r="V22" s="207"/>
      <c r="W22" s="208"/>
      <c r="X22" s="201"/>
      <c r="Y22" s="1823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23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23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23"/>
      <c r="Q24" s="235"/>
      <c r="R24" s="207"/>
      <c r="S24" s="208"/>
      <c r="T24" s="207"/>
      <c r="U24" s="208"/>
      <c r="V24" s="207"/>
      <c r="W24" s="208"/>
      <c r="X24" s="234"/>
      <c r="Y24" s="1823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23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23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23"/>
      <c r="Q26" s="206"/>
      <c r="R26" s="207"/>
      <c r="S26" s="208"/>
      <c r="T26" s="207"/>
      <c r="U26" s="208"/>
      <c r="V26" s="207"/>
      <c r="W26" s="208"/>
      <c r="X26" s="201"/>
      <c r="Y26" s="1823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23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23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23"/>
      <c r="Q28" s="18"/>
      <c r="R28" s="202"/>
      <c r="S28" s="203"/>
      <c r="T28" s="202"/>
      <c r="U28" s="203"/>
      <c r="V28" s="202"/>
      <c r="W28" s="203"/>
      <c r="X28" s="204"/>
      <c r="Y28" s="1823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23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23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23"/>
      <c r="Q30" s="500"/>
      <c r="R30" s="202"/>
      <c r="S30" s="203"/>
      <c r="T30" s="202"/>
      <c r="U30" s="203"/>
      <c r="V30" s="202"/>
      <c r="W30" s="203"/>
      <c r="X30" s="204"/>
      <c r="Y30" s="1823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23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23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23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23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23"/>
      <c r="Q33" s="206"/>
      <c r="R33" s="207"/>
      <c r="S33" s="208"/>
      <c r="T33" s="207"/>
      <c r="U33" s="208"/>
      <c r="V33" s="207"/>
      <c r="W33" s="208"/>
      <c r="X33" s="201"/>
      <c r="Y33" s="1823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23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23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23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23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10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11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1560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11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11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1561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11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11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11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11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11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11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11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11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11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11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11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11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11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11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1562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11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11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05" t="str">
        <f>A46</f>
        <v>成交单价</v>
      </c>
      <c r="Q46" s="1805"/>
      <c r="R46" s="1812">
        <f>E46</f>
        <v>0</v>
      </c>
      <c r="S46" s="1812"/>
      <c r="T46" s="1812">
        <f>G46</f>
        <v>0</v>
      </c>
      <c r="U46" s="1812"/>
      <c r="V46" s="1812">
        <f>I46</f>
        <v>0</v>
      </c>
      <c r="W46" s="181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05" t="str">
        <f>A47</f>
        <v>比较价值（元/平方米）</v>
      </c>
      <c r="Q47" s="1805"/>
      <c r="R47" s="1806" t="e">
        <f>ROUND(PRODUCT(R46,AA7:AA45),0)</f>
        <v>#DIV/0!</v>
      </c>
      <c r="S47" s="1806"/>
      <c r="T47" s="1806" t="e">
        <f>ROUND(PRODUCT(T46,AB7:AB45),0)</f>
        <v>#DIV/0!</v>
      </c>
      <c r="U47" s="1806"/>
      <c r="V47" s="1806" t="e">
        <f>ROUND(PRODUCT(V46,AC7:AC45),0)</f>
        <v>#DIV/0!</v>
      </c>
      <c r="W47" s="1806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07" t="str">
        <f>A48</f>
        <v>估价对象比较价值（单价内涵，元/平方米）</v>
      </c>
      <c r="Q48" s="1808"/>
      <c r="R48" s="1809" t="e">
        <f>ROUND(AVERAGE(R47:V47),0)</f>
        <v>#DIV/0!</v>
      </c>
      <c r="S48" s="1809"/>
      <c r="T48" s="1809"/>
      <c r="U48" s="1809"/>
      <c r="V48" s="1809"/>
      <c r="W48" s="1809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2002-3-1</v>
      </c>
      <c r="D56" s="1688">
        <f>EDATE(C56,-3)</f>
        <v>37226</v>
      </c>
      <c r="E56" s="1688">
        <f t="shared" ref="E56:O56" si="15">EDATE(D56,-3)</f>
        <v>37135</v>
      </c>
      <c r="F56" s="1688">
        <f t="shared" si="15"/>
        <v>37043</v>
      </c>
      <c r="G56" s="1688">
        <f t="shared" si="15"/>
        <v>36951</v>
      </c>
      <c r="H56" s="1688">
        <f t="shared" si="15"/>
        <v>36861</v>
      </c>
      <c r="I56" s="1688">
        <f t="shared" si="15"/>
        <v>36770</v>
      </c>
      <c r="J56" s="1688">
        <f t="shared" si="15"/>
        <v>36678</v>
      </c>
      <c r="K56" s="1688">
        <f t="shared" si="15"/>
        <v>36586</v>
      </c>
      <c r="L56" s="1688">
        <f t="shared" si="15"/>
        <v>36495</v>
      </c>
      <c r="M56" s="1688">
        <f t="shared" si="15"/>
        <v>36404</v>
      </c>
      <c r="N56" s="1688">
        <f t="shared" si="15"/>
        <v>36312</v>
      </c>
      <c r="O56" s="1688">
        <f t="shared" si="15"/>
        <v>36220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2002-1</v>
      </c>
      <c r="D58" s="1687" t="str">
        <f t="shared" ref="D58:O58" si="16">YEAR(D56)&amp;"-"&amp;ROUNDUP(MONTH(D56)/3,0)</f>
        <v>2001-4</v>
      </c>
      <c r="E58" s="1687" t="str">
        <f t="shared" si="16"/>
        <v>2001-3</v>
      </c>
      <c r="F58" s="1687" t="str">
        <f t="shared" si="16"/>
        <v>2001-2</v>
      </c>
      <c r="G58" s="1687" t="str">
        <f t="shared" si="16"/>
        <v>2001-1</v>
      </c>
      <c r="H58" s="1687" t="str">
        <f t="shared" si="16"/>
        <v>2000-4</v>
      </c>
      <c r="I58" s="1687" t="str">
        <f t="shared" si="16"/>
        <v>2000-3</v>
      </c>
      <c r="J58" s="1687" t="str">
        <f t="shared" si="16"/>
        <v>2000-2</v>
      </c>
      <c r="K58" s="1687" t="str">
        <f t="shared" si="16"/>
        <v>2000-1</v>
      </c>
      <c r="L58" s="1687" t="str">
        <f t="shared" si="16"/>
        <v>1999-4</v>
      </c>
      <c r="M58" s="1687" t="str">
        <f t="shared" si="16"/>
        <v>1999-3</v>
      </c>
      <c r="N58" s="1687" t="str">
        <f t="shared" si="16"/>
        <v>1999-2</v>
      </c>
      <c r="O58" s="1687" t="str">
        <f t="shared" si="16"/>
        <v>1999-1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1548</v>
      </c>
      <c r="D70" s="1069" t="s">
        <v>1549</v>
      </c>
      <c r="E70" s="1069" t="s">
        <v>1550</v>
      </c>
      <c r="F70" s="1069" t="s">
        <v>1551</v>
      </c>
      <c r="G70" s="1069" t="s">
        <v>1552</v>
      </c>
      <c r="H70" s="1069" t="s">
        <v>1553</v>
      </c>
      <c r="I70" s="1069" t="s">
        <v>1554</v>
      </c>
      <c r="J70" s="1069" t="s">
        <v>1555</v>
      </c>
      <c r="K70" s="1069" t="s">
        <v>1556</v>
      </c>
      <c r="L70" s="1069" t="s">
        <v>1557</v>
      </c>
      <c r="M70" s="1070" t="s">
        <v>1558</v>
      </c>
      <c r="N70" s="1070" t="s">
        <v>1559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1563</v>
      </c>
      <c r="D102" s="1148" t="s">
        <v>1564</v>
      </c>
      <c r="E102" s="1148" t="s">
        <v>1565</v>
      </c>
      <c r="F102" s="1148" t="s">
        <v>1566</v>
      </c>
      <c r="G102" s="1148" t="s">
        <v>1567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1562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1"/>
      <c r="I107" s="1541"/>
      <c r="J107" s="1541"/>
      <c r="K107" s="1542"/>
      <c r="L107" s="1543"/>
      <c r="M107" s="1544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5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1"/>
      <c r="I109" s="1541"/>
      <c r="J109" s="1541"/>
      <c r="K109" s="1542"/>
      <c r="L109" s="1543"/>
      <c r="M109" s="1544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5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1"/>
      <c r="I111" s="1541"/>
      <c r="J111" s="1541"/>
      <c r="K111" s="1542"/>
      <c r="L111" s="1543"/>
      <c r="M111" s="1544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5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1"/>
      <c r="I113" s="1541"/>
      <c r="J113" s="1541"/>
      <c r="K113" s="1542"/>
      <c r="L113" s="1543"/>
      <c r="M113" s="1544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5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1"/>
      <c r="I115" s="1541"/>
      <c r="J115" s="1541"/>
      <c r="K115" s="1542"/>
      <c r="L115" s="1543"/>
      <c r="M115" s="1544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1"/>
      <c r="I117" s="1541"/>
      <c r="J117" s="1541"/>
      <c r="K117" s="1542"/>
      <c r="L117" s="1543"/>
      <c r="M117" s="1544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6"/>
      <c r="I118" s="1546"/>
      <c r="J118" s="1546"/>
      <c r="K118" s="1546"/>
      <c r="L118" s="1546"/>
      <c r="M118" s="1547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1563</v>
      </c>
      <c r="D119" s="1148" t="s">
        <v>1564</v>
      </c>
      <c r="E119" s="1148" t="s">
        <v>1565</v>
      </c>
      <c r="F119" s="1148" t="s">
        <v>1566</v>
      </c>
      <c r="G119" s="1148" t="s">
        <v>1567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Z64"/>
  <sheetViews>
    <sheetView workbookViewId="0"/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1520</v>
      </c>
      <c r="C1" s="1045">
        <f>主表!B3</f>
        <v>37332</v>
      </c>
      <c r="D1" s="1000" t="str">
        <f>主表!A23</f>
        <v>建设期</v>
      </c>
      <c r="E1" s="1040">
        <f>主表!B23</f>
        <v>1</v>
      </c>
      <c r="F1" s="1000" t="s">
        <v>1521</v>
      </c>
      <c r="G1" s="1001">
        <f ca="1">INDIRECT("d"&amp;$K$1)/100</f>
        <v>5.3099999999999994E-2</v>
      </c>
      <c r="H1" s="1000" t="s">
        <v>1522</v>
      </c>
      <c r="I1" s="1001">
        <f ca="1">SUMIF(F4:F8,E1,G4:G8)/100</f>
        <v>1.9799999999999998E-2</v>
      </c>
      <c r="J1" s="1170">
        <f>IF(C1&gt;C14,0,MATCH(C1,C$14:C$59,-1))+IF(SUMIF(C14:C59,C1,D14:D59)=0,14,13)</f>
        <v>43</v>
      </c>
      <c r="K1" s="1170">
        <f ca="1">MATCH(E1,C4:C8,1)+IF(SUMIF(C4:C8,E1,D4:D8)=0,3,2)</f>
        <v>5</v>
      </c>
      <c r="L1" s="1170">
        <f>IF(C1&gt;M14,0,MATCH(C1,M$14:M$52,-1))+IF(SUMIF(M14:M52,C1,N14:N52)=0,14,13)</f>
        <v>40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37332</v>
      </c>
      <c r="D2" s="1044" t="str">
        <f>主表!A24</f>
        <v>土地开发期</v>
      </c>
      <c r="E2" s="1040">
        <f>主表!B24</f>
        <v>0</v>
      </c>
      <c r="F2" s="1000" t="s">
        <v>1521</v>
      </c>
      <c r="G2" s="1001">
        <f ca="1">INDIRECT("e"&amp;$K$2)/100</f>
        <v>0.03</v>
      </c>
      <c r="H2" s="1000" t="s">
        <v>1522</v>
      </c>
      <c r="I2" s="1001">
        <f>SUMIF(F4:F8,E2,G4:G8)/100</f>
        <v>0</v>
      </c>
      <c r="J2" s="1170">
        <f>IF(C2&gt;C14,0,MATCH(C2,C$14:C$59,-1))+IF(SUMIF(C14:C59,C2,D14:D59)=0,14,13)</f>
        <v>43</v>
      </c>
      <c r="K2" s="1170">
        <f ca="1">MATCH(E2,C4:C8,1)+IF(SUMIF(C4:C8,E2,D4:D8)=0,3,2)</f>
        <v>3</v>
      </c>
      <c r="L2" s="1170">
        <f>IF(C2&gt;M14,0,MATCH(C2,M$14:M$52,-1))+IF(SUMIF(M14:M52,C2,N14:N52)=0,14,13)</f>
        <v>40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1521</v>
      </c>
      <c r="G3" s="1052">
        <f ca="1">INDIRECT("e"&amp;$K$3)/100</f>
        <v>5.4900000000000004E-2</v>
      </c>
      <c r="H3" s="1051" t="s">
        <v>1522</v>
      </c>
      <c r="I3" s="1052">
        <f ca="1">SUMIF(F4:F8,E3,H4:H8)/100</f>
        <v>2.52E-2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1523</v>
      </c>
      <c r="C4" s="1037">
        <v>0</v>
      </c>
      <c r="D4" s="1036">
        <f ca="1">INDIRECT("d"&amp;$J$1)</f>
        <v>5.04</v>
      </c>
      <c r="E4" s="1036">
        <f ca="1">INDIRECT("d"&amp;$J$2)</f>
        <v>5.04</v>
      </c>
      <c r="F4" s="1037">
        <v>0.5</v>
      </c>
      <c r="G4" s="1038">
        <f ca="1">INDIRECT("p"&amp;$L$1)</f>
        <v>1.89</v>
      </c>
      <c r="H4" s="1038">
        <f ca="1">INDIRECT("p"&amp;$L$2)</f>
        <v>1.89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1524</v>
      </c>
      <c r="C5" s="1007">
        <v>0.5</v>
      </c>
      <c r="D5" s="1008">
        <f ca="1">INDIRECT("e"&amp;$J$1)</f>
        <v>5.31</v>
      </c>
      <c r="E5" s="1008">
        <f ca="1">INDIRECT("e"&amp;$J$2)</f>
        <v>5.31</v>
      </c>
      <c r="F5" s="1007">
        <v>1</v>
      </c>
      <c r="G5" s="1039">
        <f ca="1">INDIRECT("q"&amp;$L$1)</f>
        <v>1.98</v>
      </c>
      <c r="H5" s="1039">
        <f ca="1">INDIRECT("q"&amp;$L$2)</f>
        <v>1.98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1525</v>
      </c>
      <c r="C6" s="1007">
        <v>1</v>
      </c>
      <c r="D6" s="1008">
        <f ca="1">INDIRECT("f"&amp;$J$1)</f>
        <v>5.49</v>
      </c>
      <c r="E6" s="1008">
        <f ca="1">INDIRECT("f"&amp;$J$2)</f>
        <v>5.49</v>
      </c>
      <c r="F6" s="1007">
        <v>2</v>
      </c>
      <c r="G6" s="1039">
        <f ca="1">INDIRECT("r"&amp;$L$1)</f>
        <v>2.25</v>
      </c>
      <c r="H6" s="1039">
        <f ca="1">INDIRECT("r"&amp;$L$2)</f>
        <v>2.25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1526</v>
      </c>
      <c r="C7" s="1007">
        <v>3</v>
      </c>
      <c r="D7" s="1008">
        <f ca="1">INDIRECT("g"&amp;$J$1)</f>
        <v>5.58</v>
      </c>
      <c r="E7" s="1008">
        <f ca="1">INDIRECT("g"&amp;$J$2)</f>
        <v>5.58</v>
      </c>
      <c r="F7" s="1007">
        <v>3</v>
      </c>
      <c r="G7" s="1039">
        <f ca="1">INDIRECT("s"&amp;$L$1)</f>
        <v>2.52</v>
      </c>
      <c r="H7" s="1039">
        <f ca="1">INDIRECT("s"&amp;$L$2)</f>
        <v>2.52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1527</v>
      </c>
      <c r="C8" s="1007">
        <v>5</v>
      </c>
      <c r="D8" s="1008">
        <f ca="1">INDIRECT("h"&amp;$J$1)</f>
        <v>5.76</v>
      </c>
      <c r="E8" s="1008">
        <f ca="1">INDIRECT("h"&amp;$J$2)</f>
        <v>5.76</v>
      </c>
      <c r="F8" s="1007">
        <v>5</v>
      </c>
      <c r="G8" s="1039">
        <f ca="1">INDIRECT("t"&amp;$L$1)</f>
        <v>2.79</v>
      </c>
      <c r="H8" s="1039">
        <f ca="1">INDIRECT("t"&amp;$L$2)</f>
        <v>2.79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1528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1529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1530</v>
      </c>
      <c r="C12" s="1014" t="s">
        <v>1531</v>
      </c>
      <c r="D12" s="1015" t="s">
        <v>1532</v>
      </c>
      <c r="E12" s="1016"/>
      <c r="F12" s="1015" t="s">
        <v>1533</v>
      </c>
      <c r="G12" s="1017"/>
      <c r="H12" s="1016"/>
      <c r="I12" s="1015" t="s">
        <v>1534</v>
      </c>
      <c r="J12" s="1016"/>
      <c r="K12" s="1012"/>
      <c r="L12" s="1013" t="s">
        <v>1530</v>
      </c>
      <c r="M12" s="1014" t="s">
        <v>1531</v>
      </c>
      <c r="N12" s="1013" t="s">
        <v>1535</v>
      </c>
      <c r="O12" s="1015" t="s">
        <v>1536</v>
      </c>
      <c r="P12" s="1017"/>
      <c r="Q12" s="1017"/>
      <c r="R12" s="1017"/>
      <c r="S12" s="1017"/>
      <c r="T12" s="1016"/>
      <c r="U12" s="1015" t="s">
        <v>1537</v>
      </c>
      <c r="V12" s="1017"/>
      <c r="W12" s="1016"/>
      <c r="X12" s="1013" t="s">
        <v>1538</v>
      </c>
      <c r="Y12" s="1013" t="s">
        <v>1539</v>
      </c>
      <c r="Z12" s="1013" t="s">
        <v>1540</v>
      </c>
    </row>
    <row r="13" spans="1:26" s="1023" customFormat="1">
      <c r="A13" s="1019"/>
      <c r="B13" s="1020"/>
      <c r="C13" s="1021"/>
      <c r="D13" s="1006" t="s">
        <v>1523</v>
      </c>
      <c r="E13" s="1006" t="s">
        <v>1524</v>
      </c>
      <c r="F13" s="1006" t="s">
        <v>1525</v>
      </c>
      <c r="G13" s="1006" t="s">
        <v>1526</v>
      </c>
      <c r="H13" s="1006" t="s">
        <v>1527</v>
      </c>
      <c r="I13" s="1022" t="s">
        <v>1541</v>
      </c>
      <c r="J13" s="1022" t="s">
        <v>1541</v>
      </c>
      <c r="K13" s="1019"/>
      <c r="L13" s="1020"/>
      <c r="M13" s="1021"/>
      <c r="N13" s="1020"/>
      <c r="O13" s="1022" t="s">
        <v>1542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1543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1543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1544</v>
      </c>
      <c r="Y43" s="1030" t="s">
        <v>1544</v>
      </c>
      <c r="Z43" s="1030" t="s">
        <v>1544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1544</v>
      </c>
      <c r="Y44" s="1030" t="s">
        <v>1544</v>
      </c>
      <c r="Z44" s="1030" t="s">
        <v>1544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1544</v>
      </c>
      <c r="Y45" s="1030" t="s">
        <v>1544</v>
      </c>
      <c r="Z45" s="1030" t="s">
        <v>1544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1544</v>
      </c>
      <c r="Y46" s="1030" t="s">
        <v>1544</v>
      </c>
      <c r="Z46" s="1030" t="s">
        <v>1544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1544</v>
      </c>
      <c r="Y47" s="1030" t="s">
        <v>1544</v>
      </c>
      <c r="Z47" s="1030" t="s">
        <v>1544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1544</v>
      </c>
      <c r="Y48" s="1030" t="s">
        <v>1544</v>
      </c>
      <c r="Z48" s="1030" t="s">
        <v>1544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1544</v>
      </c>
      <c r="Y49" s="1030" t="s">
        <v>1544</v>
      </c>
      <c r="Z49" s="1030" t="s">
        <v>1544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1544</v>
      </c>
      <c r="Y50" s="1030" t="s">
        <v>1544</v>
      </c>
      <c r="Z50" s="1030" t="s">
        <v>1544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1544</v>
      </c>
      <c r="Y51" s="1030" t="s">
        <v>1544</v>
      </c>
      <c r="Z51" s="1030" t="s">
        <v>1544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1544</v>
      </c>
      <c r="V52" s="1030" t="s">
        <v>1544</v>
      </c>
      <c r="W52" s="1030" t="s">
        <v>1544</v>
      </c>
      <c r="X52" s="1030" t="s">
        <v>1544</v>
      </c>
      <c r="Y52" s="1030" t="s">
        <v>1544</v>
      </c>
      <c r="Z52" s="1030" t="s">
        <v>1544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1544</v>
      </c>
      <c r="J56" s="1030" t="s">
        <v>1544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F102"/>
  <sheetViews>
    <sheetView workbookViewId="0"/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1654</v>
      </c>
      <c r="C2" s="1631"/>
      <c r="D2" s="1631"/>
      <c r="F2" s="1631"/>
      <c r="G2" s="1854" t="s">
        <v>1655</v>
      </c>
      <c r="H2" s="1854"/>
      <c r="I2" s="1854"/>
      <c r="J2" s="1854"/>
      <c r="K2" s="1854"/>
      <c r="L2" s="1854"/>
      <c r="N2" s="1849" t="s">
        <v>1656</v>
      </c>
      <c r="O2" s="1849"/>
      <c r="P2" s="1849"/>
      <c r="Q2" s="1849"/>
      <c r="R2" s="1690"/>
      <c r="S2" s="1849" t="s">
        <v>1657</v>
      </c>
      <c r="T2" s="1849"/>
      <c r="U2" s="1849"/>
      <c r="V2" s="1849"/>
    </row>
    <row r="3" spans="1:32" s="1550" customFormat="1" ht="15" thickBot="1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1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550" customFormat="1">
      <c r="A4" s="1552" t="s">
        <v>1658</v>
      </c>
      <c r="B4" s="1553"/>
      <c r="C4" s="1553"/>
      <c r="D4" s="1553"/>
      <c r="E4" s="1553"/>
      <c r="F4" s="1553"/>
      <c r="G4" s="1850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1659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47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1660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47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1661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48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50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47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47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48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46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47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47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48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46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47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47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48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1662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51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1663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52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1664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52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1665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53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1666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46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1667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47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1668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47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1669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48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1670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46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1671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47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1672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47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1673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48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1674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46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1675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47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1676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47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1677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48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1678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46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1679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47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1680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47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1681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48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1682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46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1683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47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1684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47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1685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48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1686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46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1687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47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1688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47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1689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48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1690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46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1691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47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1692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47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1693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48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1694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46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1695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47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1696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47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1697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48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1698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46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1699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47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1700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47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1701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48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1702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46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1703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47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1704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47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1705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48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1706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46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1707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47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1708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47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1709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48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1716</v>
      </c>
      <c r="G70" s="1683"/>
      <c r="N70" s="1683"/>
      <c r="S70" s="1683"/>
    </row>
    <row r="71" spans="1:32" s="1682" customFormat="1">
      <c r="A71" s="1682" t="s">
        <v>1717</v>
      </c>
      <c r="G71" s="1683"/>
      <c r="N71" s="1683"/>
      <c r="S71" s="1683"/>
    </row>
    <row r="72" spans="1:32" s="1682" customFormat="1">
      <c r="A72" s="1682" t="s">
        <v>1718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1719</v>
      </c>
      <c r="G73" s="1683"/>
      <c r="N73" s="1683"/>
      <c r="S73" s="1683"/>
    </row>
    <row r="80" spans="1:32" ht="13.5" thickBot="1"/>
    <row r="81" spans="14:29" ht="24">
      <c r="S81" s="1677" t="s">
        <v>1710</v>
      </c>
      <c r="T81" s="1602" t="s">
        <v>1711</v>
      </c>
      <c r="U81" s="1602" t="s">
        <v>1712</v>
      </c>
      <c r="V81" s="1602" t="s">
        <v>1713</v>
      </c>
      <c r="W81" s="1603" t="s">
        <v>1714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  <mergeCell ref="G60:G63"/>
    <mergeCell ref="G64:G67"/>
    <mergeCell ref="G36:G39"/>
    <mergeCell ref="G40:G43"/>
    <mergeCell ref="G44:G47"/>
    <mergeCell ref="G48:G51"/>
    <mergeCell ref="G52:G55"/>
    <mergeCell ref="G56:G59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>
    <tabColor rgb="FFFFFF00"/>
  </sheetPr>
  <dimension ref="A1:Y121"/>
  <sheetViews>
    <sheetView workbookViewId="0"/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1568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B70"/>
  <sheetViews>
    <sheetView workbookViewId="0"/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47</v>
      </c>
      <c r="I1" s="1449" t="s">
        <v>1647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1</v>
      </c>
      <c r="N1" s="1449" t="s">
        <v>1647</v>
      </c>
      <c r="O1" s="1463" t="str">
        <f>'2002基准地价'!C25</f>
        <v>2014-3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4" t="s">
        <v>1598</v>
      </c>
      <c r="B4" s="624"/>
      <c r="C4" s="624"/>
      <c r="D4" s="624"/>
      <c r="E4" s="624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4" t="s">
        <v>1599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4" t="s">
        <v>1600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4" t="s">
        <v>1601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4" t="s">
        <v>1602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4" t="s">
        <v>1606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4" t="s">
        <v>1607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4" t="s">
        <v>1608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4" t="s">
        <v>1609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4" t="s">
        <v>1610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4" t="s">
        <v>1611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4" t="s">
        <v>1612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4" t="s">
        <v>1613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4" t="s">
        <v>1614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4" t="s">
        <v>1615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4" t="s">
        <v>1616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4" t="s">
        <v>1617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4" t="s">
        <v>1618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4" t="s">
        <v>1619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4" t="s">
        <v>1620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4" t="s">
        <v>1621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4" t="s">
        <v>1622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4" t="s">
        <v>1623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4" t="s">
        <v>1624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4" t="s">
        <v>1625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4" t="s">
        <v>1626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4" t="s">
        <v>1627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4" t="s">
        <v>1628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4" t="s">
        <v>1629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4" t="s">
        <v>1630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4" t="s">
        <v>1603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4" t="s">
        <v>1604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4" t="s">
        <v>1605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4" t="s">
        <v>1631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4" t="s">
        <v>1632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4" t="s">
        <v>1633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4" t="s">
        <v>1634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4" t="s">
        <v>1635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4" t="s">
        <v>1636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4" t="s">
        <v>1637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4" t="s">
        <v>1638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4" t="s">
        <v>1639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4" t="s">
        <v>1640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1641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1642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1643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4" t="s">
        <v>1644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1645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1646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2">
    <tabColor rgb="FFFFFF00"/>
    <pageSetUpPr fitToPage="1"/>
  </sheetPr>
  <dimension ref="A1:AC175"/>
  <sheetViews>
    <sheetView workbookViewId="0">
      <selection activeCell="C15" sqref="C15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 ht="37.5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23"/>
  <sheetViews>
    <sheetView workbookViewId="0"/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1722</v>
      </c>
      <c r="B1" s="1696">
        <f>SUM(B14:B23)</f>
        <v>79.84</v>
      </c>
      <c r="C1" s="1697"/>
      <c r="D1" s="1697"/>
      <c r="E1" s="1697"/>
      <c r="F1" s="1697"/>
      <c r="G1" s="1698"/>
    </row>
    <row r="2" spans="1:10" ht="16.5">
      <c r="A2" s="1696" t="s">
        <v>1723</v>
      </c>
      <c r="B2" s="1696">
        <f>SUM(C14:C23)</f>
        <v>1</v>
      </c>
      <c r="C2" s="1697"/>
      <c r="D2" s="1697"/>
      <c r="E2" s="1697"/>
      <c r="F2" s="1697"/>
      <c r="G2" s="1698"/>
    </row>
    <row r="3" spans="1:10" ht="16.5">
      <c r="A3" s="1696" t="s">
        <v>1724</v>
      </c>
      <c r="B3" s="1700">
        <f>主表!B3</f>
        <v>37332</v>
      </c>
      <c r="C3" s="1697"/>
      <c r="D3" s="1697"/>
      <c r="E3" s="1697"/>
      <c r="F3" s="1697"/>
      <c r="G3" s="1698"/>
    </row>
    <row r="4" spans="1:10" ht="33">
      <c r="A4" s="1696" t="s">
        <v>1725</v>
      </c>
      <c r="B4" s="1696" t="s">
        <v>1726</v>
      </c>
      <c r="C4" s="1696" t="s">
        <v>1727</v>
      </c>
      <c r="D4" s="1696" t="s">
        <v>1728</v>
      </c>
      <c r="E4" s="1697"/>
      <c r="F4" s="1698"/>
      <c r="G4" s="1698"/>
    </row>
    <row r="5" spans="1:10" ht="16.5">
      <c r="A5" s="1696" t="s">
        <v>1729</v>
      </c>
      <c r="B5" s="1696">
        <f>SUM(D14:D23)</f>
        <v>0</v>
      </c>
      <c r="C5" s="1696">
        <f>ROUND(B5*10000/$B$1,0)</f>
        <v>0</v>
      </c>
      <c r="D5" s="1696">
        <f>ROUND(B5*10000/$B$2,0)</f>
        <v>0</v>
      </c>
      <c r="E5" s="1697"/>
      <c r="F5" s="1698"/>
      <c r="G5" s="1698"/>
    </row>
    <row r="6" spans="1:10" ht="16.5">
      <c r="A6" s="1696" t="s">
        <v>1730</v>
      </c>
      <c r="B6" s="1696">
        <f>SUM(G14:G23)</f>
        <v>0</v>
      </c>
      <c r="C6" s="1696">
        <f>ROUND(B6*10000/$B$1,0)</f>
        <v>0</v>
      </c>
      <c r="D6" s="1696">
        <f>ROUND(B6*10000/$B$2,0)</f>
        <v>0</v>
      </c>
      <c r="E6" s="1697"/>
      <c r="F6" s="1698"/>
      <c r="G6" s="1698"/>
    </row>
    <row r="7" spans="1:10" ht="16.5">
      <c r="A7" s="1696" t="s">
        <v>1731</v>
      </c>
      <c r="B7" s="1696">
        <f>SUM(H14:H23)</f>
        <v>0</v>
      </c>
      <c r="C7" s="1696">
        <f>ROUND(B7*10000/$B$1,0)</f>
        <v>0</v>
      </c>
      <c r="D7" s="1696">
        <f>ROUND(B7*10000/$B$2,0)</f>
        <v>0</v>
      </c>
      <c r="E7" s="1697"/>
      <c r="F7" s="1698"/>
      <c r="G7" s="1698"/>
    </row>
    <row r="8" spans="1:10" ht="16.5">
      <c r="A8" s="1696" t="s">
        <v>1732</v>
      </c>
      <c r="B8" s="1696">
        <f>SUM(I14:I23)</f>
        <v>0</v>
      </c>
      <c r="C8" s="1696">
        <f>ROUND(B8*10000/$B$1,0)</f>
        <v>0</v>
      </c>
      <c r="D8" s="1696">
        <f>ROUND(B8*10000/$B$2,0)</f>
        <v>0</v>
      </c>
      <c r="E8" s="1697"/>
      <c r="F8" s="1698"/>
      <c r="G8" s="1698"/>
    </row>
    <row r="9" spans="1:10" ht="16.5">
      <c r="A9" s="1696" t="s">
        <v>1733</v>
      </c>
      <c r="B9" s="1701"/>
      <c r="C9" s="1697"/>
      <c r="D9" s="1697"/>
      <c r="E9" s="1697"/>
      <c r="F9" s="1698"/>
      <c r="G9" s="1698"/>
    </row>
    <row r="10" spans="1:10" ht="16.5">
      <c r="A10" s="1696" t="s">
        <v>1734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1753</v>
      </c>
      <c r="B11" s="1696">
        <f ca="1">结果表!B19</f>
        <v>0</v>
      </c>
      <c r="C11" s="1696">
        <f ca="1">结果表!B18</f>
        <v>0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1735</v>
      </c>
      <c r="B13" s="1703" t="s">
        <v>1736</v>
      </c>
      <c r="C13" s="1703" t="s">
        <v>1737</v>
      </c>
      <c r="D13" s="1703" t="s">
        <v>1738</v>
      </c>
      <c r="E13" s="1696" t="s">
        <v>1727</v>
      </c>
      <c r="F13" s="1696" t="s">
        <v>1739</v>
      </c>
      <c r="G13" s="1703" t="s">
        <v>1740</v>
      </c>
      <c r="H13" s="1703" t="s">
        <v>1741</v>
      </c>
      <c r="I13" s="1703" t="s">
        <v>1742</v>
      </c>
      <c r="J13" s="1698"/>
    </row>
    <row r="14" spans="1:10" ht="16.5">
      <c r="A14" s="1704" t="s">
        <v>1743</v>
      </c>
      <c r="B14" s="1703">
        <f>主表!B7</f>
        <v>79.84</v>
      </c>
      <c r="C14" s="1703">
        <f>主表!B6</f>
        <v>1</v>
      </c>
      <c r="D14" s="1703"/>
      <c r="E14" s="1703">
        <f>ROUND(D14*10000/B14,0)</f>
        <v>0</v>
      </c>
      <c r="F14" s="1703">
        <f>ROUND(D14*10000/C14,0)</f>
        <v>0</v>
      </c>
      <c r="G14" s="1703"/>
      <c r="H14" s="1703"/>
      <c r="I14" s="1703"/>
      <c r="J14" s="1698"/>
    </row>
    <row r="15" spans="1:10" ht="16.5">
      <c r="A15" s="1704" t="s">
        <v>1744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1745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1746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1747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1748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1749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1750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1751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1752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9">
    <tabColor rgb="FFFF0000"/>
  </sheetPr>
  <dimension ref="A1:AG403"/>
  <sheetViews>
    <sheetView workbookViewId="0">
      <selection activeCell="C26" sqref="C26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26" t="s">
        <v>1368</v>
      </c>
      <c r="B2" s="1726"/>
      <c r="C2" s="1726"/>
      <c r="D2" s="1726"/>
      <c r="E2" s="1726"/>
      <c r="F2" s="1726"/>
      <c r="G2" s="1726"/>
      <c r="H2" s="665"/>
      <c r="I2" s="227"/>
      <c r="X2" s="221"/>
      <c r="AG2" s="189"/>
    </row>
    <row r="3" spans="1:33" ht="13.5">
      <c r="A3" s="1727" t="s">
        <v>1369</v>
      </c>
      <c r="B3" s="1728"/>
      <c r="C3" s="1729"/>
      <c r="D3" s="1730" t="s">
        <v>1370</v>
      </c>
      <c r="E3" s="1728"/>
      <c r="F3" s="1728"/>
      <c r="G3" s="1731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32" t="s">
        <v>1371</v>
      </c>
      <c r="E4" s="1733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34" t="s">
        <v>1375</v>
      </c>
      <c r="B5" s="1735">
        <f ca="1">主表!F5</f>
        <v>3342</v>
      </c>
      <c r="C5" s="1736" t="s">
        <v>1376</v>
      </c>
      <c r="D5" s="1733" t="s">
        <v>1377</v>
      </c>
      <c r="E5" s="1737"/>
      <c r="F5" s="1336">
        <f>SUM(F6:F10)</f>
        <v>0</v>
      </c>
      <c r="G5" s="1337" t="s">
        <v>1652</v>
      </c>
      <c r="H5" s="665"/>
      <c r="I5" s="227"/>
      <c r="X5" s="221"/>
      <c r="AG5" s="189"/>
    </row>
    <row r="6" spans="1:33" ht="27">
      <c r="A6" s="1734"/>
      <c r="B6" s="1735"/>
      <c r="C6" s="1736"/>
      <c r="D6" s="1738" t="s">
        <v>1398</v>
      </c>
      <c r="E6" s="1336" t="s">
        <v>1378</v>
      </c>
      <c r="F6" s="1336">
        <f>主表!F14</f>
        <v>0</v>
      </c>
      <c r="G6" s="1337" t="s">
        <v>1379</v>
      </c>
      <c r="H6" s="665"/>
      <c r="I6" s="227"/>
      <c r="X6" s="221"/>
      <c r="AG6" s="189"/>
    </row>
    <row r="7" spans="1:33" ht="13.5">
      <c r="A7" s="1734"/>
      <c r="B7" s="1735"/>
      <c r="C7" s="1736"/>
      <c r="D7" s="1738"/>
      <c r="E7" s="1336" t="s">
        <v>1380</v>
      </c>
      <c r="F7" s="1336">
        <f>主表!F15</f>
        <v>0</v>
      </c>
      <c r="G7" s="1337"/>
      <c r="H7" s="665"/>
      <c r="I7" s="227"/>
      <c r="X7" s="221"/>
      <c r="AG7" s="189"/>
    </row>
    <row r="8" spans="1:33" ht="13.5">
      <c r="A8" s="1734"/>
      <c r="B8" s="1735"/>
      <c r="C8" s="1736"/>
      <c r="D8" s="1739" t="s">
        <v>1399</v>
      </c>
      <c r="E8" s="1740"/>
      <c r="F8" s="1336">
        <f>主表!F16</f>
        <v>0</v>
      </c>
      <c r="G8" s="1337" t="str">
        <f>"按建安工程费的"&amp;TEXT(主表!G16,"0.0%")&amp;"计取"</f>
        <v>按建安工程费的0.0%计取</v>
      </c>
      <c r="H8" s="665"/>
      <c r="I8" s="227"/>
      <c r="X8" s="221"/>
      <c r="AG8" s="189"/>
    </row>
    <row r="9" spans="1:33" ht="13.5">
      <c r="A9" s="1734"/>
      <c r="B9" s="1735"/>
      <c r="C9" s="1736"/>
      <c r="D9" s="1739" t="s">
        <v>1400</v>
      </c>
      <c r="E9" s="1740"/>
      <c r="F9" s="1336">
        <f>主表!F18</f>
        <v>0</v>
      </c>
      <c r="G9" s="1337" t="str">
        <f>"按建安工程费的"&amp;TEXT(主表!G18,"0.0%")&amp;"计取"</f>
        <v>按建安工程费的0.0%计取</v>
      </c>
      <c r="H9" s="665"/>
      <c r="I9" s="227"/>
      <c r="X9" s="221"/>
      <c r="AG9" s="189"/>
    </row>
    <row r="10" spans="1:33" ht="13.5">
      <c r="A10" s="1734"/>
      <c r="B10" s="1735"/>
      <c r="C10" s="1736"/>
      <c r="D10" s="1739" t="s">
        <v>1401</v>
      </c>
      <c r="E10" s="1740"/>
      <c r="F10" s="1336">
        <f>主表!F19</f>
        <v>0</v>
      </c>
      <c r="G10" s="1337" t="str">
        <f>"按建安工程费的"&amp;TEXT(主表!G19,"0.0%")&amp;"计取"</f>
        <v>按建安工程费的0.0%计取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 ca="1">主表!F8</f>
        <v>0</v>
      </c>
      <c r="C11" s="1338" t="str">
        <f>"按前期开发成本的"&amp;TEXT(主表!G8,"0.0%")&amp;"计取"</f>
        <v>按前期开发成本的0.0%计取</v>
      </c>
      <c r="D11" s="1733" t="s">
        <v>1382</v>
      </c>
      <c r="E11" s="1737"/>
      <c r="F11" s="1336">
        <f>主表!F20</f>
        <v>0</v>
      </c>
      <c r="G11" s="1337" t="str">
        <f>"按房屋建设成本的"&amp;主表!G20&amp;"计取"</f>
        <v>按房屋建设成本的计取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0</v>
      </c>
      <c r="C12" s="1339" t="str">
        <f ca="1">"前期开发期为"&amp;主表!B24&amp;"年，贷款利率为"&amp;TEXT(主表!G9,"0.00%")&amp;"，"&amp;主表!H9</f>
        <v>前期开发期为0年，贷款利率为3.00%，计息期为0年，单利计息</v>
      </c>
      <c r="D12" s="1733" t="s">
        <v>1384</v>
      </c>
      <c r="E12" s="1737"/>
      <c r="F12" s="1336">
        <f ca="1">主表!F21</f>
        <v>0</v>
      </c>
      <c r="G12" s="1337" t="str">
        <f ca="1">"房屋建设期为"&amp;主表!B23&amp;"年，贷款利率为"&amp;TEXT(主表!G21,"0.00%")&amp;"，"&amp;主表!H21</f>
        <v>房屋建设期为1年，贷款利率为5.31%，计息期为1年，复利计息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 ca="1">主表!F10</f>
        <v>0</v>
      </c>
      <c r="C13" s="1339" t="str">
        <f>"按前期开发成本及其管理费用的"&amp;TEXT(主表!G10,"0%")&amp;"计取"</f>
        <v>按前期开发成本及其管理费用的0%计取</v>
      </c>
      <c r="D13" s="1733" t="s">
        <v>1385</v>
      </c>
      <c r="E13" s="1737"/>
      <c r="F13" s="1336">
        <f>主表!F22</f>
        <v>0</v>
      </c>
      <c r="G13" s="1337" t="str">
        <f>"按房屋建设成本及其管理费用的"&amp;TEXT(主表!G22,"0%")&amp;"计取"</f>
        <v>按房屋建设成本及其管理费用的0%计取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3342</v>
      </c>
      <c r="C14" s="1339" t="s">
        <v>1387</v>
      </c>
      <c r="D14" s="1733" t="s">
        <v>1386</v>
      </c>
      <c r="E14" s="1737"/>
      <c r="F14" s="1336">
        <f ca="1">F5+F11+F12+F13</f>
        <v>0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35">
        <f ca="1">主表!F24</f>
        <v>3342</v>
      </c>
      <c r="C15" s="1741"/>
      <c r="D15" s="1739" t="s">
        <v>1389</v>
      </c>
      <c r="E15" s="1740"/>
      <c r="F15" s="1740"/>
      <c r="G15" s="1742"/>
      <c r="H15" s="665"/>
      <c r="I15" s="227"/>
      <c r="X15" s="221"/>
      <c r="AG15" s="189"/>
    </row>
    <row r="16" spans="1:33" ht="27.75" thickBot="1">
      <c r="A16" s="1332" t="s">
        <v>1390</v>
      </c>
      <c r="B16" s="1735">
        <f ca="1">主表!F25</f>
        <v>26.682500000000001</v>
      </c>
      <c r="C16" s="1741"/>
      <c r="D16" s="1739" t="s">
        <v>1391</v>
      </c>
      <c r="E16" s="1740"/>
      <c r="F16" s="1740"/>
      <c r="G16" s="1742"/>
      <c r="H16" s="1341" t="str">
        <f ca="1">NUMBERSTRING(INT(B16*10000),2)&amp;"元整"</f>
        <v>贰拾陆万陆仟捌佰贰拾伍元整</v>
      </c>
      <c r="I16" s="1342"/>
      <c r="X16" s="221"/>
      <c r="AG16" s="189"/>
    </row>
    <row r="17" spans="1:33" ht="13.5">
      <c r="A17" s="1332" t="s">
        <v>1392</v>
      </c>
      <c r="B17" s="1748">
        <f>主表!F33</f>
        <v>0</v>
      </c>
      <c r="C17" s="1741"/>
      <c r="D17" s="1739" t="s">
        <v>1393</v>
      </c>
      <c r="E17" s="1740"/>
      <c r="F17" s="1740"/>
      <c r="G17" s="1742"/>
      <c r="H17" s="665"/>
      <c r="I17" s="227"/>
      <c r="X17" s="221"/>
      <c r="AG17" s="189"/>
    </row>
    <row r="18" spans="1:33" ht="27.75" thickBot="1">
      <c r="A18" s="1332" t="s">
        <v>1394</v>
      </c>
      <c r="B18" s="1735">
        <f ca="1">主表!F35</f>
        <v>0</v>
      </c>
      <c r="C18" s="1741"/>
      <c r="D18" s="1739" t="s">
        <v>1395</v>
      </c>
      <c r="E18" s="1740"/>
      <c r="F18" s="1740"/>
      <c r="G18" s="1742"/>
      <c r="H18" s="663"/>
      <c r="I18" s="227"/>
      <c r="X18" s="221"/>
      <c r="AG18" s="189"/>
    </row>
    <row r="19" spans="1:33" ht="27.75" thickBot="1">
      <c r="A19" s="1340" t="s">
        <v>1396</v>
      </c>
      <c r="B19" s="1743">
        <f ca="1">主表!F36</f>
        <v>0</v>
      </c>
      <c r="C19" s="1744"/>
      <c r="D19" s="1745" t="s">
        <v>1397</v>
      </c>
      <c r="E19" s="1746"/>
      <c r="F19" s="1746"/>
      <c r="G19" s="1747"/>
      <c r="H19" s="1341" t="str">
        <f ca="1">NUMBERSTRING(INT(B19*10000),2)&amp;"元整"</f>
        <v>零元整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"/>
  <sheetViews>
    <sheetView workbookViewId="0">
      <selection activeCell="B26" sqref="B26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54" t="s">
        <v>1288</v>
      </c>
      <c r="E2" s="1755"/>
      <c r="F2" s="1755"/>
      <c r="G2" s="1755"/>
      <c r="H2" s="1756"/>
      <c r="I2" s="1199"/>
      <c r="J2" s="1199"/>
      <c r="K2" s="1250"/>
      <c r="L2" s="1250"/>
      <c r="N2" s="516" t="s">
        <v>1161</v>
      </c>
      <c r="O2" s="487">
        <f>SUMPRODUCT((N6:N12=B20)*(O5:Q5=B21)*(O6:Q12))</f>
        <v>50</v>
      </c>
    </row>
    <row r="3" spans="1:18" ht="15.75" customHeight="1">
      <c r="A3" s="1200" t="s">
        <v>1279</v>
      </c>
      <c r="B3" s="518">
        <v>37332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4">
        <f>IF(B22="",O2,YEAR(B3)-B22)</f>
        <v>4</v>
      </c>
    </row>
    <row r="4" spans="1:18" ht="15.75" customHeight="1">
      <c r="A4" s="1200" t="s">
        <v>1545</v>
      </c>
      <c r="B4" s="518">
        <v>37332</v>
      </c>
      <c r="C4" s="1198"/>
      <c r="D4" s="1206" t="s">
        <v>1289</v>
      </c>
      <c r="E4" s="1207" t="s">
        <v>1583</v>
      </c>
      <c r="F4" s="1208">
        <f ca="1">F5+F8+F9+F10</f>
        <v>3342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0.02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1584</v>
      </c>
      <c r="F5" s="1053">
        <f ca="1">IF(B4&lt;DATE(2002,12,10),F6,F6-F7)</f>
        <v>3342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>
        <v>1</v>
      </c>
      <c r="C6" s="1198"/>
      <c r="D6" s="1219" t="s">
        <v>1281</v>
      </c>
      <c r="E6" s="1215" t="s">
        <v>1234</v>
      </c>
      <c r="F6" s="1053">
        <f ca="1">IF(B4&lt;DATE(2002,12,10),'1993基准地价'!B3,IF(B4&gt;=DATE(2014,8,28),'2014基准地价'!B3,'2002基准地价'!B3))</f>
        <v>3342</v>
      </c>
      <c r="G6" s="1216"/>
      <c r="H6" s="1220" t="str">
        <f>"采用"&amp;IF(B4&lt;DATE(2002,12,10),"1993版",IF(B4&gt;=DATE(2014,8,28),"2014版","2002版"))&amp;"基准地价系数修正法计算"</f>
        <v>采用1993版基准地价系数修正法计算</v>
      </c>
      <c r="I6" s="1689" t="s">
        <v>1578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79.84</v>
      </c>
      <c r="C7" s="1198"/>
      <c r="D7" s="1219" t="s">
        <v>1282</v>
      </c>
      <c r="E7" s="1215" t="s">
        <v>1235</v>
      </c>
      <c r="F7" s="1053">
        <f>IF(B4&lt;DATE(2002,12,10),0,IF(B4&gt;=DATE(2014,8,28),'2014基准地价'!C30,IF(H7="采用比较法计算",比较法!B3,IF(H7="扣毛地价",'2002基准地价'!B4,'2002基准地价'!B5))))</f>
        <v>0</v>
      </c>
      <c r="G7" s="1224"/>
      <c r="H7" s="1386" t="s">
        <v>1762</v>
      </c>
      <c r="I7" s="1225" t="s">
        <v>1572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>
        <f>ROUND(B7/B6,2)</f>
        <v>79.84</v>
      </c>
      <c r="C8" s="1198"/>
      <c r="D8" s="1227">
        <v>2</v>
      </c>
      <c r="E8" s="1228" t="s">
        <v>1237</v>
      </c>
      <c r="F8" s="1229">
        <f ca="1">ROUND(F5*G8,0)</f>
        <v>0</v>
      </c>
      <c r="G8" s="664"/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1648</v>
      </c>
      <c r="B9" s="1288">
        <v>2.5</v>
      </c>
      <c r="C9" s="1198"/>
      <c r="D9" s="1227">
        <v>3</v>
      </c>
      <c r="E9" s="1228" t="s">
        <v>1238</v>
      </c>
      <c r="F9" s="1229">
        <f ca="1">ROUND(F5*(POWER((1+G9),B24)-1)+F8*(POWER((1+G9),B24/2)-1),0)</f>
        <v>0</v>
      </c>
      <c r="G9" s="1231">
        <f ca="1">存贷款利率!G2</f>
        <v>0.03</v>
      </c>
      <c r="H9" s="1232" t="str">
        <f>"计息期为"&amp;B24&amp;"年，"&amp;IF(B24&lt;=1,"单利计息","复利计息")</f>
        <v>计息期为0年，单利计息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34</v>
      </c>
      <c r="C10" s="1198"/>
      <c r="D10" s="1236">
        <v>4</v>
      </c>
      <c r="E10" s="1237" t="s">
        <v>1239</v>
      </c>
      <c r="F10" s="1238">
        <f ca="1">ROUND((F5+F8)*G10,0)</f>
        <v>0</v>
      </c>
      <c r="G10" s="521"/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 t="s">
        <v>34</v>
      </c>
      <c r="C11" s="1198"/>
      <c r="D11" s="1242" t="s">
        <v>1295</v>
      </c>
      <c r="E11" s="1243" t="s">
        <v>1585</v>
      </c>
      <c r="F11" s="1208">
        <f ca="1">F12+F20+F21+F22</f>
        <v>0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1760</v>
      </c>
      <c r="C12" s="1198"/>
      <c r="D12" s="1227">
        <v>1</v>
      </c>
      <c r="E12" s="1228" t="s">
        <v>1586</v>
      </c>
      <c r="F12" s="1229">
        <f>F13+F16+F17</f>
        <v>0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70</v>
      </c>
      <c r="C13" s="1198"/>
      <c r="D13" s="1219" t="s">
        <v>1281</v>
      </c>
      <c r="E13" s="1228" t="s">
        <v>1243</v>
      </c>
      <c r="F13" s="1229">
        <f>F14+F15</f>
        <v>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72686</v>
      </c>
      <c r="C14" s="1198"/>
      <c r="D14" s="1227" t="s">
        <v>1284</v>
      </c>
      <c r="E14" s="1228" t="s">
        <v>1244</v>
      </c>
      <c r="F14" s="522"/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IF(B14="",B13-(YEAR($B$4)-B22+B23),ROUNDDOWN(MIN((B14-$B$4)/365,B13),2))</f>
        <v>70</v>
      </c>
      <c r="C15" s="1198"/>
      <c r="D15" s="1227" t="s">
        <v>1285</v>
      </c>
      <c r="E15" s="1228" t="s">
        <v>1245</v>
      </c>
      <c r="F15" s="522"/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1649</v>
      </c>
      <c r="B16" s="1288">
        <v>70</v>
      </c>
      <c r="C16" s="1198"/>
      <c r="D16" s="1219" t="s">
        <v>1282</v>
      </c>
      <c r="E16" s="1228" t="s">
        <v>1246</v>
      </c>
      <c r="F16" s="1053">
        <f>ROUND(F13*G16,0)</f>
        <v>0</v>
      </c>
      <c r="G16" s="520"/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1650</v>
      </c>
      <c r="B17" s="1502">
        <f ca="1">IF(B4&lt;DATE(2002,12,10),'1993基准地价'!C23,IF(B4&gt;=DATE(2014,8,28),'2014基准地价'!G20,'2002基准地价'!E10))</f>
        <v>4.0050000000000002E-2</v>
      </c>
      <c r="C17" s="1198"/>
      <c r="D17" s="1219" t="s">
        <v>1283</v>
      </c>
      <c r="E17" s="1228" t="s">
        <v>1249</v>
      </c>
      <c r="F17" s="1229">
        <f>F18+F19</f>
        <v>0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 ca="1">IF(ISERROR(ROUND(POWER(1+B17,B13-B15)*(POWER(1+B17,B15)-1)/(POWER(1+B17,B13)-1),3)),0,ROUND(POWER(1+B17,B13-B15)*(POWER(1+B17,B15)-1)/(POWER(1+B17,B13)-1),3))</f>
        <v>1</v>
      </c>
      <c r="C18" s="1198"/>
      <c r="D18" s="1227" t="s">
        <v>1286</v>
      </c>
      <c r="E18" s="1228" t="s">
        <v>1296</v>
      </c>
      <c r="F18" s="1053">
        <f>ROUND(IF(B12="住宅/居住",F13*G18,0),0)</f>
        <v>0</v>
      </c>
      <c r="G18" s="520"/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0</v>
      </c>
      <c r="G19" s="520"/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1761</v>
      </c>
      <c r="C20" s="1198"/>
      <c r="D20" s="1227">
        <v>2</v>
      </c>
      <c r="E20" s="1228" t="s">
        <v>1237</v>
      </c>
      <c r="F20" s="1229">
        <f>ROUND(F12*G20,0)</f>
        <v>0</v>
      </c>
      <c r="G20" s="664"/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0">
        <v>3</v>
      </c>
      <c r="E21" s="1421" t="s">
        <v>1587</v>
      </c>
      <c r="F21" s="1422">
        <f ca="1">ROUND((F12+F20)*(POWER((1+G21),B23/2)-1),0)</f>
        <v>0</v>
      </c>
      <c r="G21" s="1423">
        <f ca="1">存贷款利率!G1</f>
        <v>5.3099999999999994E-2</v>
      </c>
      <c r="H21" s="1232" t="str">
        <f>"计息期为"&amp;B23&amp;"年，"&amp;"复利计息"</f>
        <v>计息期为1年，复利计息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1998</v>
      </c>
      <c r="C22" s="1198"/>
      <c r="D22" s="1236">
        <v>4</v>
      </c>
      <c r="E22" s="1237" t="s">
        <v>1588</v>
      </c>
      <c r="F22" s="1238">
        <f>ROUND((F12+F20)*G22,0)</f>
        <v>0</v>
      </c>
      <c r="G22" s="521"/>
      <c r="H22" s="1239" t="s">
        <v>1241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1</v>
      </c>
      <c r="C23" s="1250"/>
      <c r="D23" s="1242" t="s">
        <v>1589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1653</v>
      </c>
      <c r="B24" s="519">
        <v>0</v>
      </c>
      <c r="C24" s="1250"/>
      <c r="D24" s="1214">
        <v>1</v>
      </c>
      <c r="E24" s="1215" t="s">
        <v>1255</v>
      </c>
      <c r="F24" s="1053">
        <f ca="1">F4+F11</f>
        <v>3342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26.682500000000001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57" t="s">
        <v>1290</v>
      </c>
      <c r="E26" s="1758"/>
      <c r="F26" s="1758"/>
      <c r="G26" s="1758"/>
      <c r="H26" s="1759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0.92</v>
      </c>
      <c r="G28" s="523"/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</v>
      </c>
      <c r="G29" s="1266">
        <f>1-G28</f>
        <v>1</v>
      </c>
      <c r="H29" s="1220"/>
      <c r="I29" s="1211"/>
      <c r="J29" s="1194"/>
      <c r="K29" s="1250"/>
      <c r="L29" s="1250"/>
      <c r="N29" s="1440"/>
      <c r="O29" s="1441" t="s">
        <v>1593</v>
      </c>
      <c r="P29" s="1441" t="s">
        <v>1594</v>
      </c>
      <c r="Q29" s="1441" t="s">
        <v>1595</v>
      </c>
      <c r="R29" s="1442" t="s">
        <v>1596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/>
      <c r="G30" s="1266">
        <f>IF(ISNUMBER(FIND("砖木",B20)),O30,SUMPRODUCT((N30:N32=E30)*(O29:R29=B20)*(O30:R32)))</f>
        <v>0.2</v>
      </c>
      <c r="H30" s="1267"/>
      <c r="I30" s="1749" t="s">
        <v>1597</v>
      </c>
      <c r="J30" s="1435"/>
      <c r="K30" s="1250"/>
      <c r="L30" s="1250"/>
      <c r="N30" s="1443" t="s">
        <v>1590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0</v>
      </c>
      <c r="G31" s="1266">
        <f>IF(ISNUMBER(FIND("砖木",B20)),O31,SUMPRODUCT((N30:N32=E31)*(O29:R29=B20)*(O30:R32)))</f>
        <v>0.45</v>
      </c>
      <c r="H31" s="1267"/>
      <c r="I31" s="1749"/>
      <c r="J31" s="1435"/>
      <c r="K31" s="1250"/>
      <c r="L31" s="1250"/>
      <c r="N31" s="1443" t="s">
        <v>1591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0</v>
      </c>
      <c r="G32" s="1266">
        <f>IF(ISNUMBER(FIND("砖木",B20)),O32,SUMPRODUCT((N30:N32=E32)*(O29:R29=B20)*(O30:R32)))</f>
        <v>0.35</v>
      </c>
      <c r="H32" s="1267"/>
      <c r="I32" s="1749"/>
      <c r="J32" s="1435"/>
      <c r="K32" s="1250"/>
      <c r="L32" s="1250"/>
      <c r="N32" s="1443" t="s">
        <v>1592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</v>
      </c>
      <c r="G33" s="1259"/>
      <c r="H33" s="1260"/>
      <c r="I33" s="1291"/>
      <c r="J33" s="1194"/>
      <c r="K33" s="1250"/>
      <c r="L33" s="1250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9"/>
      <c r="B34" s="1250"/>
      <c r="C34" s="1250"/>
      <c r="D34" s="1757" t="s">
        <v>1293</v>
      </c>
      <c r="E34" s="1758"/>
      <c r="F34" s="1758"/>
      <c r="G34" s="1758"/>
      <c r="H34" s="1759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0</v>
      </c>
      <c r="G35" s="1750" t="s">
        <v>1267</v>
      </c>
      <c r="H35" s="1751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0</v>
      </c>
      <c r="G36" s="1752" t="s">
        <v>1269</v>
      </c>
      <c r="H36" s="1753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AK119"/>
  <sheetViews>
    <sheetView workbookViewId="0"/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1482</v>
      </c>
      <c r="B1" s="828"/>
      <c r="C1" s="726" t="s">
        <v>1186</v>
      </c>
      <c r="D1" s="526">
        <f>主表!B7</f>
        <v>79.84</v>
      </c>
      <c r="E1" s="725" t="s">
        <v>1570</v>
      </c>
      <c r="F1" s="1352"/>
      <c r="G1" s="1530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0</v>
      </c>
      <c r="C2" s="686" t="s">
        <v>986</v>
      </c>
      <c r="D2" s="733" t="s">
        <v>989</v>
      </c>
      <c r="E2" s="734" t="str">
        <f>主表!B12</f>
        <v>住宅/居住</v>
      </c>
      <c r="F2" s="733" t="s">
        <v>914</v>
      </c>
      <c r="G2" s="735" t="str">
        <f>主表!B10</f>
        <v>六级</v>
      </c>
      <c r="H2" s="830" t="s">
        <v>915</v>
      </c>
      <c r="I2" s="684" t="str">
        <f>主表!B11</f>
        <v>六级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499" t="s">
        <v>1229</v>
      </c>
      <c r="G3" s="238">
        <f>IF(F3="容积率",主表!B8,主表!B9)</f>
        <v>79.84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60"/>
      <c r="B4" s="1761"/>
      <c r="C4" s="1761"/>
      <c r="D4" s="1762"/>
      <c r="E4" s="1762"/>
      <c r="F4" s="1762"/>
      <c r="G4" s="1762"/>
      <c r="H4" s="1762"/>
      <c r="I4" s="1762"/>
      <c r="J4" s="1763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1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0</v>
      </c>
      <c r="D6" s="841" t="s">
        <v>1483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64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65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1499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65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1500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65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1501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65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1502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64">
        <f>IF(E2="住宅/居住",2,"")</f>
        <v>2</v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66"/>
      <c r="B13" s="862" t="s">
        <v>1484</v>
      </c>
      <c r="C13" s="325" t="s">
        <v>1485</v>
      </c>
      <c r="D13" s="671" t="s">
        <v>1486</v>
      </c>
      <c r="E13" s="671" t="s">
        <v>1487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66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67"/>
      <c r="B15" s="873" t="s">
        <v>1488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64">
        <f>IF(E2="办公/综合",2,IF(E2="工业",2,IF(E2="住宅/居住",3,IF(E2="商业",IF(C8="不临58条商业街",2,3)))))</f>
        <v>3</v>
      </c>
      <c r="B16" s="845" t="s">
        <v>928</v>
      </c>
      <c r="C16" s="1512">
        <f>ROUND(SUM(G17:J17)/C17,0)</f>
        <v>0</v>
      </c>
      <c r="D16" s="1514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65"/>
      <c r="B17" s="880" t="s">
        <v>930</v>
      </c>
      <c r="C17" s="1513">
        <f>SUMPRODUCT(('2014修正'!A2:A5=E2)*('2014修正'!B1:M1=G2)*('2014修正'!B2:M5))</f>
        <v>2.5</v>
      </c>
      <c r="D17" s="1515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6.6000000000000003E-2</v>
      </c>
      <c r="N17" s="625">
        <f ca="1">ROUND($E$20*(1+N16),3)</f>
        <v>6.4000000000000001E-2</v>
      </c>
      <c r="O17" s="625">
        <f ca="1">ROUND($E$20*(1+O16),3)</f>
        <v>6.0999999999999999E-2</v>
      </c>
      <c r="P17" s="965">
        <f ca="1">ROUND($E$20*(1+P16),3)</f>
        <v>5.8000000000000003E-2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47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423</v>
      </c>
      <c r="G19" s="1507" t="s">
        <v>266</v>
      </c>
      <c r="H19" s="1349">
        <f>主表!B4</f>
        <v>37332</v>
      </c>
      <c r="I19" s="1633">
        <f>ROUND(SUMPRODUCT((地价!A4:A19=YEAR(H19)&amp;"-"&amp;ROUNDUP(MONTH(H19)/3,0))*(地价!B3:F3=E2)*(地价!B4:F19)),0)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5">
        <f ca="1">ROUND(POWER(1+G20,J20-I20)*(POWER(1+G20,I20)-1)/(POWER(1+G20,J20)-1),4)</f>
        <v>1</v>
      </c>
      <c r="D20" s="1508" t="s">
        <v>939</v>
      </c>
      <c r="E20" s="1509">
        <f ca="1">INDIRECT("'存贷款利率'!e"&amp;存贷款利率!$K$4)/100</f>
        <v>5.3099999999999994E-2</v>
      </c>
      <c r="F20" s="1506" t="s">
        <v>940</v>
      </c>
      <c r="G20" s="1510">
        <f ca="1">SUMIF(M15:P15,E2,M17:P17)</f>
        <v>6.0999999999999999E-2</v>
      </c>
      <c r="H20" s="1511" t="s">
        <v>1651</v>
      </c>
      <c r="I20" s="1054">
        <f>IF(H20="剩余土地使用年限",主表!B15,主表!B16)</f>
        <v>70</v>
      </c>
      <c r="J20" s="390">
        <f>IF(E2="住宅/居住",70,IF(E2="商业",40,50))</f>
        <v>70</v>
      </c>
      <c r="K20" s="784"/>
      <c r="L20" s="803" t="s">
        <v>281</v>
      </c>
      <c r="M20" s="673"/>
      <c r="N20" s="28">
        <f ca="1">'地价（废）'!G2</f>
        <v>2.24E-2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0.2361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1.47E-2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0" t="s">
        <v>1495</v>
      </c>
      <c r="D22" s="1500" t="str">
        <f>IF(E22=G22,F22,IF(G3&lt;=10,ROUND(F22+(H22-F22)*(G3-E22)/(G22-E22),4),"——"))</f>
        <v>——</v>
      </c>
      <c r="E22" s="1518">
        <f>ROUNDDOWN(G3,1)</f>
        <v>79.8</v>
      </c>
      <c r="F22" s="1519" t="str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——</v>
      </c>
      <c r="G22" s="1517">
        <f>ROUNDUP(G3,1)</f>
        <v>79.899999999999991</v>
      </c>
      <c r="H22" s="1500" t="str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——</v>
      </c>
      <c r="I22" s="1516" t="s">
        <v>284</v>
      </c>
      <c r="J22" s="392">
        <f>IF(G3&gt;10,D114,"——")</f>
        <v>0.2361</v>
      </c>
      <c r="K22" s="784"/>
      <c r="L22" s="803" t="s">
        <v>1317</v>
      </c>
      <c r="M22" s="630"/>
      <c r="N22" s="28">
        <f ca="1">'地价（废）'!I2</f>
        <v>1.47E-2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2.4899999999999999E-2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1.32E-2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0</v>
      </c>
      <c r="D29" s="624"/>
      <c r="E29" s="400">
        <f ca="1">ROUND(C29*D29,0)</f>
        <v>0</v>
      </c>
      <c r="F29" s="341" t="s">
        <v>1489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0</v>
      </c>
      <c r="D30" s="626"/>
      <c r="E30" s="400">
        <f ca="1">ROUND(C30*D30,0)</f>
        <v>0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69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70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70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771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1469</v>
      </c>
      <c r="E47" s="812" t="s">
        <v>1470</v>
      </c>
      <c r="F47" s="952" t="s">
        <v>1146</v>
      </c>
      <c r="G47" s="248" t="s">
        <v>1491</v>
      </c>
      <c r="H47" s="953" t="s">
        <v>1165</v>
      </c>
      <c r="I47" s="248" t="s">
        <v>1490</v>
      </c>
      <c r="J47" s="813" t="s">
        <v>1471</v>
      </c>
      <c r="K47" s="813" t="s">
        <v>1472</v>
      </c>
      <c r="L47" s="813" t="s">
        <v>1473</v>
      </c>
      <c r="M47" s="813" t="s">
        <v>1474</v>
      </c>
      <c r="N47" s="813" t="s">
        <v>1475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7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8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1469</v>
      </c>
      <c r="E58" s="812" t="s">
        <v>1476</v>
      </c>
      <c r="F58" s="952" t="s">
        <v>1146</v>
      </c>
      <c r="G58" s="248" t="s">
        <v>1492</v>
      </c>
      <c r="H58" s="953" t="s">
        <v>1166</v>
      </c>
      <c r="I58" s="248" t="s">
        <v>1490</v>
      </c>
      <c r="J58" s="813" t="s">
        <v>14</v>
      </c>
      <c r="K58" s="813" t="s">
        <v>13</v>
      </c>
      <c r="L58" s="813" t="s">
        <v>1477</v>
      </c>
      <c r="M58" s="813" t="s">
        <v>1478</v>
      </c>
      <c r="N58" s="813" t="s">
        <v>1479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7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8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1469</v>
      </c>
      <c r="E69" s="812" t="s">
        <v>1476</v>
      </c>
      <c r="F69" s="952" t="s">
        <v>1146</v>
      </c>
      <c r="G69" s="248" t="s">
        <v>1492</v>
      </c>
      <c r="H69" s="953" t="s">
        <v>1166</v>
      </c>
      <c r="I69" s="248" t="s">
        <v>1490</v>
      </c>
      <c r="J69" s="813" t="s">
        <v>14</v>
      </c>
      <c r="K69" s="813" t="s">
        <v>13</v>
      </c>
      <c r="L69" s="813" t="s">
        <v>1477</v>
      </c>
      <c r="M69" s="813" t="s">
        <v>1478</v>
      </c>
      <c r="N69" s="813" t="s">
        <v>1479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>
        <f>IF(E2="住宅/居住",SUMIF(L1:L12,G2,N1:N12),"——")</f>
        <v>0</v>
      </c>
      <c r="G70" s="494"/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>
        <f t="shared" si="15"/>
        <v>0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>
        <f t="shared" si="15"/>
        <v>0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>
        <f t="shared" si="15"/>
        <v>0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>
        <f t="shared" si="15"/>
        <v>0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>
        <f t="shared" si="15"/>
        <v>0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8" t="s">
        <v>1757</v>
      </c>
      <c r="C76" s="814"/>
      <c r="D76" s="493">
        <f t="shared" si="14"/>
        <v>0</v>
      </c>
      <c r="E76" s="263"/>
      <c r="F76" s="968"/>
      <c r="G76" s="494"/>
      <c r="H76" s="497">
        <f t="shared" si="15"/>
        <v>0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>
        <f t="shared" si="15"/>
        <v>0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>
        <f t="shared" si="15"/>
        <v>0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1469</v>
      </c>
      <c r="E80" s="812" t="s">
        <v>1476</v>
      </c>
      <c r="F80" s="952" t="s">
        <v>1146</v>
      </c>
      <c r="G80" s="248" t="s">
        <v>1492</v>
      </c>
      <c r="H80" s="953" t="s">
        <v>1166</v>
      </c>
      <c r="I80" s="248" t="s">
        <v>1490</v>
      </c>
      <c r="J80" s="813" t="s">
        <v>14</v>
      </c>
      <c r="K80" s="813" t="s">
        <v>13</v>
      </c>
      <c r="L80" s="813" t="s">
        <v>1477</v>
      </c>
      <c r="M80" s="813" t="s">
        <v>1478</v>
      </c>
      <c r="N80" s="813" t="s">
        <v>1479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8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68" t="s">
        <v>1167</v>
      </c>
      <c r="B91" s="1768"/>
      <c r="C91" s="1768"/>
      <c r="D91" s="1768"/>
      <c r="E91" s="1768"/>
      <c r="F91" s="1768"/>
      <c r="G91" s="1768"/>
      <c r="H91" s="1768"/>
      <c r="I91" s="1768"/>
      <c r="J91" s="1768"/>
      <c r="K91" s="672"/>
      <c r="L91" s="672"/>
      <c r="M91" s="672"/>
      <c r="N91" s="672"/>
    </row>
    <row r="92" spans="1:37">
      <c r="A92" s="1773" t="s">
        <v>1168</v>
      </c>
      <c r="B92" s="1773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73"/>
      <c r="B93" s="1773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74" t="s">
        <v>1493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75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75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75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75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75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75"/>
      <c r="B100" s="969" t="s">
        <v>1496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76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74" t="s">
        <v>1494</v>
      </c>
      <c r="B102" s="973" t="s">
        <v>1497</v>
      </c>
      <c r="C102" s="974">
        <f>$G$3</f>
        <v>79.84</v>
      </c>
      <c r="D102" s="974">
        <f t="shared" ref="D102:N102" si="25">$G$3</f>
        <v>79.84</v>
      </c>
      <c r="E102" s="974">
        <f t="shared" si="25"/>
        <v>79.84</v>
      </c>
      <c r="F102" s="974">
        <f t="shared" si="25"/>
        <v>79.84</v>
      </c>
      <c r="G102" s="974">
        <f t="shared" si="25"/>
        <v>79.84</v>
      </c>
      <c r="H102" s="974">
        <f t="shared" si="25"/>
        <v>79.84</v>
      </c>
      <c r="I102" s="974">
        <f t="shared" si="25"/>
        <v>79.84</v>
      </c>
      <c r="J102" s="974">
        <f t="shared" si="25"/>
        <v>79.84</v>
      </c>
      <c r="K102" s="974">
        <f t="shared" si="25"/>
        <v>79.84</v>
      </c>
      <c r="L102" s="974">
        <f t="shared" si="25"/>
        <v>79.84</v>
      </c>
      <c r="M102" s="974">
        <f t="shared" si="25"/>
        <v>79.84</v>
      </c>
      <c r="N102" s="974">
        <f t="shared" si="25"/>
        <v>79.84</v>
      </c>
    </row>
    <row r="103" spans="1:14" ht="12.75">
      <c r="A103" s="1775"/>
      <c r="B103" s="969">
        <v>1</v>
      </c>
      <c r="C103" s="970">
        <f>1.9362/C102</f>
        <v>2.4251002004008013E-2</v>
      </c>
      <c r="D103" s="970">
        <f>1.9362/D102</f>
        <v>2.4251002004008013E-2</v>
      </c>
      <c r="E103" s="970">
        <f>1.8629/E102</f>
        <v>2.3332915831663324E-2</v>
      </c>
      <c r="F103" s="970">
        <f>1.8629/F102</f>
        <v>2.3332915831663324E-2</v>
      </c>
      <c r="G103" s="970">
        <f>1.8629/G102</f>
        <v>2.3332915831663324E-2</v>
      </c>
      <c r="H103" s="970">
        <f>1.8629/H102</f>
        <v>2.3332915831663324E-2</v>
      </c>
      <c r="I103" s="970">
        <f>1.8629/I102</f>
        <v>2.3332915831663324E-2</v>
      </c>
      <c r="J103" s="970">
        <f>1.942/J102</f>
        <v>2.4323647294589176E-2</v>
      </c>
      <c r="K103" s="970">
        <f>1.942/K102</f>
        <v>2.4323647294589176E-2</v>
      </c>
      <c r="L103" s="970">
        <f>1.942/L102</f>
        <v>2.4323647294589176E-2</v>
      </c>
      <c r="M103" s="970">
        <f>1.942/M102</f>
        <v>2.4323647294589176E-2</v>
      </c>
      <c r="N103" s="970">
        <f>1.942/N102</f>
        <v>2.4323647294589176E-2</v>
      </c>
    </row>
    <row r="104" spans="1:14" ht="12.75">
      <c r="A104" s="1775"/>
      <c r="B104" s="969">
        <v>2</v>
      </c>
      <c r="C104" s="970">
        <f>1.4198/C102</f>
        <v>1.7783066132264529E-2</v>
      </c>
      <c r="D104" s="970">
        <f>1.4198/D102</f>
        <v>1.7783066132264529E-2</v>
      </c>
      <c r="E104" s="970">
        <f>1.3372/E102</f>
        <v>1.6748496993987973E-2</v>
      </c>
      <c r="F104" s="970">
        <f>1.3372/F102</f>
        <v>1.6748496993987973E-2</v>
      </c>
      <c r="G104" s="970">
        <f>1.3372/G102</f>
        <v>1.6748496993987973E-2</v>
      </c>
      <c r="H104" s="970">
        <f>1.3372/H102</f>
        <v>1.6748496993987973E-2</v>
      </c>
      <c r="I104" s="970">
        <f>1.3372/I102</f>
        <v>1.6748496993987973E-2</v>
      </c>
      <c r="J104" s="970">
        <f>1.2799/J102</f>
        <v>1.6030811623246492E-2</v>
      </c>
      <c r="K104" s="970">
        <f>1.2799/K102</f>
        <v>1.6030811623246492E-2</v>
      </c>
      <c r="L104" s="970">
        <f>1.2799/L102</f>
        <v>1.6030811623246492E-2</v>
      </c>
      <c r="M104" s="970">
        <f>1.2799/M102</f>
        <v>1.6030811623246492E-2</v>
      </c>
      <c r="N104" s="970">
        <f>1.2799/N102</f>
        <v>1.6030811623246492E-2</v>
      </c>
    </row>
    <row r="105" spans="1:14" ht="12.75">
      <c r="A105" s="1775"/>
      <c r="B105" s="969">
        <v>3</v>
      </c>
      <c r="C105" s="970">
        <f>1.1594/C102</f>
        <v>1.4521543086172343E-2</v>
      </c>
      <c r="D105" s="970">
        <f>1.1594/D102</f>
        <v>1.4521543086172343E-2</v>
      </c>
      <c r="E105" s="970">
        <f>1.0788/E102</f>
        <v>1.3512024048096191E-2</v>
      </c>
      <c r="F105" s="970">
        <f>1.0788/F102</f>
        <v>1.3512024048096191E-2</v>
      </c>
      <c r="G105" s="970">
        <f>1.0788/G102</f>
        <v>1.3512024048096191E-2</v>
      </c>
      <c r="H105" s="970">
        <f>1.0788/H102</f>
        <v>1.3512024048096191E-2</v>
      </c>
      <c r="I105" s="970">
        <f>1.0788/I102</f>
        <v>1.3512024048096191E-2</v>
      </c>
      <c r="J105" s="970">
        <f>1.0072/J102</f>
        <v>1.2615230460921844E-2</v>
      </c>
      <c r="K105" s="970">
        <f>1.0072/K102</f>
        <v>1.2615230460921844E-2</v>
      </c>
      <c r="L105" s="970">
        <f>1.0072/L102</f>
        <v>1.2615230460921844E-2</v>
      </c>
      <c r="M105" s="970">
        <f>1.0072/M102</f>
        <v>1.2615230460921844E-2</v>
      </c>
      <c r="N105" s="970">
        <f>1.0072/N102</f>
        <v>1.2615230460921844E-2</v>
      </c>
    </row>
    <row r="106" spans="1:14" ht="12.75">
      <c r="A106" s="1775"/>
      <c r="B106" s="969">
        <v>4</v>
      </c>
      <c r="C106" s="970">
        <f>0.9622/C102</f>
        <v>1.2051603206412825E-2</v>
      </c>
      <c r="D106" s="970">
        <f>0.9622/D102</f>
        <v>1.2051603206412825E-2</v>
      </c>
      <c r="E106" s="970">
        <f>0.8656/E102</f>
        <v>1.0841683366733468E-2</v>
      </c>
      <c r="F106" s="970">
        <f>0.8656/F102</f>
        <v>1.0841683366733468E-2</v>
      </c>
      <c r="G106" s="970">
        <f>0.8656/G102</f>
        <v>1.0841683366733468E-2</v>
      </c>
      <c r="H106" s="970">
        <f>0.8656/H102</f>
        <v>1.0841683366733468E-2</v>
      </c>
      <c r="I106" s="970">
        <f>0.8656/I102</f>
        <v>1.0841683366733468E-2</v>
      </c>
      <c r="J106" s="970">
        <f>0.7525/J102</f>
        <v>9.4251002004008006E-3</v>
      </c>
      <c r="K106" s="970">
        <f>0.7525/K102</f>
        <v>9.4251002004008006E-3</v>
      </c>
      <c r="L106" s="970">
        <f>0.7525/L102</f>
        <v>9.4251002004008006E-3</v>
      </c>
      <c r="M106" s="970">
        <f>0.7525/M102</f>
        <v>9.4251002004008006E-3</v>
      </c>
      <c r="N106" s="970">
        <f>0.7525/N102</f>
        <v>9.4251002004008006E-3</v>
      </c>
    </row>
    <row r="107" spans="1:14" ht="12.75">
      <c r="A107" s="1775"/>
      <c r="B107" s="969">
        <v>5</v>
      </c>
      <c r="C107" s="970">
        <f>0.8417/C102</f>
        <v>1.0542334669338677E-2</v>
      </c>
      <c r="D107" s="970">
        <f>0.8417/D102</f>
        <v>1.0542334669338677E-2</v>
      </c>
      <c r="E107" s="970">
        <f>0.7371/E102</f>
        <v>9.232214428857714E-3</v>
      </c>
      <c r="F107" s="970">
        <f>0.7371/F102</f>
        <v>9.232214428857714E-3</v>
      </c>
      <c r="G107" s="970">
        <f>0.7371/G102</f>
        <v>9.232214428857714E-3</v>
      </c>
      <c r="H107" s="970">
        <f>0.7371/H102</f>
        <v>9.232214428857714E-3</v>
      </c>
      <c r="I107" s="970">
        <f>0.7371/I102</f>
        <v>9.232214428857714E-3</v>
      </c>
      <c r="J107" s="970">
        <f>0.5659/J102</f>
        <v>7.0879258517034058E-3</v>
      </c>
      <c r="K107" s="970">
        <f>0.5659/K102</f>
        <v>7.0879258517034058E-3</v>
      </c>
      <c r="L107" s="970">
        <f>0.5659/L102</f>
        <v>7.0879258517034058E-3</v>
      </c>
      <c r="M107" s="970">
        <f>0.5659/M102</f>
        <v>7.0879258517034058E-3</v>
      </c>
      <c r="N107" s="970">
        <f>0.5659/N102</f>
        <v>7.0879258517034058E-3</v>
      </c>
    </row>
    <row r="108" spans="1:14" ht="12.75">
      <c r="A108" s="1775"/>
      <c r="B108" s="969">
        <v>6</v>
      </c>
      <c r="C108" s="970">
        <f>0.7608/C102</f>
        <v>9.5290581162324646E-3</v>
      </c>
      <c r="D108" s="970">
        <f>0.7608/D102</f>
        <v>9.5290581162324646E-3</v>
      </c>
      <c r="E108" s="970">
        <f>0.6482/E102</f>
        <v>8.1187374749498997E-3</v>
      </c>
      <c r="F108" s="970">
        <f>0.6482/F102</f>
        <v>8.1187374749498997E-3</v>
      </c>
      <c r="G108" s="970">
        <f>0.6482/G102</f>
        <v>8.1187374749498997E-3</v>
      </c>
      <c r="H108" s="970">
        <f>0.6482/H102</f>
        <v>8.1187374749498997E-3</v>
      </c>
      <c r="I108" s="970">
        <f>0.6482/I102</f>
        <v>8.1187374749498997E-3</v>
      </c>
      <c r="J108" s="970">
        <f>0.4525/J102</f>
        <v>5.667585170340681E-3</v>
      </c>
      <c r="K108" s="970">
        <f>0.4525/K102</f>
        <v>5.667585170340681E-3</v>
      </c>
      <c r="L108" s="970">
        <f>0.4525/L102</f>
        <v>5.667585170340681E-3</v>
      </c>
      <c r="M108" s="970">
        <f>0.4525/M102</f>
        <v>5.667585170340681E-3</v>
      </c>
      <c r="N108" s="970">
        <f>0.4525/N102</f>
        <v>5.667585170340681E-3</v>
      </c>
    </row>
    <row r="109" spans="1:14" ht="12.75">
      <c r="A109" s="1775"/>
      <c r="B109" s="1777" t="s">
        <v>1498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76"/>
      <c r="B110" s="1778"/>
      <c r="C110" s="972">
        <f>(-0.163*(C109^2)-0.59*C109+7617)*(10^(-4))/C102</f>
        <v>9.5393875250501005E-3</v>
      </c>
      <c r="D110" s="972">
        <f>(-0.163*(D109^2)-0.59*D109+7617)*(10^(-4))/D102</f>
        <v>9.5393875250501005E-3</v>
      </c>
      <c r="E110" s="972">
        <f>(-0.161*(E109^2)-7.509*E109+6533)*(10^(-4))/E102</f>
        <v>8.1730085170340673E-3</v>
      </c>
      <c r="F110" s="972">
        <f>(-0.161*(F109^2)-7.509*F109+6533)*(10^(-4))/F102</f>
        <v>8.1730085170340673E-3</v>
      </c>
      <c r="G110" s="972">
        <f>(-0.161*(G109^2)-7.509*G109+6533)*(10^(-4))/G102</f>
        <v>8.1730085170340673E-3</v>
      </c>
      <c r="H110" s="972">
        <f>(-0.161*(H109^2)-7.509*H109+6533)*(10^(-4))/H102</f>
        <v>8.1730085170340673E-3</v>
      </c>
      <c r="I110" s="972">
        <f>(-0.161*(I109^2)-7.509*I109+6533)*(10^(-4))/I102</f>
        <v>8.1730085170340673E-3</v>
      </c>
      <c r="J110" s="972">
        <f>(-0.214*(J109^2)-21.991*J109+4665)*(10^(-4))/J102</f>
        <v>5.8151239979959916E-3</v>
      </c>
      <c r="K110" s="972">
        <f>(-0.214*(K109^2)-21.991*K109+4665)*(10^(-4))/K102</f>
        <v>5.8151239979959916E-3</v>
      </c>
      <c r="L110" s="972">
        <f>(-0.214*(L109^2)-21.991*L109+4665)*(10^(-4))/L102</f>
        <v>5.8151239979959916E-3</v>
      </c>
      <c r="M110" s="972">
        <f>(-0.214*(M109^2)-21.991*M109+4665)*(10^(-4))/M102</f>
        <v>5.8151239979959916E-3</v>
      </c>
      <c r="N110" s="972">
        <f>(-0.214*(N109^2)-21.991*N109+4665)*(10^(-4))/N102</f>
        <v>5.8151239979959916E-3</v>
      </c>
    </row>
    <row r="111" spans="1:14">
      <c r="A111" s="1772" t="s">
        <v>1183</v>
      </c>
      <c r="B111" s="1772"/>
      <c r="C111" s="1772"/>
      <c r="D111" s="1772"/>
      <c r="E111" s="1772"/>
      <c r="F111" s="1772"/>
      <c r="G111" s="1772"/>
      <c r="H111" s="1772"/>
      <c r="I111" s="1772"/>
      <c r="J111" s="1772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1480</v>
      </c>
      <c r="B114" s="498">
        <f>G3</f>
        <v>79.84</v>
      </c>
      <c r="C114" s="955" t="s">
        <v>1481</v>
      </c>
      <c r="D114" s="351">
        <f>SUMPRODUCT((A116:A119=F114)*(B115:M115=H114)*B116:M119)</f>
        <v>0.2361</v>
      </c>
      <c r="E114" s="735" t="s">
        <v>1168</v>
      </c>
      <c r="F114" s="956" t="str">
        <f>E2</f>
        <v>住宅/居住</v>
      </c>
      <c r="G114" s="735" t="s">
        <v>1185</v>
      </c>
      <c r="H114" s="956" t="str">
        <f>G2</f>
        <v>六级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0.183</v>
      </c>
      <c r="C116" s="355">
        <f>B116</f>
        <v>0.183</v>
      </c>
      <c r="D116" s="355">
        <f>ROUND(0.8331-0.0109*B114,4)</f>
        <v>-3.7199999999999997E-2</v>
      </c>
      <c r="E116" s="355">
        <f>D116</f>
        <v>-3.7199999999999997E-2</v>
      </c>
      <c r="F116" s="355">
        <f>E116</f>
        <v>-3.7199999999999997E-2</v>
      </c>
      <c r="G116" s="355">
        <f>F116</f>
        <v>-3.7199999999999997E-2</v>
      </c>
      <c r="H116" s="355">
        <f>G116</f>
        <v>-3.7199999999999997E-2</v>
      </c>
      <c r="I116" s="355">
        <f>ROUND(0.689-0.0155*B114,4)</f>
        <v>-0.54849999999999999</v>
      </c>
      <c r="J116" s="355">
        <f t="shared" ref="J116:M119" si="27">I116</f>
        <v>-0.54849999999999999</v>
      </c>
      <c r="K116" s="355">
        <f t="shared" si="27"/>
        <v>-0.54849999999999999</v>
      </c>
      <c r="L116" s="355">
        <f t="shared" si="27"/>
        <v>-0.54849999999999999</v>
      </c>
      <c r="M116" s="356">
        <f t="shared" si="27"/>
        <v>-0.54849999999999999</v>
      </c>
    </row>
    <row r="117" spans="1:13" ht="12.75">
      <c r="A117" s="817" t="s">
        <v>1317</v>
      </c>
      <c r="B117" s="355">
        <f>ROUND(0.949-0.012*B114,4)</f>
        <v>-9.1000000000000004E-3</v>
      </c>
      <c r="C117" s="355">
        <f>B117</f>
        <v>-9.1000000000000004E-3</v>
      </c>
      <c r="D117" s="355">
        <f>ROUND(0.8567-0.013*B114,4)</f>
        <v>-0.1812</v>
      </c>
      <c r="E117" s="355">
        <f t="shared" ref="E117:H118" si="28">D117</f>
        <v>-0.1812</v>
      </c>
      <c r="F117" s="355">
        <f t="shared" si="28"/>
        <v>-0.1812</v>
      </c>
      <c r="G117" s="355">
        <f t="shared" si="28"/>
        <v>-0.1812</v>
      </c>
      <c r="H117" s="355">
        <f t="shared" si="28"/>
        <v>-0.1812</v>
      </c>
      <c r="I117" s="355">
        <f>ROUND(0.7694-0.014*B114,4)</f>
        <v>-0.34839999999999999</v>
      </c>
      <c r="J117" s="355">
        <f t="shared" si="27"/>
        <v>-0.34839999999999999</v>
      </c>
      <c r="K117" s="355">
        <f t="shared" si="27"/>
        <v>-0.34839999999999999</v>
      </c>
      <c r="L117" s="355">
        <f t="shared" si="27"/>
        <v>-0.34839999999999999</v>
      </c>
      <c r="M117" s="356">
        <f t="shared" si="27"/>
        <v>-0.34839999999999999</v>
      </c>
    </row>
    <row r="118" spans="1:13" ht="12.75">
      <c r="A118" s="817" t="s">
        <v>1318</v>
      </c>
      <c r="B118" s="355">
        <f>ROUND(0.8808-0.006*B114,4)</f>
        <v>0.40179999999999999</v>
      </c>
      <c r="C118" s="355">
        <f>B118</f>
        <v>0.40179999999999999</v>
      </c>
      <c r="D118" s="355">
        <f>ROUND(0.8748-0.008*B114,4)</f>
        <v>0.2361</v>
      </c>
      <c r="E118" s="355">
        <f t="shared" si="28"/>
        <v>0.2361</v>
      </c>
      <c r="F118" s="355">
        <f t="shared" si="28"/>
        <v>0.2361</v>
      </c>
      <c r="G118" s="355">
        <f t="shared" si="28"/>
        <v>0.2361</v>
      </c>
      <c r="H118" s="355">
        <f t="shared" si="28"/>
        <v>0.2361</v>
      </c>
      <c r="I118" s="355">
        <f>ROUND(0.7412-0.0095*B114,4)</f>
        <v>-1.7299999999999999E-2</v>
      </c>
      <c r="J118" s="355">
        <f t="shared" si="27"/>
        <v>-1.7299999999999999E-2</v>
      </c>
      <c r="K118" s="355">
        <f t="shared" si="27"/>
        <v>-1.7299999999999999E-2</v>
      </c>
      <c r="L118" s="355">
        <f t="shared" si="27"/>
        <v>-1.7299999999999999E-2</v>
      </c>
      <c r="M118" s="356">
        <f t="shared" si="27"/>
        <v>-1.7299999999999999E-2</v>
      </c>
    </row>
    <row r="119" spans="1:13" ht="13.5" thickBot="1">
      <c r="A119" s="818" t="s">
        <v>229</v>
      </c>
      <c r="B119" s="357">
        <f>ROUND(0.7275-0.01*B114,4)</f>
        <v>-7.0900000000000005E-2</v>
      </c>
      <c r="C119" s="357">
        <f>B119</f>
        <v>-7.0900000000000005E-2</v>
      </c>
      <c r="D119" s="357">
        <f>ROUND(0.7043-0.012*B114,4)</f>
        <v>-0.25380000000000003</v>
      </c>
      <c r="E119" s="357">
        <f>D119</f>
        <v>-0.25380000000000003</v>
      </c>
      <c r="F119" s="357">
        <f>E119</f>
        <v>-0.25380000000000003</v>
      </c>
      <c r="G119" s="357">
        <f>ROUND(0.6299-0.0122*B114,4)</f>
        <v>-0.34410000000000002</v>
      </c>
      <c r="H119" s="357">
        <f>G119</f>
        <v>-0.34410000000000002</v>
      </c>
      <c r="I119" s="357">
        <f>ROUND(0.5667-0.0136*B114,4)</f>
        <v>-0.51910000000000001</v>
      </c>
      <c r="J119" s="357">
        <f t="shared" si="27"/>
        <v>-0.51910000000000001</v>
      </c>
      <c r="K119" s="357">
        <f t="shared" si="27"/>
        <v>-0.51910000000000001</v>
      </c>
      <c r="L119" s="357">
        <f t="shared" si="27"/>
        <v>-0.51910000000000001</v>
      </c>
      <c r="M119" s="358">
        <f t="shared" si="27"/>
        <v>-0.51910000000000001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44"/>
  <sheetViews>
    <sheetView workbookViewId="0">
      <selection sqref="A1:B1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79" t="s">
        <v>990</v>
      </c>
      <c r="B1" s="1779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44"/>
  <sheetViews>
    <sheetView workbookViewId="0">
      <selection sqref="A1:F1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79" t="s">
        <v>292</v>
      </c>
      <c r="B1" s="1779"/>
      <c r="C1" s="1779"/>
      <c r="D1" s="1779"/>
      <c r="E1" s="1779"/>
      <c r="F1" s="1779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80" t="s">
        <v>305</v>
      </c>
      <c r="B2" s="1780"/>
      <c r="C2" s="1780"/>
      <c r="D2" s="1780"/>
      <c r="E2" s="1780"/>
      <c r="F2" s="1780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81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782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2017-09-01T01:48:54Z</cp:lastPrinted>
  <dcterms:created xsi:type="dcterms:W3CDTF">2015-07-13T07:17:23Z</dcterms:created>
  <dcterms:modified xsi:type="dcterms:W3CDTF">2019-04-28T09:46:39Z</dcterms:modified>
</cp:coreProperties>
</file>