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西安雁塔区\"/>
    </mc:Choice>
  </mc:AlternateContent>
  <bookViews>
    <workbookView xWindow="48" yWindow="156" windowWidth="11568" windowHeight="9492"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土地案例" sheetId="68"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叠拼" sheetId="70" state="hidden" r:id="rId34"/>
    <sheet name="不动产比较法-洋房" sheetId="69" state="hidden" r:id="rId35"/>
    <sheet name="不动产比较法-高层"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3" hidden="1">'不动产比较法-叠拼'!$A$1:$L$49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'不动产比较法-叠拼'!$B$88:$M$88</definedName>
    <definedName name="住宅朝向" localSheetId="34">'不动产比较法-洋房'!$B$88:$M$88</definedName>
    <definedName name="住宅朝向">'不动产比较法-高层'!$B$88:$M$88</definedName>
    <definedName name="住宅房型" localSheetId="33">'不动产比较法-叠拼'!$B$118:$M$118</definedName>
    <definedName name="住宅房型" localSheetId="34">'不动产比较法-洋房'!$B$118:$M$118</definedName>
    <definedName name="住宅房型">'不动产比较法-高层'!$B$118:$M$118</definedName>
    <definedName name="住宅公共部分装修" localSheetId="33">'不动产比较法-叠拼'!$B$109:$M$109</definedName>
    <definedName name="住宅公共部分装修" localSheetId="34">'不动产比较法-洋房'!$B$109:$M$109</definedName>
    <definedName name="住宅公共部分装修">'不动产比较法-高层'!$B$109:$M$109</definedName>
    <definedName name="住宅基础设施水平" localSheetId="33">'不动产比较法-叠拼'!$B$116:$M$116</definedName>
    <definedName name="住宅基础设施水平" localSheetId="34">'不动产比较法-洋房'!$B$116:$M$116</definedName>
    <definedName name="住宅基础设施水平">'不动产比较法-高层'!$B$116:$M$116</definedName>
    <definedName name="住宅建筑结构" localSheetId="33">'不动产比较法-叠拼'!$B$105:$M$105</definedName>
    <definedName name="住宅建筑结构" localSheetId="34">'不动产比较法-洋房'!$B$105:$M$105</definedName>
    <definedName name="住宅建筑结构">'不动产比较法-高层'!$B$105:$M$105</definedName>
    <definedName name="住宅建筑类型" localSheetId="33">'不动产比较法-叠拼'!$B$100:$M$100</definedName>
    <definedName name="住宅建筑类型" localSheetId="34">'不动产比较法-洋房'!$B$100:$M$100</definedName>
    <definedName name="住宅建筑类型">'不动产比较法-高层'!$B$100:$M$100</definedName>
    <definedName name="住宅建筑品质" localSheetId="33">'不动产比较法-叠拼'!$B$107:$M$107</definedName>
    <definedName name="住宅建筑品质" localSheetId="34">'不动产比较法-洋房'!$B$107:$M$107</definedName>
    <definedName name="住宅建筑品质">'不动产比较法-高层'!$B$107:$M$107</definedName>
    <definedName name="住宅交易情况" localSheetId="33">'不动产比较法-叠拼'!$A$61:$M$61</definedName>
    <definedName name="住宅交易情况" localSheetId="34">'不动产比较法-洋房'!$A$61:$M$61</definedName>
    <definedName name="住宅交易情况">'不动产比较法-高层'!$A$61:$M$61</definedName>
    <definedName name="住宅楼层" localSheetId="33">'不动产比较法-叠拼'!$B$86:$M$86</definedName>
    <definedName name="住宅楼层" localSheetId="34">'不动产比较法-洋房'!$B$86:$M$86</definedName>
    <definedName name="住宅楼层">'不动产比较法-高层'!$B$86:$M$86</definedName>
    <definedName name="住宅内部装修" localSheetId="33">'不动产比较法-叠拼'!$B$122:$M$122</definedName>
    <definedName name="住宅内部装修" localSheetId="34">'不动产比较法-洋房'!$B$122:$M$122</definedName>
    <definedName name="住宅内部装修">'不动产比较法-高层'!$B$122:$M$122</definedName>
    <definedName name="住宅物业管理" localSheetId="33">'不动产比较法-叠拼'!$B$114:$M$114</definedName>
    <definedName name="住宅物业管理" localSheetId="34">'不动产比较法-洋房'!$B$114:$M$114</definedName>
    <definedName name="住宅物业管理">'不动产比较法-高层'!$B$114:$M$114</definedName>
    <definedName name="住宅用途" localSheetId="33">'不动产比较法-叠拼'!$B$63:$M$63</definedName>
    <definedName name="住宅用途" localSheetId="34">'不动产比较法-洋房'!$B$63:$M$63</definedName>
    <definedName name="住宅用途">'不动产比较法-高层'!$B$63:$M$63</definedName>
    <definedName name="住宅主力户型面积" localSheetId="33">'不动产比较法-叠拼'!$B$120:$M$120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I48" i="39" l="1"/>
  <c r="G48" i="39"/>
  <c r="E48" i="39"/>
  <c r="I40" i="39"/>
  <c r="G40" i="39"/>
  <c r="E40" i="39"/>
  <c r="I9" i="39"/>
  <c r="G9" i="39"/>
  <c r="E9" i="39"/>
  <c r="I7" i="39"/>
  <c r="G7" i="39"/>
  <c r="E7" i="39"/>
  <c r="E10" i="12"/>
  <c r="D10" i="12"/>
  <c r="C10" i="12"/>
  <c r="G21" i="6"/>
  <c r="F20" i="6"/>
  <c r="F19" i="6"/>
  <c r="K13" i="3"/>
  <c r="AD13" i="3"/>
  <c r="I33" i="70" l="1"/>
  <c r="J140" i="70"/>
  <c r="K144" i="70" s="1"/>
  <c r="C145" i="70"/>
  <c r="K139" i="70"/>
  <c r="J142" i="70"/>
  <c r="B130" i="70"/>
  <c r="B128" i="70"/>
  <c r="B126" i="70"/>
  <c r="D125" i="70"/>
  <c r="E125" i="70"/>
  <c r="F125" i="70" s="1"/>
  <c r="G125" i="70"/>
  <c r="D123" i="70"/>
  <c r="E123" i="70"/>
  <c r="F123" i="70" s="1"/>
  <c r="G123" i="70" s="1"/>
  <c r="H123" i="70" s="1"/>
  <c r="I123" i="70" s="1"/>
  <c r="J123" i="70" s="1"/>
  <c r="K123" i="70" s="1"/>
  <c r="L123" i="70" s="1"/>
  <c r="M123" i="70" s="1"/>
  <c r="D119" i="70"/>
  <c r="E119" i="70"/>
  <c r="F119" i="70" s="1"/>
  <c r="G119" i="70" s="1"/>
  <c r="H119" i="70" s="1"/>
  <c r="I119" i="70" s="1"/>
  <c r="J119" i="70" s="1"/>
  <c r="K119" i="70" s="1"/>
  <c r="L119" i="70" s="1"/>
  <c r="M119" i="70" s="1"/>
  <c r="D117" i="70"/>
  <c r="E117" i="70"/>
  <c r="F117" i="70" s="1"/>
  <c r="G117" i="70" s="1"/>
  <c r="D115" i="70"/>
  <c r="E115" i="70"/>
  <c r="F115" i="70" s="1"/>
  <c r="G115" i="70"/>
  <c r="H115" i="70" s="1"/>
  <c r="I115" i="70" s="1"/>
  <c r="J115" i="70" s="1"/>
  <c r="K115" i="70" s="1"/>
  <c r="L115" i="70" s="1"/>
  <c r="M115" i="70" s="1"/>
  <c r="D113" i="70"/>
  <c r="E113" i="70"/>
  <c r="F113" i="70" s="1"/>
  <c r="G113" i="70"/>
  <c r="H113" i="70" s="1"/>
  <c r="H111" i="70"/>
  <c r="G111" i="70"/>
  <c r="F111" i="70"/>
  <c r="E111" i="70"/>
  <c r="D111" i="70"/>
  <c r="C111" i="70"/>
  <c r="D110" i="70"/>
  <c r="E110" i="70" s="1"/>
  <c r="F110" i="70"/>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c r="G106" i="70" s="1"/>
  <c r="H106" i="70" s="1"/>
  <c r="I106" i="70" s="1"/>
  <c r="J106" i="70" s="1"/>
  <c r="K106" i="70" s="1"/>
  <c r="L106" i="70" s="1"/>
  <c r="M106" i="70" s="1"/>
  <c r="D104" i="70"/>
  <c r="E104" i="70" s="1"/>
  <c r="F104" i="70" s="1"/>
  <c r="G104" i="70" s="1"/>
  <c r="H104" i="70" s="1"/>
  <c r="I104" i="70" s="1"/>
  <c r="D103" i="70"/>
  <c r="E103" i="70" s="1"/>
  <c r="F103" i="70"/>
  <c r="G103" i="70" s="1"/>
  <c r="M102" i="70"/>
  <c r="L102" i="70"/>
  <c r="K102" i="70"/>
  <c r="J102" i="70"/>
  <c r="E102" i="70"/>
  <c r="D102" i="70"/>
  <c r="C102" i="70"/>
  <c r="D101" i="70"/>
  <c r="E101" i="70"/>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D79" i="70"/>
  <c r="E79" i="70" s="1"/>
  <c r="D77" i="70"/>
  <c r="E77" i="70" s="1"/>
  <c r="B74" i="70"/>
  <c r="B72" i="70"/>
  <c r="B70" i="70"/>
  <c r="K11"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c r="F66" i="70" s="1"/>
  <c r="G66" i="70" s="1"/>
  <c r="H66" i="70" s="1"/>
  <c r="I66" i="70" s="1"/>
  <c r="C63" i="70"/>
  <c r="F59" i="70"/>
  <c r="H59" i="70" s="1"/>
  <c r="G59" i="70"/>
  <c r="I54" i="70"/>
  <c r="J54" i="70"/>
  <c r="G54" i="70"/>
  <c r="H54" i="70"/>
  <c r="E54" i="70"/>
  <c r="F54" i="70"/>
  <c r="V47" i="70"/>
  <c r="J8" i="70"/>
  <c r="AC8" i="70" s="1"/>
  <c r="J9" i="70"/>
  <c r="AC9" i="70" s="1"/>
  <c r="J10" i="70"/>
  <c r="AC10" i="70" s="1"/>
  <c r="J12" i="70"/>
  <c r="AC12" i="70"/>
  <c r="J13" i="70"/>
  <c r="AC13" i="70"/>
  <c r="J14" i="70"/>
  <c r="AC14" i="70"/>
  <c r="J21" i="70"/>
  <c r="AC21" i="70"/>
  <c r="J23" i="70"/>
  <c r="AC23" i="70"/>
  <c r="J25" i="70"/>
  <c r="AC25" i="70" s="1"/>
  <c r="J26" i="70"/>
  <c r="AC26" i="70" s="1"/>
  <c r="J27" i="70"/>
  <c r="AC27" i="70" s="1"/>
  <c r="J28" i="70"/>
  <c r="AC28" i="70" s="1"/>
  <c r="J29" i="70"/>
  <c r="AC29" i="70" s="1"/>
  <c r="J30" i="70"/>
  <c r="AC30" i="70" s="1"/>
  <c r="J31" i="70"/>
  <c r="AC31" i="70" s="1"/>
  <c r="J34" i="70"/>
  <c r="AC34" i="70"/>
  <c r="J35" i="70"/>
  <c r="AC35" i="70"/>
  <c r="J36" i="70"/>
  <c r="AC36" i="70"/>
  <c r="J37" i="70"/>
  <c r="AC37" i="70" s="1"/>
  <c r="J38" i="70"/>
  <c r="AC38" i="70" s="1"/>
  <c r="J39" i="70"/>
  <c r="AC39" i="70" s="1"/>
  <c r="J40" i="70"/>
  <c r="AC40" i="70" s="1"/>
  <c r="J41" i="70"/>
  <c r="AC41" i="70" s="1"/>
  <c r="J42" i="70"/>
  <c r="J43" i="70"/>
  <c r="AC43" i="70" s="1"/>
  <c r="J44" i="70"/>
  <c r="J45" i="70"/>
  <c r="AC45" i="70" s="1"/>
  <c r="J46" i="70"/>
  <c r="R47" i="70"/>
  <c r="F8" i="70"/>
  <c r="F9" i="70"/>
  <c r="AA9" i="70" s="1"/>
  <c r="F10" i="70"/>
  <c r="F12" i="70"/>
  <c r="F13" i="70"/>
  <c r="AA13" i="70" s="1"/>
  <c r="F14" i="70"/>
  <c r="F15" i="70"/>
  <c r="F17" i="70"/>
  <c r="F19" i="70"/>
  <c r="F21" i="70"/>
  <c r="F23" i="70"/>
  <c r="F25" i="70"/>
  <c r="AA25" i="70" s="1"/>
  <c r="F26" i="70"/>
  <c r="F27" i="70"/>
  <c r="AA27" i="70" s="1"/>
  <c r="F28" i="70"/>
  <c r="F29" i="70"/>
  <c r="AA29" i="70" s="1"/>
  <c r="F30" i="70"/>
  <c r="F31" i="70"/>
  <c r="AA31" i="70" s="1"/>
  <c r="F34" i="70"/>
  <c r="F35" i="70"/>
  <c r="AA35" i="70" s="1"/>
  <c r="F36" i="70"/>
  <c r="F37" i="70"/>
  <c r="AA37" i="70" s="1"/>
  <c r="F38" i="70"/>
  <c r="F39" i="70"/>
  <c r="AA39" i="70" s="1"/>
  <c r="F40" i="70"/>
  <c r="F41" i="70"/>
  <c r="AA41" i="70" s="1"/>
  <c r="F42" i="70"/>
  <c r="F43" i="70"/>
  <c r="AA43" i="70" s="1"/>
  <c r="F44" i="70"/>
  <c r="F45" i="70"/>
  <c r="AA45" i="70" s="1"/>
  <c r="F46" i="70"/>
  <c r="T47" i="70"/>
  <c r="H8" i="70"/>
  <c r="AB8" i="70" s="1"/>
  <c r="H9" i="70"/>
  <c r="H10" i="70"/>
  <c r="AB10" i="70" s="1"/>
  <c r="H12" i="70"/>
  <c r="AB12" i="70" s="1"/>
  <c r="H13" i="70"/>
  <c r="H14" i="70"/>
  <c r="AB14" i="70" s="1"/>
  <c r="H15" i="70"/>
  <c r="AB15" i="70" s="1"/>
  <c r="H17" i="70"/>
  <c r="AB17" i="70" s="1"/>
  <c r="H19" i="70"/>
  <c r="AB19" i="70" s="1"/>
  <c r="H21" i="70"/>
  <c r="AB21" i="70" s="1"/>
  <c r="H23" i="70"/>
  <c r="AB23" i="70" s="1"/>
  <c r="H25" i="70"/>
  <c r="H26" i="70"/>
  <c r="AB26" i="70" s="1"/>
  <c r="H27" i="70"/>
  <c r="H28" i="70"/>
  <c r="AB28" i="70" s="1"/>
  <c r="H29" i="70"/>
  <c r="H30" i="70"/>
  <c r="AB30" i="70" s="1"/>
  <c r="H31" i="70"/>
  <c r="H34" i="70"/>
  <c r="AB34" i="70" s="1"/>
  <c r="H35" i="70"/>
  <c r="H36" i="70"/>
  <c r="AB36" i="70" s="1"/>
  <c r="H37" i="70"/>
  <c r="H38" i="70"/>
  <c r="AB38" i="70" s="1"/>
  <c r="H39" i="70"/>
  <c r="H40" i="70"/>
  <c r="AB40" i="70" s="1"/>
  <c r="H41" i="70"/>
  <c r="H42" i="70"/>
  <c r="AB42" i="70" s="1"/>
  <c r="H43" i="70"/>
  <c r="H44" i="70"/>
  <c r="AB44" i="70" s="1"/>
  <c r="H45" i="70"/>
  <c r="H46" i="70"/>
  <c r="AB46" i="70" s="1"/>
  <c r="P49" i="70"/>
  <c r="P48" i="70"/>
  <c r="P47" i="70"/>
  <c r="Q46" i="70"/>
  <c r="Z46" i="70"/>
  <c r="U46" i="70"/>
  <c r="Q45" i="70"/>
  <c r="Z45" i="70" s="1"/>
  <c r="W45" i="70"/>
  <c r="S45" i="70"/>
  <c r="Q44" i="70"/>
  <c r="Z44" i="70"/>
  <c r="U44" i="70"/>
  <c r="Q43" i="70"/>
  <c r="Z43" i="70" s="1"/>
  <c r="W43" i="70"/>
  <c r="S43" i="70"/>
  <c r="Q42" i="70"/>
  <c r="Z42" i="70"/>
  <c r="U42" i="70"/>
  <c r="Q41" i="70"/>
  <c r="Z41" i="70" s="1"/>
  <c r="W41" i="70"/>
  <c r="S41" i="70"/>
  <c r="Q40" i="70"/>
  <c r="Z40" i="70"/>
  <c r="U40" i="70"/>
  <c r="Q39" i="70"/>
  <c r="Z39" i="70" s="1"/>
  <c r="W39" i="70"/>
  <c r="S39" i="70"/>
  <c r="Q38" i="70"/>
  <c r="Z38" i="70"/>
  <c r="U38" i="70"/>
  <c r="Q37" i="70"/>
  <c r="Z37" i="70" s="1"/>
  <c r="W37" i="70"/>
  <c r="S37" i="70"/>
  <c r="Q36" i="70"/>
  <c r="Z36" i="70"/>
  <c r="W36" i="70"/>
  <c r="Q35" i="70"/>
  <c r="Z35" i="70" s="1"/>
  <c r="W35" i="70"/>
  <c r="S35" i="70"/>
  <c r="Q34" i="70"/>
  <c r="Z34" i="70"/>
  <c r="W34" i="70"/>
  <c r="U34" i="70"/>
  <c r="Q33" i="70"/>
  <c r="Z33" i="70" s="1"/>
  <c r="Q32" i="70"/>
  <c r="Z32" i="70"/>
  <c r="Q31" i="70"/>
  <c r="Z31" i="70" s="1"/>
  <c r="W31" i="70"/>
  <c r="S31" i="70"/>
  <c r="Q30" i="70"/>
  <c r="Z30" i="70"/>
  <c r="W30" i="70"/>
  <c r="U30" i="70"/>
  <c r="Q29" i="70"/>
  <c r="Z29" i="70" s="1"/>
  <c r="W29" i="70"/>
  <c r="S29" i="70"/>
  <c r="Q28" i="70"/>
  <c r="Z28" i="70"/>
  <c r="W28" i="70"/>
  <c r="U28" i="70"/>
  <c r="Q27" i="70"/>
  <c r="Z27" i="70" s="1"/>
  <c r="W27" i="70"/>
  <c r="S27" i="70"/>
  <c r="Q26" i="70"/>
  <c r="Z26" i="70"/>
  <c r="W26" i="70"/>
  <c r="U26" i="70"/>
  <c r="Q25" i="70"/>
  <c r="Z25" i="70" s="1"/>
  <c r="W25" i="70"/>
  <c r="S25" i="70"/>
  <c r="Q23" i="70"/>
  <c r="Z23" i="70"/>
  <c r="W23" i="70"/>
  <c r="U23" i="70"/>
  <c r="C23" i="70"/>
  <c r="Q21" i="70"/>
  <c r="Z21" i="70"/>
  <c r="W21" i="70"/>
  <c r="C21" i="70"/>
  <c r="Q19" i="70"/>
  <c r="Z19" i="70"/>
  <c r="U19" i="70"/>
  <c r="C19" i="70"/>
  <c r="Q17" i="70"/>
  <c r="Z17" i="70"/>
  <c r="C17" i="70"/>
  <c r="Q15" i="70"/>
  <c r="Z15" i="70"/>
  <c r="U15" i="70"/>
  <c r="C15" i="70"/>
  <c r="Q14" i="70"/>
  <c r="Z14" i="70"/>
  <c r="W14" i="70"/>
  <c r="U14" i="70"/>
  <c r="Q13" i="70"/>
  <c r="Z13" i="70" s="1"/>
  <c r="W13" i="70"/>
  <c r="S13" i="70"/>
  <c r="Q12" i="70"/>
  <c r="Z12" i="70"/>
  <c r="W12" i="70"/>
  <c r="U12" i="70"/>
  <c r="Q11" i="70"/>
  <c r="Z11" i="70" s="1"/>
  <c r="Q10" i="70"/>
  <c r="Z10" i="70"/>
  <c r="W10" i="70"/>
  <c r="U10" i="70"/>
  <c r="Q9" i="70"/>
  <c r="Z9" i="70" s="1"/>
  <c r="W9" i="70"/>
  <c r="S9" i="70"/>
  <c r="W8" i="70"/>
  <c r="U8" i="70"/>
  <c r="J140" i="69"/>
  <c r="C145" i="69"/>
  <c r="K139" i="69"/>
  <c r="J142" i="69"/>
  <c r="B130" i="69"/>
  <c r="B128" i="69"/>
  <c r="B126" i="69"/>
  <c r="D125" i="69"/>
  <c r="E125" i="69"/>
  <c r="F125" i="69" s="1"/>
  <c r="G125" i="69"/>
  <c r="D123" i="69"/>
  <c r="E123" i="69"/>
  <c r="F123" i="69" s="1"/>
  <c r="G123" i="69" s="1"/>
  <c r="H123" i="69" s="1"/>
  <c r="I123" i="69" s="1"/>
  <c r="J123" i="69" s="1"/>
  <c r="K123" i="69" s="1"/>
  <c r="L123" i="69" s="1"/>
  <c r="M123" i="69" s="1"/>
  <c r="D119" i="69"/>
  <c r="E119" i="69"/>
  <c r="F119" i="69" s="1"/>
  <c r="G119" i="69" s="1"/>
  <c r="H119" i="69" s="1"/>
  <c r="I119" i="69" s="1"/>
  <c r="J119" i="69" s="1"/>
  <c r="K119" i="69" s="1"/>
  <c r="L119" i="69" s="1"/>
  <c r="M119" i="69" s="1"/>
  <c r="D117" i="69"/>
  <c r="E117" i="69"/>
  <c r="F117" i="69" s="1"/>
  <c r="G117" i="69" s="1"/>
  <c r="D115" i="69"/>
  <c r="E115" i="69"/>
  <c r="F115" i="69" s="1"/>
  <c r="G115" i="69"/>
  <c r="H115" i="69" s="1"/>
  <c r="I115" i="69" s="1"/>
  <c r="J115" i="69" s="1"/>
  <c r="K115" i="69" s="1"/>
  <c r="L115" i="69" s="1"/>
  <c r="M115" i="69" s="1"/>
  <c r="D113" i="69"/>
  <c r="E113" i="69"/>
  <c r="F113" i="69" s="1"/>
  <c r="G113" i="69"/>
  <c r="H113" i="69" s="1"/>
  <c r="H111" i="69"/>
  <c r="G111" i="69"/>
  <c r="F111" i="69"/>
  <c r="E111" i="69"/>
  <c r="D111" i="69"/>
  <c r="C111" i="69"/>
  <c r="D110" i="69"/>
  <c r="E110" i="69" s="1"/>
  <c r="F110" i="69"/>
  <c r="G110" i="69" s="1"/>
  <c r="H110" i="69" s="1"/>
  <c r="I110" i="69" s="1"/>
  <c r="J110" i="69" s="1"/>
  <c r="K110" i="69" s="1"/>
  <c r="L110" i="69" s="1"/>
  <c r="M110" i="69" s="1"/>
  <c r="D108" i="69"/>
  <c r="E108" i="69" s="1"/>
  <c r="F108" i="69" s="1"/>
  <c r="G108" i="69" s="1"/>
  <c r="H108" i="69" s="1"/>
  <c r="I108" i="69" s="1"/>
  <c r="J108" i="69" s="1"/>
  <c r="K108" i="69" s="1"/>
  <c r="L108" i="69" s="1"/>
  <c r="M108" i="69" s="1"/>
  <c r="D106" i="69"/>
  <c r="E106" i="69"/>
  <c r="F106" i="69" s="1"/>
  <c r="G106" i="69" s="1"/>
  <c r="H106" i="69" s="1"/>
  <c r="I106" i="69" s="1"/>
  <c r="J106" i="69" s="1"/>
  <c r="K106" i="69" s="1"/>
  <c r="L106" i="69" s="1"/>
  <c r="M106" i="69" s="1"/>
  <c r="D104" i="69"/>
  <c r="E104" i="69"/>
  <c r="F104" i="69" s="1"/>
  <c r="G104" i="69" s="1"/>
  <c r="H104" i="69" s="1"/>
  <c r="I104" i="69" s="1"/>
  <c r="D103" i="69"/>
  <c r="E103" i="69"/>
  <c r="F103" i="69" s="1"/>
  <c r="M102" i="69"/>
  <c r="L102" i="69"/>
  <c r="K102" i="69"/>
  <c r="J102" i="69"/>
  <c r="D102" i="69"/>
  <c r="C102" i="69"/>
  <c r="D101" i="69"/>
  <c r="E101" i="69" s="1"/>
  <c r="F101" i="69" s="1"/>
  <c r="G101" i="69" s="1"/>
  <c r="H101" i="69" s="1"/>
  <c r="I101" i="69" s="1"/>
  <c r="J101" i="69" s="1"/>
  <c r="K101" i="69" s="1"/>
  <c r="L101" i="69" s="1"/>
  <c r="M101" i="69" s="1"/>
  <c r="B98" i="69"/>
  <c r="B96" i="69"/>
  <c r="B94" i="69"/>
  <c r="B92" i="69"/>
  <c r="B90" i="69"/>
  <c r="D89" i="69"/>
  <c r="E89" i="69"/>
  <c r="F89" i="69" s="1"/>
  <c r="G89" i="69" s="1"/>
  <c r="H89" i="69" s="1"/>
  <c r="I89" i="69" s="1"/>
  <c r="J89" i="69" s="1"/>
  <c r="K89" i="69" s="1"/>
  <c r="L89" i="69" s="1"/>
  <c r="M89" i="69" s="1"/>
  <c r="M87" i="69"/>
  <c r="L87" i="69"/>
  <c r="K87" i="69"/>
  <c r="J87" i="69"/>
  <c r="I87" i="69"/>
  <c r="H87" i="69"/>
  <c r="G87" i="69"/>
  <c r="F87" i="69"/>
  <c r="E87" i="69"/>
  <c r="D87" i="69"/>
  <c r="D85" i="69"/>
  <c r="E85" i="69"/>
  <c r="F85" i="69" s="1"/>
  <c r="G85" i="69" s="1"/>
  <c r="D83" i="69"/>
  <c r="E83" i="69"/>
  <c r="F83" i="69" s="1"/>
  <c r="G83" i="69" s="1"/>
  <c r="D81" i="69"/>
  <c r="E81" i="69"/>
  <c r="F81" i="69" s="1"/>
  <c r="G81" i="69" s="1"/>
  <c r="D79" i="69"/>
  <c r="E79" i="69"/>
  <c r="F79" i="69" s="1"/>
  <c r="G79" i="69" s="1"/>
  <c r="D77" i="69"/>
  <c r="E77" i="69"/>
  <c r="F77" i="69" s="1"/>
  <c r="G77" i="69" s="1"/>
  <c r="B74" i="69"/>
  <c r="B72" i="69"/>
  <c r="B70" i="69"/>
  <c r="K11" i="69"/>
  <c r="D69" i="69" s="1"/>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J9" i="69" s="1"/>
  <c r="AC9" i="69" s="1"/>
  <c r="F59" i="69"/>
  <c r="H59" i="69"/>
  <c r="G59" i="69"/>
  <c r="I54" i="69"/>
  <c r="J54" i="69" s="1"/>
  <c r="G54" i="69"/>
  <c r="H54" i="69" s="1"/>
  <c r="E54" i="69"/>
  <c r="F54" i="69" s="1"/>
  <c r="V47" i="69"/>
  <c r="J8" i="69"/>
  <c r="AC8" i="69"/>
  <c r="J10" i="69"/>
  <c r="AC10" i="69"/>
  <c r="J12" i="69"/>
  <c r="AC12" i="69" s="1"/>
  <c r="J13" i="69"/>
  <c r="AC13" i="69" s="1"/>
  <c r="J14" i="69"/>
  <c r="AC14" i="69" s="1"/>
  <c r="J15" i="69"/>
  <c r="AC15" i="69" s="1"/>
  <c r="J17" i="69"/>
  <c r="AC17" i="69" s="1"/>
  <c r="J19" i="69"/>
  <c r="AC19" i="69" s="1"/>
  <c r="J21" i="69"/>
  <c r="AC21" i="69" s="1"/>
  <c r="J23" i="69"/>
  <c r="AC23" i="69" s="1"/>
  <c r="J25" i="69"/>
  <c r="AC25" i="69" s="1"/>
  <c r="J26" i="69"/>
  <c r="AC26" i="69" s="1"/>
  <c r="J27" i="69"/>
  <c r="AC27" i="69" s="1"/>
  <c r="J28" i="69"/>
  <c r="AC28" i="69" s="1"/>
  <c r="J29" i="69"/>
  <c r="AC29" i="69" s="1"/>
  <c r="J30" i="69"/>
  <c r="AC30" i="69" s="1"/>
  <c r="J31" i="69"/>
  <c r="AC31" i="69" s="1"/>
  <c r="J32" i="69"/>
  <c r="AC32" i="69" s="1"/>
  <c r="J34" i="69"/>
  <c r="AC34" i="69"/>
  <c r="J35" i="69"/>
  <c r="AC35" i="69"/>
  <c r="J36" i="69"/>
  <c r="AC36" i="69"/>
  <c r="J38" i="69"/>
  <c r="AC38" i="69"/>
  <c r="J39" i="69"/>
  <c r="AC39" i="69"/>
  <c r="J40" i="69"/>
  <c r="AC40" i="69"/>
  <c r="J41" i="69"/>
  <c r="AC41" i="69"/>
  <c r="J42" i="69"/>
  <c r="AC42" i="69"/>
  <c r="J43" i="69"/>
  <c r="AC43" i="69"/>
  <c r="J44" i="69"/>
  <c r="AC44" i="69"/>
  <c r="J45" i="69"/>
  <c r="AC45" i="69"/>
  <c r="J46" i="69"/>
  <c r="AC46" i="69"/>
  <c r="R47" i="69"/>
  <c r="F8" i="69"/>
  <c r="AA8" i="69"/>
  <c r="F9" i="69"/>
  <c r="AA9" i="69"/>
  <c r="F10" i="69"/>
  <c r="AA10" i="69"/>
  <c r="F12" i="69"/>
  <c r="AA12" i="69"/>
  <c r="F13" i="69"/>
  <c r="AA13" i="69"/>
  <c r="F14" i="69"/>
  <c r="AA14" i="69"/>
  <c r="F15" i="69"/>
  <c r="AA15" i="69"/>
  <c r="F17" i="69"/>
  <c r="AA17" i="69"/>
  <c r="F19" i="69"/>
  <c r="AA19" i="69" s="1"/>
  <c r="F21" i="69"/>
  <c r="AA21" i="69" s="1"/>
  <c r="F23" i="69"/>
  <c r="AA23" i="69" s="1"/>
  <c r="F25" i="69"/>
  <c r="AA25" i="69" s="1"/>
  <c r="F26" i="69"/>
  <c r="F27" i="69"/>
  <c r="AA27" i="69" s="1"/>
  <c r="F28" i="69"/>
  <c r="F29" i="69"/>
  <c r="AA29" i="69" s="1"/>
  <c r="F30" i="69"/>
  <c r="F31" i="69"/>
  <c r="AA31" i="69" s="1"/>
  <c r="F32" i="69"/>
  <c r="F34" i="69"/>
  <c r="F35" i="69"/>
  <c r="AA35" i="69" s="1"/>
  <c r="F36" i="69"/>
  <c r="F37" i="69"/>
  <c r="AA37" i="69" s="1"/>
  <c r="F38" i="69"/>
  <c r="F39" i="69"/>
  <c r="AA39" i="69" s="1"/>
  <c r="F40" i="69"/>
  <c r="F41" i="69"/>
  <c r="AA41" i="69" s="1"/>
  <c r="F42" i="69"/>
  <c r="F43" i="69"/>
  <c r="AA43" i="69" s="1"/>
  <c r="F44" i="69"/>
  <c r="F45" i="69"/>
  <c r="AA45" i="69" s="1"/>
  <c r="F46" i="69"/>
  <c r="T47" i="69"/>
  <c r="H8" i="69"/>
  <c r="AB8" i="69" s="1"/>
  <c r="H9" i="69"/>
  <c r="AB9" i="69" s="1"/>
  <c r="H10" i="69"/>
  <c r="AB10" i="69" s="1"/>
  <c r="H12" i="69"/>
  <c r="AB12" i="69" s="1"/>
  <c r="H13" i="69"/>
  <c r="AB13" i="69" s="1"/>
  <c r="H14" i="69"/>
  <c r="AB14" i="69" s="1"/>
  <c r="H15" i="69"/>
  <c r="AB15" i="69" s="1"/>
  <c r="H17" i="69"/>
  <c r="AB17" i="69" s="1"/>
  <c r="H19" i="69"/>
  <c r="AB19" i="69" s="1"/>
  <c r="H21" i="69"/>
  <c r="AB21" i="69" s="1"/>
  <c r="H23" i="69"/>
  <c r="AB23" i="69" s="1"/>
  <c r="H25" i="69"/>
  <c r="H26" i="69"/>
  <c r="AB26" i="69" s="1"/>
  <c r="H27" i="69"/>
  <c r="H28" i="69"/>
  <c r="AB28" i="69" s="1"/>
  <c r="H29" i="69"/>
  <c r="H30" i="69"/>
  <c r="AB30" i="69" s="1"/>
  <c r="H31" i="69"/>
  <c r="H32" i="69"/>
  <c r="AB32" i="69" s="1"/>
  <c r="H34" i="69"/>
  <c r="AB34" i="69" s="1"/>
  <c r="H35" i="69"/>
  <c r="H36" i="69"/>
  <c r="AB36" i="69" s="1"/>
  <c r="H37" i="69"/>
  <c r="H38" i="69"/>
  <c r="AB38" i="69" s="1"/>
  <c r="H39" i="69"/>
  <c r="H40" i="69"/>
  <c r="AB40" i="69" s="1"/>
  <c r="H41" i="69"/>
  <c r="H42" i="69"/>
  <c r="AB42" i="69" s="1"/>
  <c r="H43" i="69"/>
  <c r="H44" i="69"/>
  <c r="AB44" i="69" s="1"/>
  <c r="H45" i="69"/>
  <c r="H46" i="69"/>
  <c r="AB46" i="69" s="1"/>
  <c r="P49" i="69"/>
  <c r="P48" i="69"/>
  <c r="P47" i="69"/>
  <c r="Q46" i="69"/>
  <c r="Z46" i="69"/>
  <c r="W46" i="69"/>
  <c r="Q45" i="69"/>
  <c r="Z45" i="69" s="1"/>
  <c r="W45" i="69"/>
  <c r="S45" i="69"/>
  <c r="Q44" i="69"/>
  <c r="Z44" i="69"/>
  <c r="W44" i="69"/>
  <c r="U44" i="69"/>
  <c r="Q43" i="69"/>
  <c r="Z43" i="69" s="1"/>
  <c r="W43" i="69"/>
  <c r="S43" i="69"/>
  <c r="Q42" i="69"/>
  <c r="Z42" i="69"/>
  <c r="W42" i="69"/>
  <c r="Q41" i="69"/>
  <c r="Z41" i="69" s="1"/>
  <c r="W41" i="69"/>
  <c r="S41" i="69"/>
  <c r="Q40" i="69"/>
  <c r="Z40" i="69"/>
  <c r="W40" i="69"/>
  <c r="U40" i="69"/>
  <c r="Q39" i="69"/>
  <c r="Z39" i="69" s="1"/>
  <c r="W39" i="69"/>
  <c r="S39" i="69"/>
  <c r="Q38" i="69"/>
  <c r="Z38" i="69"/>
  <c r="W38" i="69"/>
  <c r="U38" i="69"/>
  <c r="Q37" i="69"/>
  <c r="Z37" i="69" s="1"/>
  <c r="S37" i="69"/>
  <c r="Q36" i="69"/>
  <c r="Z36" i="69"/>
  <c r="W36" i="69"/>
  <c r="U36" i="69"/>
  <c r="Q35" i="69"/>
  <c r="Z35" i="69" s="1"/>
  <c r="W35" i="69"/>
  <c r="S35" i="69"/>
  <c r="Q34" i="69"/>
  <c r="Z34" i="69"/>
  <c r="W34" i="69"/>
  <c r="U34" i="69"/>
  <c r="Q33" i="69"/>
  <c r="Z33" i="69" s="1"/>
  <c r="Q32" i="69"/>
  <c r="Z32" i="69"/>
  <c r="W32" i="69"/>
  <c r="U32" i="69"/>
  <c r="Q31" i="69"/>
  <c r="Z31" i="69" s="1"/>
  <c r="W31" i="69"/>
  <c r="S31" i="69"/>
  <c r="Q30" i="69"/>
  <c r="Z30" i="69"/>
  <c r="W30" i="69"/>
  <c r="U30" i="69"/>
  <c r="Q29" i="69"/>
  <c r="Z29" i="69" s="1"/>
  <c r="W29" i="69"/>
  <c r="S29" i="69"/>
  <c r="Q28" i="69"/>
  <c r="Z28" i="69"/>
  <c r="W28" i="69"/>
  <c r="U28" i="69"/>
  <c r="Q27" i="69"/>
  <c r="Z27" i="69" s="1"/>
  <c r="W27" i="69"/>
  <c r="S27" i="69"/>
  <c r="Q26" i="69"/>
  <c r="Z26" i="69"/>
  <c r="W26" i="69"/>
  <c r="U26" i="69"/>
  <c r="Q25" i="69"/>
  <c r="Z25" i="69" s="1"/>
  <c r="W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s="1"/>
  <c r="W13" i="69"/>
  <c r="U13" i="69"/>
  <c r="S13" i="69"/>
  <c r="Q12" i="69"/>
  <c r="Z12" i="69"/>
  <c r="W12" i="69"/>
  <c r="U12" i="69"/>
  <c r="S12" i="69"/>
  <c r="Q11" i="69"/>
  <c r="Z11" i="69" s="1"/>
  <c r="Q10" i="69"/>
  <c r="Z10" i="69"/>
  <c r="W10" i="69"/>
  <c r="U10" i="69"/>
  <c r="S10" i="69"/>
  <c r="Q9" i="69"/>
  <c r="Z9" i="69" s="1"/>
  <c r="W9" i="69"/>
  <c r="U9" i="69"/>
  <c r="S9" i="69"/>
  <c r="W8" i="69"/>
  <c r="U8" i="69"/>
  <c r="S8" i="69"/>
  <c r="E103" i="21"/>
  <c r="F103" i="21" s="1"/>
  <c r="G103" i="21" s="1"/>
  <c r="H103" i="21" s="1"/>
  <c r="I103" i="21" s="1"/>
  <c r="D103" i="21"/>
  <c r="D104" i="21"/>
  <c r="E104" i="21" s="1"/>
  <c r="F104" i="21" s="1"/>
  <c r="G104" i="21" s="1"/>
  <c r="H104" i="21" s="1"/>
  <c r="I104" i="21" s="1"/>
  <c r="G59" i="21"/>
  <c r="F59" i="21"/>
  <c r="H59" i="21" s="1"/>
  <c r="K11" i="21"/>
  <c r="C7" i="39"/>
  <c r="I5" i="3"/>
  <c r="E19" i="6" s="1"/>
  <c r="BB18" i="3"/>
  <c r="H18" i="3"/>
  <c r="D73" i="39"/>
  <c r="E73" i="39" s="1"/>
  <c r="F73" i="39" s="1"/>
  <c r="G73" i="39" s="1"/>
  <c r="H73" i="39" s="1"/>
  <c r="I73" i="39" s="1"/>
  <c r="J73" i="39" s="1"/>
  <c r="K73" i="39" s="1"/>
  <c r="L73" i="39" s="1"/>
  <c r="M73" i="39" s="1"/>
  <c r="N73" i="39" s="1"/>
  <c r="E119" i="39"/>
  <c r="F119" i="39" s="1"/>
  <c r="G119" i="39" s="1"/>
  <c r="H119" i="39" s="1"/>
  <c r="I119" i="39" s="1"/>
  <c r="D120" i="39"/>
  <c r="E120" i="39" s="1"/>
  <c r="F120" i="39" s="1"/>
  <c r="G120" i="39" s="1"/>
  <c r="H120" i="39" s="1"/>
  <c r="I120" i="39" s="1"/>
  <c r="D119" i="39"/>
  <c r="H40" i="39"/>
  <c r="C40" i="39"/>
  <c r="E55" i="39"/>
  <c r="F55" i="39" s="1"/>
  <c r="L14" i="1"/>
  <c r="B7" i="4"/>
  <c r="C51" i="10" s="1"/>
  <c r="A9" i="64" s="1"/>
  <c r="D3" i="4"/>
  <c r="AH5" i="59"/>
  <c r="AG5" i="59"/>
  <c r="AE5" i="59"/>
  <c r="AF5" i="59" s="1"/>
  <c r="AD5" i="59"/>
  <c r="Q5" i="59"/>
  <c r="P5" i="59"/>
  <c r="O5" i="59"/>
  <c r="N5" i="59"/>
  <c r="F25" i="12"/>
  <c r="AH6" i="59"/>
  <c r="AG6" i="59"/>
  <c r="AE6" i="59"/>
  <c r="AF6" i="59" s="1"/>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X8" i="59" s="1"/>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s="1"/>
  <c r="K3" i="59"/>
  <c r="J3" i="59"/>
  <c r="AE3" i="59"/>
  <c r="AF3" i="59" s="1"/>
  <c r="I3" i="59"/>
  <c r="AH8" i="59"/>
  <c r="AG8" i="59"/>
  <c r="AE8" i="59"/>
  <c r="AF8" i="59"/>
  <c r="AD8" i="59"/>
  <c r="AA8" i="59"/>
  <c r="AH9" i="59"/>
  <c r="AG9" i="59"/>
  <c r="AE9" i="59"/>
  <c r="AF9" i="59" s="1"/>
  <c r="AD9" i="59"/>
  <c r="M19" i="46"/>
  <c r="J50" i="15"/>
  <c r="J51" i="15"/>
  <c r="D12" i="59"/>
  <c r="AH10" i="59"/>
  <c r="AG10" i="59"/>
  <c r="AE10" i="59"/>
  <c r="AF10" i="59" s="1"/>
  <c r="AD10" i="59"/>
  <c r="AE11" i="59"/>
  <c r="AF11" i="59"/>
  <c r="AG11" i="59"/>
  <c r="AH11" i="59"/>
  <c r="AD11" i="59"/>
  <c r="AB10" i="59"/>
  <c r="AA10" i="59"/>
  <c r="Y10" i="59"/>
  <c r="Z10" i="59" s="1"/>
  <c r="X10" i="59"/>
  <c r="L4" i="9"/>
  <c r="M4" i="9"/>
  <c r="A30" i="64" s="1"/>
  <c r="A30" i="51"/>
  <c r="K59" i="15"/>
  <c r="P62" i="15"/>
  <c r="P75" i="15"/>
  <c r="Q74" i="44"/>
  <c r="Q61" i="44"/>
  <c r="Q60" i="44"/>
  <c r="Q53" i="44"/>
  <c r="J51" i="44"/>
  <c r="J52" i="44" s="1"/>
  <c r="M48" i="44"/>
  <c r="A16" i="55"/>
  <c r="A15" i="55"/>
  <c r="B66" i="63" s="1"/>
  <c r="C43" i="9"/>
  <c r="K47" i="9" s="1"/>
  <c r="A14" i="55" s="1"/>
  <c r="L24" i="4"/>
  <c r="L25" i="4"/>
  <c r="L26" i="4"/>
  <c r="A11" i="55"/>
  <c r="A10" i="55"/>
  <c r="B61" i="63"/>
  <c r="A9" i="55"/>
  <c r="B60" i="63"/>
  <c r="A8" i="55"/>
  <c r="A6" i="54"/>
  <c r="A8" i="54"/>
  <c r="A7" i="54"/>
  <c r="C57" i="10"/>
  <c r="A28" i="51"/>
  <c r="A27" i="51"/>
  <c r="B20" i="63"/>
  <c r="AB11" i="59"/>
  <c r="Y11" i="59"/>
  <c r="Z11" i="59" s="1"/>
  <c r="X11" i="59"/>
  <c r="B15" i="59"/>
  <c r="C15" i="59"/>
  <c r="D15" i="59" s="1"/>
  <c r="E15" i="59"/>
  <c r="F15" i="59"/>
  <c r="K75" i="9"/>
  <c r="K6" i="4"/>
  <c r="O76" i="9"/>
  <c r="L76" i="9"/>
  <c r="K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s="1"/>
  <c r="B11" i="59"/>
  <c r="B10" i="59" s="1"/>
  <c r="B9" i="59" s="1"/>
  <c r="E14" i="59"/>
  <c r="E13" i="59"/>
  <c r="E11" i="59"/>
  <c r="E10" i="59"/>
  <c r="E9" i="59" s="1"/>
  <c r="E8" i="59" s="1"/>
  <c r="E7" i="59" s="1"/>
  <c r="C14" i="59"/>
  <c r="D14" i="59" s="1"/>
  <c r="F14" i="59"/>
  <c r="F13" i="59"/>
  <c r="F11" i="59"/>
  <c r="V11" i="59"/>
  <c r="U11" i="59"/>
  <c r="S11" i="59"/>
  <c r="C13"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X22" i="59"/>
  <c r="Y22" i="59"/>
  <c r="Z22" i="59" s="1"/>
  <c r="AA22" i="59"/>
  <c r="AB22" i="59"/>
  <c r="X23" i="59"/>
  <c r="Y23" i="59"/>
  <c r="Z23" i="59"/>
  <c r="AA23" i="59"/>
  <c r="AB23" i="59"/>
  <c r="X24" i="59"/>
  <c r="Y24" i="59"/>
  <c r="Z24" i="59" s="1"/>
  <c r="AA24" i="59"/>
  <c r="AB24" i="59"/>
  <c r="AB25" i="59"/>
  <c r="AA25" i="59"/>
  <c r="Y25" i="59"/>
  <c r="X25" i="59"/>
  <c r="D13" i="59"/>
  <c r="S2" i="31"/>
  <c r="M2" i="31"/>
  <c r="N2" i="31"/>
  <c r="O2" i="31"/>
  <c r="P2" i="31"/>
  <c r="Q2" i="31"/>
  <c r="R2" i="31"/>
  <c r="C11" i="59"/>
  <c r="C10" i="59" s="1"/>
  <c r="C3" i="65"/>
  <c r="C1" i="65"/>
  <c r="N1" i="65" s="1"/>
  <c r="D1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N4" i="63"/>
  <c r="B21" i="63"/>
  <c r="B67" i="63"/>
  <c r="I19" i="46"/>
  <c r="D76" i="59"/>
  <c r="F75" i="59"/>
  <c r="F74" i="59" s="1"/>
  <c r="F73" i="59" s="1"/>
  <c r="E75" i="59"/>
  <c r="E74" i="59"/>
  <c r="E73" i="59" s="1"/>
  <c r="C75" i="59"/>
  <c r="D75" i="59" s="1"/>
  <c r="B75" i="59"/>
  <c r="B74" i="59" s="1"/>
  <c r="B73" i="59" s="1"/>
  <c r="D72" i="59"/>
  <c r="F71" i="59"/>
  <c r="F70" i="59" s="1"/>
  <c r="F69" i="59" s="1"/>
  <c r="E71" i="59"/>
  <c r="E70" i="59"/>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Q53" i="59" s="1"/>
  <c r="B54" i="59"/>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O36" i="59"/>
  <c r="C37" i="59"/>
  <c r="N36" i="59"/>
  <c r="B37" i="59"/>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c r="N32" i="59"/>
  <c r="B33" i="59"/>
  <c r="B34" i="59" s="1"/>
  <c r="B35" i="59" s="1"/>
  <c r="S35" i="59" s="1"/>
  <c r="D32" i="59"/>
  <c r="Q31" i="59"/>
  <c r="P31" i="59"/>
  <c r="O31" i="59"/>
  <c r="N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AB26" i="59"/>
  <c r="Y26" i="59"/>
  <c r="Z26" i="59"/>
  <c r="X26" i="59"/>
  <c r="F25" i="59"/>
  <c r="E25" i="59"/>
  <c r="E26" i="59"/>
  <c r="E27" i="59" s="1"/>
  <c r="U27" i="59" s="1"/>
  <c r="C25" i="59"/>
  <c r="B25" i="59"/>
  <c r="B26" i="59" s="1"/>
  <c r="B27" i="59" s="1"/>
  <c r="S27" i="59" s="1"/>
  <c r="D24" i="59"/>
  <c r="F21" i="59"/>
  <c r="E21" i="59"/>
  <c r="E22" i="59" s="1"/>
  <c r="E23" i="59" s="1"/>
  <c r="U23" i="59" s="1"/>
  <c r="C21" i="59"/>
  <c r="B21" i="59"/>
  <c r="B22" i="59"/>
  <c r="B23" i="59" s="1"/>
  <c r="S23" i="59" s="1"/>
  <c r="D20" i="59"/>
  <c r="F17" i="59"/>
  <c r="C17" i="59"/>
  <c r="B17" i="59"/>
  <c r="D16" i="59"/>
  <c r="X3" i="59"/>
  <c r="X12" i="59"/>
  <c r="X13" i="59"/>
  <c r="X14" i="59"/>
  <c r="X15" i="59"/>
  <c r="AA3" i="59"/>
  <c r="AA12" i="59"/>
  <c r="AA13" i="59"/>
  <c r="AA14" i="59"/>
  <c r="AA15" i="59"/>
  <c r="Y12" i="59"/>
  <c r="Z12" i="59" s="1"/>
  <c r="Y13" i="59"/>
  <c r="Z13" i="59" s="1"/>
  <c r="Y14" i="59"/>
  <c r="Z14" i="59" s="1"/>
  <c r="Y15" i="59"/>
  <c r="Z15" i="59" s="1"/>
  <c r="Y3" i="59"/>
  <c r="Z3" i="59" s="1"/>
  <c r="AB15" i="59"/>
  <c r="AB3" i="59"/>
  <c r="AB12" i="59"/>
  <c r="AB13" i="59"/>
  <c r="AB14" i="59"/>
  <c r="B18" i="59"/>
  <c r="B19" i="59"/>
  <c r="S19" i="59" s="1"/>
  <c r="E17" i="59"/>
  <c r="E18" i="59" s="1"/>
  <c r="E19" i="59" s="1"/>
  <c r="U19" i="59" s="1"/>
  <c r="B38" i="59"/>
  <c r="B39" i="59" s="1"/>
  <c r="S39" i="59" s="1"/>
  <c r="E38" i="59"/>
  <c r="E39" i="59"/>
  <c r="U39" i="59" s="1"/>
  <c r="S55" i="59"/>
  <c r="Z25" i="59"/>
  <c r="AA26" i="59"/>
  <c r="F18" i="59"/>
  <c r="F19" i="59"/>
  <c r="V19" i="59" s="1"/>
  <c r="F22" i="59"/>
  <c r="F23" i="59" s="1"/>
  <c r="V23" i="59" s="1"/>
  <c r="F26" i="59"/>
  <c r="F27" i="59"/>
  <c r="V27" i="59" s="1"/>
  <c r="F30" i="59"/>
  <c r="F31" i="59" s="1"/>
  <c r="V31" i="59" s="1"/>
  <c r="F42" i="59"/>
  <c r="F43" i="59" s="1"/>
  <c r="V43" i="59" s="1"/>
  <c r="F50" i="59"/>
  <c r="F51" i="59" s="1"/>
  <c r="V51" i="59" s="1"/>
  <c r="C18" i="59"/>
  <c r="D17" i="59"/>
  <c r="C26" i="59"/>
  <c r="D25" i="59"/>
  <c r="C34" i="59"/>
  <c r="D34" i="59"/>
  <c r="D33" i="59"/>
  <c r="C38" i="59"/>
  <c r="C39" i="59" s="1"/>
  <c r="D37" i="59"/>
  <c r="C46" i="59"/>
  <c r="D46" i="59" s="1"/>
  <c r="D45" i="59"/>
  <c r="C22" i="59"/>
  <c r="C23" i="59" s="1"/>
  <c r="D21" i="59"/>
  <c r="E53" i="59"/>
  <c r="P52" i="59" s="1"/>
  <c r="N54" i="59"/>
  <c r="B53" i="59"/>
  <c r="N52" i="59" s="1"/>
  <c r="Q54" i="59"/>
  <c r="T55" i="59"/>
  <c r="O55" i="59"/>
  <c r="D55" i="59"/>
  <c r="C54" i="59"/>
  <c r="P55" i="59"/>
  <c r="U55" i="59"/>
  <c r="Q55" i="59"/>
  <c r="C58" i="59"/>
  <c r="E58" i="59"/>
  <c r="E57" i="59" s="1"/>
  <c r="D59" i="59"/>
  <c r="C62" i="59"/>
  <c r="E62" i="59"/>
  <c r="E61" i="59" s="1"/>
  <c r="D63" i="59"/>
  <c r="C66" i="59"/>
  <c r="E66" i="59"/>
  <c r="E65" i="59" s="1"/>
  <c r="D67" i="59"/>
  <c r="C70" i="59"/>
  <c r="C74" i="59"/>
  <c r="D74" i="59" s="1"/>
  <c r="U16" i="4"/>
  <c r="S16" i="4"/>
  <c r="Q16" i="4"/>
  <c r="O16" i="4"/>
  <c r="N16" i="4" s="1"/>
  <c r="M16" i="4"/>
  <c r="K16" i="4"/>
  <c r="P53" i="59"/>
  <c r="C73" i="59"/>
  <c r="D73" i="59" s="1"/>
  <c r="D66" i="59"/>
  <c r="C65" i="59"/>
  <c r="D65" i="59"/>
  <c r="D58" i="59"/>
  <c r="C57" i="59"/>
  <c r="D57" i="59" s="1"/>
  <c r="C53" i="59"/>
  <c r="O53" i="59" s="1"/>
  <c r="O54" i="59"/>
  <c r="D54" i="59"/>
  <c r="D70" i="59"/>
  <c r="C69" i="59"/>
  <c r="D69" i="59" s="1"/>
  <c r="D62" i="59"/>
  <c r="C61" i="59"/>
  <c r="D61" i="59"/>
  <c r="N53" i="59"/>
  <c r="D22" i="59"/>
  <c r="C47" i="59"/>
  <c r="T47" i="59" s="1"/>
  <c r="D38" i="59"/>
  <c r="C27" i="59"/>
  <c r="D26" i="59"/>
  <c r="C19" i="59"/>
  <c r="D18" i="59"/>
  <c r="L16" i="4"/>
  <c r="K17" i="4" s="1"/>
  <c r="A22" i="51" s="1"/>
  <c r="B16" i="63" s="1"/>
  <c r="D47" i="59"/>
  <c r="T19" i="59"/>
  <c r="D19" i="59"/>
  <c r="T27" i="59"/>
  <c r="D27" i="59"/>
  <c r="D53"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s="1"/>
  <c r="C30" i="57"/>
  <c r="E26" i="57" s="1"/>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c r="H61" i="40"/>
  <c r="I61" i="40"/>
  <c r="C61" i="40" s="1"/>
  <c r="H60" i="40"/>
  <c r="H59" i="40"/>
  <c r="H58" i="40"/>
  <c r="I58" i="40" s="1"/>
  <c r="C58" i="40"/>
  <c r="H57" i="40"/>
  <c r="I57" i="40"/>
  <c r="C57" i="40" s="1"/>
  <c r="H56" i="40"/>
  <c r="I56" i="40" s="1"/>
  <c r="C56" i="40"/>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C109" i="9"/>
  <c r="C145" i="21"/>
  <c r="J142" i="21"/>
  <c r="J140" i="21"/>
  <c r="K139" i="21"/>
  <c r="K145" i="21" s="1"/>
  <c r="M87" i="21"/>
  <c r="L87" i="21"/>
  <c r="K87" i="21"/>
  <c r="J87" i="21"/>
  <c r="I87" i="21"/>
  <c r="H87" i="21"/>
  <c r="G87" i="21"/>
  <c r="F87" i="21"/>
  <c r="E87" i="21"/>
  <c r="D87" i="21"/>
  <c r="G2" i="46"/>
  <c r="H17" i="46" s="1"/>
  <c r="G19" i="46"/>
  <c r="P21"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D19" i="4"/>
  <c r="F8" i="1" s="1"/>
  <c r="I19" i="4"/>
  <c r="H19" i="4"/>
  <c r="G19" i="4"/>
  <c r="F9" i="1"/>
  <c r="AP9" i="1" s="1"/>
  <c r="F19" i="4"/>
  <c r="AP8" i="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L19" i="6" s="1"/>
  <c r="E22" i="6"/>
  <c r="E23" i="6"/>
  <c r="E24" i="6"/>
  <c r="E25" i="6"/>
  <c r="E26" i="6"/>
  <c r="D38" i="4"/>
  <c r="C39" i="4" s="1"/>
  <c r="C35" i="4"/>
  <c r="E16" i="12"/>
  <c r="F14" i="12"/>
  <c r="F15" i="12"/>
  <c r="F17" i="12"/>
  <c r="E19" i="12"/>
  <c r="E21" i="12"/>
  <c r="E22" i="12"/>
  <c r="F23" i="12"/>
  <c r="F24" i="12"/>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H10" i="39"/>
  <c r="AB10" i="39"/>
  <c r="H11" i="39"/>
  <c r="AB11" i="39"/>
  <c r="H36" i="39"/>
  <c r="AB36" i="39"/>
  <c r="J10" i="39"/>
  <c r="AC10" i="39"/>
  <c r="J11" i="39"/>
  <c r="AC11" i="39"/>
  <c r="J36" i="39"/>
  <c r="AC36" i="39"/>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c r="B23" i="1"/>
  <c r="BM14" i="3"/>
  <c r="BM15" i="3"/>
  <c r="BM16" i="3"/>
  <c r="BM17" i="3"/>
  <c r="BO14" i="3"/>
  <c r="BO15" i="3"/>
  <c r="BO16" i="3"/>
  <c r="BO17" i="3"/>
  <c r="BN14" i="3"/>
  <c r="BN15" i="3"/>
  <c r="BN16" i="3"/>
  <c r="BN17" i="3"/>
  <c r="BP14" i="3"/>
  <c r="BP15" i="3"/>
  <c r="BP5" i="3" s="1"/>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AC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AA42" i="39" s="1"/>
  <c r="B106" i="39"/>
  <c r="D99" i="39"/>
  <c r="E99" i="39"/>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G9" i="12"/>
  <c r="K5" i="3"/>
  <c r="E20" i="6" s="1"/>
  <c r="D3" i="69" s="1"/>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A570" i="3" s="1"/>
  <c r="AZ570" i="3" s="1"/>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AC5" i="3" s="1"/>
  <c r="BB11" i="3"/>
  <c r="BB10" i="3"/>
  <c r="AD5" i="3"/>
  <c r="AE5" i="3"/>
  <c r="AF5" i="3"/>
  <c r="AG5" i="3"/>
  <c r="AH5" i="3"/>
  <c r="AI5" i="3"/>
  <c r="AJ5" i="3"/>
  <c r="AK5" i="3"/>
  <c r="AM5" i="3"/>
  <c r="AN5" i="3"/>
  <c r="AO5" i="3"/>
  <c r="AP5" i="3"/>
  <c r="AQ5" i="3"/>
  <c r="AR5" i="3"/>
  <c r="AS5" i="3"/>
  <c r="AT5" i="3"/>
  <c r="L5" i="3"/>
  <c r="M5" i="3"/>
  <c r="E21" i="6" s="1"/>
  <c r="N5" i="3"/>
  <c r="O5" i="3"/>
  <c r="P5" i="3"/>
  <c r="Q5" i="3"/>
  <c r="R5" i="3"/>
  <c r="S5" i="3"/>
  <c r="T5" i="3"/>
  <c r="U5" i="3"/>
  <c r="V5" i="3"/>
  <c r="W5" i="3"/>
  <c r="X5" i="3"/>
  <c r="Y5" i="3"/>
  <c r="Z5" i="3"/>
  <c r="AA5" i="3"/>
  <c r="AB5" i="3"/>
  <c r="G570" i="3"/>
  <c r="F5" i="3"/>
  <c r="G27" i="6"/>
  <c r="F34" i="21"/>
  <c r="AA34" i="21" s="1"/>
  <c r="H34" i="21"/>
  <c r="U34" i="21" s="1"/>
  <c r="F43" i="21"/>
  <c r="S43" i="21" s="1"/>
  <c r="H38" i="21"/>
  <c r="AB38" i="21" s="1"/>
  <c r="H43" i="21"/>
  <c r="AB43" i="21" s="1"/>
  <c r="F38" i="21"/>
  <c r="S38" i="21"/>
  <c r="F36" i="21"/>
  <c r="S36" i="21"/>
  <c r="F39" i="21"/>
  <c r="AA39" i="21"/>
  <c r="J40" i="21"/>
  <c r="W40" i="21"/>
  <c r="H35" i="21"/>
  <c r="AB35" i="21"/>
  <c r="J8" i="21"/>
  <c r="AC8" i="21" s="1"/>
  <c r="J9" i="21"/>
  <c r="AC9" i="21" s="1"/>
  <c r="H8" i="21"/>
  <c r="H9" i="21"/>
  <c r="AB9" i="21"/>
  <c r="H10" i="21"/>
  <c r="U10" i="21"/>
  <c r="H39" i="21"/>
  <c r="AB39" i="21" s="1"/>
  <c r="J34" i="21"/>
  <c r="W34" i="21" s="1"/>
  <c r="H36" i="21"/>
  <c r="U36" i="21" s="1"/>
  <c r="F35" i="21"/>
  <c r="AA35" i="21" s="1"/>
  <c r="J10" i="21"/>
  <c r="AC10" i="21"/>
  <c r="H26" i="2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BA572" i="3"/>
  <c r="AZ572" i="3" s="1"/>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A569" i="3"/>
  <c r="AZ569" i="3" s="1"/>
  <c r="BL561" i="3"/>
  <c r="BL557" i="3"/>
  <c r="BL553" i="3"/>
  <c r="BL545" i="3"/>
  <c r="BL535" i="3"/>
  <c r="BL527" i="3"/>
  <c r="BL519" i="3"/>
  <c r="BL511" i="3"/>
  <c r="BL501" i="3"/>
  <c r="BL491" i="3"/>
  <c r="BL483" i="3"/>
  <c r="G16" i="3"/>
  <c r="BL563" i="3"/>
  <c r="BL559" i="3"/>
  <c r="BA559" i="3"/>
  <c r="AZ559" i="3" s="1"/>
  <c r="BL555" i="3"/>
  <c r="BL551" i="3"/>
  <c r="BL541" i="3"/>
  <c r="BL533" i="3"/>
  <c r="BL525" i="3"/>
  <c r="G518" i="3"/>
  <c r="G514" i="3"/>
  <c r="G510" i="3"/>
  <c r="BL503" i="3"/>
  <c r="BL495" i="3"/>
  <c r="BL485" i="3"/>
  <c r="BA565" i="3"/>
  <c r="BA561" i="3"/>
  <c r="AZ561" i="3" s="1"/>
  <c r="BA557" i="3"/>
  <c r="AZ557" i="3" s="1"/>
  <c r="BA555" i="3"/>
  <c r="AZ555" i="3" s="1"/>
  <c r="BA551" i="3"/>
  <c r="AZ551" i="3" s="1"/>
  <c r="BA545" i="3"/>
  <c r="AZ545" i="3" s="1"/>
  <c r="BA543" i="3"/>
  <c r="BA541" i="3"/>
  <c r="AZ541" i="3" s="1"/>
  <c r="BA531" i="3"/>
  <c r="BA521" i="3"/>
  <c r="BA509" i="3"/>
  <c r="BA505" i="3"/>
  <c r="BA501" i="3"/>
  <c r="BA493" i="3"/>
  <c r="BL493" i="3"/>
  <c r="AZ493" i="3" s="1"/>
  <c r="BA487" i="3"/>
  <c r="BA566" i="3"/>
  <c r="BA562" i="3"/>
  <c r="BA560" i="3"/>
  <c r="BA558" i="3"/>
  <c r="BA556" i="3"/>
  <c r="AZ556" i="3" s="1"/>
  <c r="BA554" i="3"/>
  <c r="BA550" i="3"/>
  <c r="AZ550" i="3" s="1"/>
  <c r="BQ550" i="3"/>
  <c r="BL550" i="3"/>
  <c r="BA546" i="3"/>
  <c r="BA544" i="3"/>
  <c r="BA540" i="3"/>
  <c r="BA536" i="3"/>
  <c r="BA532" i="3"/>
  <c r="BA528" i="3"/>
  <c r="BA524" i="3"/>
  <c r="BA520" i="3"/>
  <c r="BQ520" i="3"/>
  <c r="BL520" i="3" s="1"/>
  <c r="AZ520" i="3" s="1"/>
  <c r="BA516" i="3"/>
  <c r="BA512" i="3"/>
  <c r="BA508" i="3"/>
  <c r="BA502" i="3"/>
  <c r="AZ502" i="3" s="1"/>
  <c r="BQ502" i="3"/>
  <c r="BL502" i="3"/>
  <c r="BA498" i="3"/>
  <c r="BA492" i="3"/>
  <c r="BQ492" i="3"/>
  <c r="BL492" i="3" s="1"/>
  <c r="AZ492" i="3" s="1"/>
  <c r="BA488" i="3"/>
  <c r="BA484" i="3"/>
  <c r="AZ484" i="3" s="1"/>
  <c r="BQ484" i="3"/>
  <c r="BL484"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18" i="3"/>
  <c r="BQ516" i="3"/>
  <c r="BL516" i="3" s="1"/>
  <c r="AZ516" i="3" s="1"/>
  <c r="BQ514" i="3"/>
  <c r="BL514" i="3" s="1"/>
  <c r="AZ514" i="3" s="1"/>
  <c r="BQ512" i="3"/>
  <c r="BQ510" i="3"/>
  <c r="BL510" i="3"/>
  <c r="BQ508" i="3"/>
  <c r="BL508" i="3"/>
  <c r="AC506" i="3"/>
  <c r="G506" i="3" s="1"/>
  <c r="BQ506" i="3"/>
  <c r="G502" i="3"/>
  <c r="G498" i="3"/>
  <c r="BQ504" i="3"/>
  <c r="BQ500" i="3"/>
  <c r="BL500" i="3" s="1"/>
  <c r="BQ498" i="3"/>
  <c r="BQ496" i="3"/>
  <c r="AC494" i="3"/>
  <c r="BQ494" i="3"/>
  <c r="G492" i="3"/>
  <c r="G488" i="3"/>
  <c r="G484" i="3"/>
  <c r="BQ490" i="3"/>
  <c r="BQ488" i="3"/>
  <c r="BL488" i="3"/>
  <c r="BQ486" i="3"/>
  <c r="BQ482" i="3"/>
  <c r="BL482" i="3" s="1"/>
  <c r="BQ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c r="I107" i="37" s="1"/>
  <c r="J107" i="37" s="1"/>
  <c r="K107" i="37" s="1"/>
  <c r="L107" i="37" s="1"/>
  <c r="M107" i="37" s="1"/>
  <c r="AA9" i="21"/>
  <c r="H19" i="34"/>
  <c r="AB19" i="34"/>
  <c r="J10" i="37"/>
  <c r="W10" i="37"/>
  <c r="F36" i="35"/>
  <c r="S36" i="35"/>
  <c r="J9" i="37"/>
  <c r="W9" i="37"/>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U12" i="37"/>
  <c r="AB10" i="37"/>
  <c r="J11" i="37"/>
  <c r="W11" i="37"/>
  <c r="U31" i="37"/>
  <c r="E90" i="40"/>
  <c r="F21" i="40"/>
  <c r="S21" i="40" s="1"/>
  <c r="W36" i="40"/>
  <c r="F90" i="40"/>
  <c r="J21" i="40"/>
  <c r="AC21" i="40" s="1"/>
  <c r="G90" i="40"/>
  <c r="S27" i="31"/>
  <c r="AZ558" i="3"/>
  <c r="AZ540" i="3"/>
  <c r="AZ560" i="3"/>
  <c r="G483" i="3"/>
  <c r="G515" i="3"/>
  <c r="G507" i="3"/>
  <c r="G501" i="3"/>
  <c r="BL17" i="3"/>
  <c r="H13" i="40"/>
  <c r="U13" i="40"/>
  <c r="H12" i="48"/>
  <c r="I4" i="4"/>
  <c r="K141" i="21"/>
  <c r="K143" i="21"/>
  <c r="K144" i="21"/>
  <c r="I59" i="40"/>
  <c r="C59" i="40" s="1"/>
  <c r="I60" i="40"/>
  <c r="C60" i="40" s="1"/>
  <c r="W9" i="33"/>
  <c r="G297" i="3"/>
  <c r="BL298" i="3"/>
  <c r="G299" i="3"/>
  <c r="BL300" i="3"/>
  <c r="BA302" i="3"/>
  <c r="AZ302" i="3"/>
  <c r="BA303" i="3"/>
  <c r="BL303" i="3"/>
  <c r="AZ303" i="3" s="1"/>
  <c r="G304" i="3"/>
  <c r="BA305" i="3"/>
  <c r="BL305" i="3"/>
  <c r="AZ305" i="3"/>
  <c r="G321" i="3"/>
  <c r="BL322" i="3"/>
  <c r="G323" i="3"/>
  <c r="BL324" i="3"/>
  <c r="BA326" i="3"/>
  <c r="AZ326" i="3"/>
  <c r="BA327" i="3"/>
  <c r="BL327" i="3"/>
  <c r="AZ327" i="3" s="1"/>
  <c r="G328" i="3"/>
  <c r="BA329" i="3"/>
  <c r="BL329" i="3"/>
  <c r="AZ329" i="3" s="1"/>
  <c r="G337" i="3"/>
  <c r="BL338" i="3"/>
  <c r="G339" i="3"/>
  <c r="BL340" i="3"/>
  <c r="BA342" i="3"/>
  <c r="AZ342" i="3" s="1"/>
  <c r="BA343" i="3"/>
  <c r="BL343" i="3"/>
  <c r="AZ343" i="3"/>
  <c r="G344" i="3"/>
  <c r="BA345" i="3"/>
  <c r="BL345" i="3"/>
  <c r="AZ345" i="3"/>
  <c r="G353" i="3"/>
  <c r="BL354" i="3"/>
  <c r="G355" i="3"/>
  <c r="BL356" i="3"/>
  <c r="G357" i="3"/>
  <c r="BL358" i="3"/>
  <c r="BA358" i="3"/>
  <c r="AZ358" i="3"/>
  <c r="G359" i="3"/>
  <c r="BA360" i="3"/>
  <c r="AZ360" i="3" s="1"/>
  <c r="BA361" i="3"/>
  <c r="AZ361" i="3" s="1"/>
  <c r="BL361" i="3"/>
  <c r="G362" i="3"/>
  <c r="BA363" i="3"/>
  <c r="G371" i="3"/>
  <c r="BL372" i="3"/>
  <c r="G373" i="3"/>
  <c r="BL374" i="3"/>
  <c r="BA376" i="3"/>
  <c r="AZ376" i="3" s="1"/>
  <c r="BA377" i="3"/>
  <c r="BL377" i="3"/>
  <c r="AZ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AZ299" i="3"/>
  <c r="G300" i="3"/>
  <c r="G303" i="3"/>
  <c r="BL304" i="3"/>
  <c r="BA306" i="3"/>
  <c r="AZ306" i="3" s="1"/>
  <c r="BA307" i="3"/>
  <c r="BL307" i="3"/>
  <c r="AZ307" i="3"/>
  <c r="G308" i="3"/>
  <c r="G319" i="3"/>
  <c r="BL320" i="3"/>
  <c r="BA322" i="3"/>
  <c r="BA323" i="3"/>
  <c r="BL323" i="3"/>
  <c r="AZ323" i="3" s="1"/>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BL355" i="3"/>
  <c r="AZ355" i="3" s="1"/>
  <c r="G356" i="3"/>
  <c r="AZ143" i="3"/>
  <c r="BA359" i="3"/>
  <c r="BL359" i="3"/>
  <c r="AZ359" i="3" s="1"/>
  <c r="G360" i="3"/>
  <c r="G361" i="3"/>
  <c r="BL362" i="3"/>
  <c r="BA364" i="3"/>
  <c r="AZ364" i="3"/>
  <c r="BA365" i="3"/>
  <c r="BL365" i="3"/>
  <c r="AZ365" i="3" s="1"/>
  <c r="G366" i="3"/>
  <c r="G369" i="3"/>
  <c r="BL370" i="3"/>
  <c r="BA370" i="3"/>
  <c r="AZ370" i="3"/>
  <c r="BA372" i="3"/>
  <c r="AZ372" i="3"/>
  <c r="BA373" i="3"/>
  <c r="BL373" i="3"/>
  <c r="AZ373" i="3" s="1"/>
  <c r="G374" i="3"/>
  <c r="G377" i="3"/>
  <c r="BL378" i="3"/>
  <c r="BA380" i="3"/>
  <c r="AZ380" i="3"/>
  <c r="BA381" i="3"/>
  <c r="BL381" i="3"/>
  <c r="AZ381" i="3" s="1"/>
  <c r="G382" i="3"/>
  <c r="G385" i="3"/>
  <c r="AZ154" i="3"/>
  <c r="AZ162" i="3"/>
  <c r="AZ170" i="3"/>
  <c r="AZ179" i="3"/>
  <c r="AZ183" i="3"/>
  <c r="AZ187" i="3"/>
  <c r="AZ191" i="3"/>
  <c r="AZ195" i="3"/>
  <c r="AZ199" i="3"/>
  <c r="AZ203" i="3"/>
  <c r="G523" i="3"/>
  <c r="BL297" i="3"/>
  <c r="AZ297" i="3" s="1"/>
  <c r="G298" i="3"/>
  <c r="BA300" i="3"/>
  <c r="BL301" i="3"/>
  <c r="AZ301" i="3" s="1"/>
  <c r="G302" i="3"/>
  <c r="BA304" i="3"/>
  <c r="AZ304" i="3"/>
  <c r="G306" i="3"/>
  <c r="BA308" i="3"/>
  <c r="AZ308" i="3" s="1"/>
  <c r="BL309" i="3"/>
  <c r="G310" i="3"/>
  <c r="BA310" i="3"/>
  <c r="AZ310" i="3" s="1"/>
  <c r="BL311" i="3"/>
  <c r="G312" i="3"/>
  <c r="BA312" i="3"/>
  <c r="AZ312" i="3" s="1"/>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G330" i="3"/>
  <c r="BA332" i="3"/>
  <c r="AZ332" i="3"/>
  <c r="BL333" i="3"/>
  <c r="G334" i="3"/>
  <c r="BA336" i="3"/>
  <c r="AZ336" i="3"/>
  <c r="BL337" i="3"/>
  <c r="G338" i="3"/>
  <c r="BA340" i="3"/>
  <c r="AZ340" i="3"/>
  <c r="BL341" i="3"/>
  <c r="G342" i="3"/>
  <c r="BA344" i="3"/>
  <c r="AZ344"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AB26" i="21"/>
  <c r="U26" i="21"/>
  <c r="U39" i="21"/>
  <c r="W9" i="2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s="1"/>
  <c r="J32" i="33"/>
  <c r="AC32" i="33" s="1"/>
  <c r="F35" i="33"/>
  <c r="AA35" i="33" s="1"/>
  <c r="AB39" i="34"/>
  <c r="F11" i="34"/>
  <c r="S11" i="34"/>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H29" i="39"/>
  <c r="U29" i="39"/>
  <c r="F34" i="39"/>
  <c r="AA34" i="39"/>
  <c r="H34" i="39"/>
  <c r="AB34" i="39"/>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F36" i="44"/>
  <c r="F114" i="34"/>
  <c r="G114" i="34"/>
  <c r="H114" i="34" s="1"/>
  <c r="I114" i="34" s="1"/>
  <c r="J114" i="34" s="1"/>
  <c r="K114" i="34" s="1"/>
  <c r="L114" i="34" s="1"/>
  <c r="M114" i="34" s="1"/>
  <c r="H38" i="34"/>
  <c r="U38" i="34" s="1"/>
  <c r="H30" i="40"/>
  <c r="AB30" i="40" s="1"/>
  <c r="G100" i="40"/>
  <c r="J30" i="40"/>
  <c r="AC30" i="40"/>
  <c r="F38" i="40"/>
  <c r="AA38" i="40" s="1"/>
  <c r="AA36" i="34"/>
  <c r="AC12" i="21"/>
  <c r="W12"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J23" i="39"/>
  <c r="AC23"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c r="B11" i="1"/>
  <c r="E11" i="1" s="1"/>
  <c r="K11" i="1"/>
  <c r="M11" i="1" s="1"/>
  <c r="O11" i="1" s="1"/>
  <c r="P11" i="1" s="1"/>
  <c r="B9" i="1"/>
  <c r="E9" i="1" s="1"/>
  <c r="K9" i="1"/>
  <c r="M9" i="1" s="1"/>
  <c r="O9" i="1" s="1"/>
  <c r="P9" i="1" s="1"/>
  <c r="B7" i="1"/>
  <c r="E7" i="1" s="1"/>
  <c r="K7" i="1"/>
  <c r="M7" i="1" s="1"/>
  <c r="O7" i="1" s="1"/>
  <c r="C20" i="43"/>
  <c r="F6" i="1"/>
  <c r="AP6" i="1" s="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H23" i="21"/>
  <c r="W17" i="21"/>
  <c r="J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AC21" i="39"/>
  <c r="AC17" i="39"/>
  <c r="S14" i="39"/>
  <c r="AB15" i="39"/>
  <c r="U11" i="39"/>
  <c r="U41" i="39"/>
  <c r="AB38" i="39"/>
  <c r="U31" i="39"/>
  <c r="AB31" i="39"/>
  <c r="S25" i="39"/>
  <c r="S38" i="39"/>
  <c r="S22" i="31"/>
  <c r="D18" i="9"/>
  <c r="M44" i="9"/>
  <c r="M43" i="9"/>
  <c r="B22" i="63"/>
  <c r="M20" i="15"/>
  <c r="D96" i="9"/>
  <c r="F28" i="15"/>
  <c r="M18" i="15"/>
  <c r="F3" i="35"/>
  <c r="K1" i="43"/>
  <c r="K1" i="12"/>
  <c r="G1" i="44"/>
  <c r="I4" i="6"/>
  <c r="G3" i="46"/>
  <c r="H22" i="46" s="1"/>
  <c r="BK5" i="3"/>
  <c r="BS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46" i="50"/>
  <c r="B4" i="63" s="1"/>
  <c r="C52" i="37"/>
  <c r="D52" i="37" s="1"/>
  <c r="E52" i="37" s="1"/>
  <c r="F52" i="37" s="1"/>
  <c r="G52" i="37" s="1"/>
  <c r="H52" i="37" s="1"/>
  <c r="I52" i="37" s="1"/>
  <c r="J52" i="37" s="1"/>
  <c r="K52" i="37" s="1"/>
  <c r="L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S34"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J18" i="36"/>
  <c r="AC18" i="36" s="1"/>
  <c r="AE8" i="1"/>
  <c r="AE7" i="1"/>
  <c r="AE6" i="1"/>
  <c r="W18" i="36"/>
  <c r="AG6" i="1"/>
  <c r="L20" i="6"/>
  <c r="S9" i="1"/>
  <c r="C45" i="9"/>
  <c r="H14" i="66"/>
  <c r="B7" i="66" s="1"/>
  <c r="R9" i="1"/>
  <c r="O40" i="9"/>
  <c r="K31" i="9"/>
  <c r="K32" i="9" s="1"/>
  <c r="R7" i="54"/>
  <c r="B52" i="63" s="1"/>
  <c r="N76" i="9"/>
  <c r="C46" i="9"/>
  <c r="K33" i="9"/>
  <c r="O41" i="9"/>
  <c r="R8" i="54" s="1"/>
  <c r="K34" i="9"/>
  <c r="B54" i="63"/>
  <c r="D58" i="33"/>
  <c r="E58" i="33" s="1"/>
  <c r="F58" i="33" s="1"/>
  <c r="H58" i="46"/>
  <c r="J17" i="46"/>
  <c r="C17" i="46"/>
  <c r="F34" i="46"/>
  <c r="F38" i="46"/>
  <c r="F37" i="46"/>
  <c r="H113" i="46"/>
  <c r="H49" i="46"/>
  <c r="H53" i="46"/>
  <c r="D10" i="59"/>
  <c r="C9" i="59"/>
  <c r="D9" i="59"/>
  <c r="E6" i="59"/>
  <c r="E5" i="59"/>
  <c r="U7" i="59"/>
  <c r="F10" i="59"/>
  <c r="F9" i="59" s="1"/>
  <c r="F8" i="59" s="1"/>
  <c r="F7" i="59" s="1"/>
  <c r="Y9" i="59"/>
  <c r="Z9" i="59" s="1"/>
  <c r="AA9" i="59"/>
  <c r="AB9" i="59"/>
  <c r="Y8" i="59"/>
  <c r="Z8" i="59" s="1"/>
  <c r="Y7" i="59"/>
  <c r="Z7" i="59" s="1"/>
  <c r="Z5" i="59"/>
  <c r="Y6" i="59"/>
  <c r="Z6" i="59"/>
  <c r="AB8" i="59"/>
  <c r="AB7" i="59"/>
  <c r="AB6" i="59"/>
  <c r="AA11" i="59"/>
  <c r="X9" i="59"/>
  <c r="X7" i="59"/>
  <c r="X6" i="59"/>
  <c r="AA7" i="59"/>
  <c r="AA6" i="59"/>
  <c r="H51" i="46"/>
  <c r="X7" i="46"/>
  <c r="E17" i="46"/>
  <c r="N17" i="46"/>
  <c r="O17" i="46"/>
  <c r="M17" i="46"/>
  <c r="L17" i="46"/>
  <c r="O13" i="1"/>
  <c r="P13" i="1" s="1"/>
  <c r="H70" i="46"/>
  <c r="H73" i="46"/>
  <c r="H50" i="46"/>
  <c r="H48" i="46"/>
  <c r="F35" i="46"/>
  <c r="I17" i="46"/>
  <c r="G17" i="46"/>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s="1"/>
  <c r="B8" i="59"/>
  <c r="B7" i="59"/>
  <c r="S7" i="59" s="1"/>
  <c r="D8" i="59"/>
  <c r="P23" i="46"/>
  <c r="F33" i="44"/>
  <c r="F31" i="15"/>
  <c r="F58" i="15"/>
  <c r="M17" i="15"/>
  <c r="M19" i="44"/>
  <c r="B6" i="59"/>
  <c r="B5" i="59" s="1"/>
  <c r="C7" i="46"/>
  <c r="G20" i="46"/>
  <c r="E41" i="46" s="1"/>
  <c r="C41" i="46" s="1"/>
  <c r="N4" i="65"/>
  <c r="B8" i="67"/>
  <c r="F39" i="44"/>
  <c r="F8" i="15"/>
  <c r="M25" i="44"/>
  <c r="M28" i="44"/>
  <c r="M23" i="15"/>
  <c r="J15" i="15"/>
  <c r="L49" i="44"/>
  <c r="F38" i="15"/>
  <c r="B13" i="67"/>
  <c r="M8" i="15"/>
  <c r="F14" i="67"/>
  <c r="M11" i="44"/>
  <c r="F43" i="44"/>
  <c r="F38" i="44"/>
  <c r="N7" i="65"/>
  <c r="E10" i="67"/>
  <c r="E9" i="67"/>
  <c r="J17" i="44"/>
  <c r="F8" i="44"/>
  <c r="B12" i="67"/>
  <c r="F36" i="15"/>
  <c r="F15" i="44"/>
  <c r="F8" i="67"/>
  <c r="F18" i="44"/>
  <c r="M23" i="44"/>
  <c r="M10" i="44"/>
  <c r="M21" i="15"/>
  <c r="F7" i="15"/>
  <c r="M29" i="44"/>
  <c r="L48" i="15"/>
  <c r="L48" i="44"/>
  <c r="F16" i="15"/>
  <c r="F10" i="67"/>
  <c r="F46" i="44"/>
  <c r="F40" i="44"/>
  <c r="F13" i="15"/>
  <c r="E14" i="67"/>
  <c r="M30" i="44"/>
  <c r="B10" i="67"/>
  <c r="M28" i="15"/>
  <c r="M27" i="15"/>
  <c r="M24" i="44"/>
  <c r="C19" i="44"/>
  <c r="M24" i="15"/>
  <c r="F12" i="67"/>
  <c r="E13" i="67"/>
  <c r="F40" i="15"/>
  <c r="F28" i="44"/>
  <c r="F35" i="15"/>
  <c r="N3" i="65"/>
  <c r="M29" i="15"/>
  <c r="N5" i="65"/>
  <c r="F6" i="15"/>
  <c r="M9" i="15"/>
  <c r="M8" i="44"/>
  <c r="F26" i="15"/>
  <c r="E11" i="67"/>
  <c r="F43" i="15"/>
  <c r="F9" i="15"/>
  <c r="N6" i="65"/>
  <c r="M26" i="44"/>
  <c r="M31" i="44"/>
  <c r="B9" i="67"/>
  <c r="B14" i="67"/>
  <c r="M6" i="15"/>
  <c r="F13" i="67"/>
  <c r="E12" i="67"/>
  <c r="F41" i="15"/>
  <c r="E8" i="67"/>
  <c r="F42" i="15"/>
  <c r="M22" i="15"/>
  <c r="B11" i="67"/>
  <c r="M26" i="15"/>
  <c r="F37" i="15"/>
  <c r="L47" i="15"/>
  <c r="F37" i="44"/>
  <c r="F9" i="67"/>
  <c r="F11" i="67"/>
  <c r="F9" i="44"/>
  <c r="J36" i="15"/>
  <c r="F10" i="44"/>
  <c r="F11" i="44"/>
  <c r="F45" i="44"/>
  <c r="F23" i="39" l="1"/>
  <c r="F97" i="39"/>
  <c r="G97" i="39" s="1"/>
  <c r="H23" i="39"/>
  <c r="AB23" i="39" s="1"/>
  <c r="AC31" i="39"/>
  <c r="U23" i="39"/>
  <c r="S17" i="39"/>
  <c r="AB40" i="39"/>
  <c r="U40" i="39"/>
  <c r="G8" i="1"/>
  <c r="BL13" i="3"/>
  <c r="BA13" i="3"/>
  <c r="W40" i="39"/>
  <c r="S40" i="39"/>
  <c r="D9" i="12"/>
  <c r="BA20" i="3"/>
  <c r="G20" i="3"/>
  <c r="BA19" i="3"/>
  <c r="BD5" i="3"/>
  <c r="BA14" i="3"/>
  <c r="AZ14" i="3" s="1"/>
  <c r="BA17" i="3"/>
  <c r="BA21" i="3"/>
  <c r="AZ21" i="3" s="1"/>
  <c r="BA26" i="3"/>
  <c r="AB11" i="46"/>
  <c r="AB13" i="46" s="1"/>
  <c r="AF11" i="46"/>
  <c r="AF13" i="46" s="1"/>
  <c r="AA11" i="46"/>
  <c r="AA13" i="46" s="1"/>
  <c r="E22" i="46"/>
  <c r="F22" i="46"/>
  <c r="J101" i="46"/>
  <c r="J102" i="46" s="1"/>
  <c r="AJ11" i="46"/>
  <c r="AJ13" i="46" s="1"/>
  <c r="J22" i="46"/>
  <c r="C23" i="46"/>
  <c r="C21" i="46" s="1"/>
  <c r="AE11" i="46"/>
  <c r="AE13" i="46" s="1"/>
  <c r="AI11" i="46"/>
  <c r="AI13" i="46" s="1"/>
  <c r="Z11" i="46"/>
  <c r="Z13" i="46" s="1"/>
  <c r="Z7" i="46"/>
  <c r="N104" i="45"/>
  <c r="C101" i="46"/>
  <c r="P7" i="1"/>
  <c r="AZ13" i="3"/>
  <c r="G13" i="3"/>
  <c r="BL19" i="3"/>
  <c r="AZ19" i="3" s="1"/>
  <c r="AZ17" i="3"/>
  <c r="G22" i="3"/>
  <c r="BL23" i="3"/>
  <c r="AZ23" i="3" s="1"/>
  <c r="G24" i="3"/>
  <c r="BL25" i="3"/>
  <c r="G26" i="3"/>
  <c r="BL27" i="3"/>
  <c r="AZ27" i="3" s="1"/>
  <c r="AZ28" i="3"/>
  <c r="BC5" i="3"/>
  <c r="BA16" i="3"/>
  <c r="AZ16" i="3" s="1"/>
  <c r="BA15" i="3"/>
  <c r="BF5" i="3"/>
  <c r="BE5" i="3"/>
  <c r="BR5" i="3"/>
  <c r="BQ5" i="3"/>
  <c r="F28" i="6" s="1"/>
  <c r="BN5" i="3"/>
  <c r="G29" i="6" s="1"/>
  <c r="BO5" i="3"/>
  <c r="BL15" i="3"/>
  <c r="BM5" i="3"/>
  <c r="F29" i="6" s="1"/>
  <c r="J104" i="46"/>
  <c r="O12" i="1"/>
  <c r="P12" i="1" s="1"/>
  <c r="Y11" i="46"/>
  <c r="Y13" i="46" s="1"/>
  <c r="H101" i="46"/>
  <c r="G22" i="46"/>
  <c r="F101" i="46"/>
  <c r="D101" i="46"/>
  <c r="I101" i="46"/>
  <c r="M101" i="46"/>
  <c r="N101" i="46"/>
  <c r="AC11" i="46"/>
  <c r="AC13" i="46" s="1"/>
  <c r="AD11" i="46"/>
  <c r="AD13" i="46" s="1"/>
  <c r="G101" i="46"/>
  <c r="B113" i="46"/>
  <c r="L101" i="46"/>
  <c r="E101" i="46"/>
  <c r="K101" i="46"/>
  <c r="AG11" i="46"/>
  <c r="AG13" i="46" s="1"/>
  <c r="AH11" i="46"/>
  <c r="AH13" i="46" s="1"/>
  <c r="BL20" i="3"/>
  <c r="BI5" i="3"/>
  <c r="L27" i="6"/>
  <c r="BT5" i="3"/>
  <c r="BG5" i="3"/>
  <c r="BL22" i="3"/>
  <c r="AZ22" i="3" s="1"/>
  <c r="BA24" i="3"/>
  <c r="AZ24" i="3" s="1"/>
  <c r="BA25" i="3"/>
  <c r="AZ25" i="3" s="1"/>
  <c r="E8" i="52"/>
  <c r="E21" i="52"/>
  <c r="B10" i="52"/>
  <c r="L5" i="54"/>
  <c r="B39" i="63" s="1"/>
  <c r="A18" i="51"/>
  <c r="B14" i="63" s="1"/>
  <c r="K5" i="54"/>
  <c r="B38" i="63" s="1"/>
  <c r="A18" i="64"/>
  <c r="B74" i="63" s="1"/>
  <c r="C53" i="10"/>
  <c r="T41" i="4"/>
  <c r="A17" i="64" s="1"/>
  <c r="AP7" i="1"/>
  <c r="G13" i="1"/>
  <c r="B16" i="52"/>
  <c r="E17" i="52"/>
  <c r="B7" i="52"/>
  <c r="G6" i="1"/>
  <c r="A9" i="51"/>
  <c r="B9" i="63" s="1"/>
  <c r="J57" i="39"/>
  <c r="K77" i="9"/>
  <c r="K79" i="9" s="1"/>
  <c r="K81" i="9" s="1"/>
  <c r="C67" i="40"/>
  <c r="D65" i="40"/>
  <c r="C25" i="12"/>
  <c r="C31" i="43"/>
  <c r="C30" i="44"/>
  <c r="C27" i="43"/>
  <c r="C28" i="15"/>
  <c r="B13" i="52"/>
  <c r="B5" i="52"/>
  <c r="E15" i="52"/>
  <c r="B4" i="52"/>
  <c r="E22" i="52"/>
  <c r="P24" i="46"/>
  <c r="B68" i="40" s="1"/>
  <c r="P25" i="46"/>
  <c r="B73" i="39" s="1"/>
  <c r="P22" i="46"/>
  <c r="E6" i="52"/>
  <c r="H1" i="65"/>
  <c r="C19" i="46"/>
  <c r="G11" i="1"/>
  <c r="C7" i="21"/>
  <c r="C58" i="21" s="1"/>
  <c r="D58" i="21" s="1"/>
  <c r="E58" i="21" s="1"/>
  <c r="F58" i="21" s="1"/>
  <c r="G58" i="21" s="1"/>
  <c r="C7" i="34"/>
  <c r="C59" i="34" s="1"/>
  <c r="D59" i="34" s="1"/>
  <c r="E59" i="34" s="1"/>
  <c r="F59" i="34" s="1"/>
  <c r="C7" i="35"/>
  <c r="C48" i="35" s="1"/>
  <c r="D48" i="35" s="1"/>
  <c r="E48" i="35" s="1"/>
  <c r="F48" i="35" s="1"/>
  <c r="G48" i="35" s="1"/>
  <c r="H48" i="35" s="1"/>
  <c r="I48" i="35" s="1"/>
  <c r="J48" i="35" s="1"/>
  <c r="C7" i="36"/>
  <c r="C46" i="36" s="1"/>
  <c r="D46" i="36" s="1"/>
  <c r="E46" i="36" s="1"/>
  <c r="F46" i="36" s="1"/>
  <c r="G46" i="36" s="1"/>
  <c r="H46" i="36" s="1"/>
  <c r="C9" i="39"/>
  <c r="C70" i="39" s="1"/>
  <c r="N67" i="9"/>
  <c r="E10" i="52"/>
  <c r="B8" i="52"/>
  <c r="B9" i="52"/>
  <c r="E16" i="52"/>
  <c r="B14" i="52"/>
  <c r="E11" i="52"/>
  <c r="E9" i="52"/>
  <c r="B11" i="52"/>
  <c r="B22" i="52"/>
  <c r="E5" i="52"/>
  <c r="E4" i="52"/>
  <c r="B6" i="52"/>
  <c r="E14" i="52"/>
  <c r="E7" i="52"/>
  <c r="C4" i="4" s="1"/>
  <c r="B20" i="55" s="1"/>
  <c r="B70" i="63" s="1"/>
  <c r="E13" i="52"/>
  <c r="E4" i="4" s="1"/>
  <c r="B21" i="55" s="1"/>
  <c r="B72" i="63" s="1"/>
  <c r="Q72" i="15"/>
  <c r="M9" i="44"/>
  <c r="J8" i="44" s="1"/>
  <c r="C36" i="44"/>
  <c r="L58" i="15"/>
  <c r="L59" i="15"/>
  <c r="F64" i="15"/>
  <c r="L59" i="44"/>
  <c r="L60" i="44"/>
  <c r="I54" i="15"/>
  <c r="L56" i="15"/>
  <c r="J57" i="15"/>
  <c r="J55" i="15" s="1"/>
  <c r="J58" i="15" s="1"/>
  <c r="Q51" i="15" s="1"/>
  <c r="J53" i="15"/>
  <c r="M7" i="15"/>
  <c r="J6" i="15" s="1"/>
  <c r="F49" i="15"/>
  <c r="J20" i="15"/>
  <c r="F68" i="15"/>
  <c r="J22" i="44"/>
  <c r="F63" i="15"/>
  <c r="C8" i="44"/>
  <c r="F70" i="15"/>
  <c r="C27" i="15"/>
  <c r="Q73" i="44"/>
  <c r="C6" i="15"/>
  <c r="F65" i="15"/>
  <c r="J54" i="44"/>
  <c r="J58" i="44"/>
  <c r="J56" i="44" s="1"/>
  <c r="J59" i="44" s="1"/>
  <c r="Q52" i="44" s="1"/>
  <c r="L57" i="44"/>
  <c r="J60" i="44"/>
  <c r="I55" i="44"/>
  <c r="J61" i="44"/>
  <c r="Q50" i="44" s="1"/>
  <c r="F62" i="15"/>
  <c r="C61" i="15" s="1"/>
  <c r="C34" i="15"/>
  <c r="C29" i="44"/>
  <c r="F67" i="15"/>
  <c r="F50" i="15"/>
  <c r="C4" i="65"/>
  <c r="B39" i="1" s="1"/>
  <c r="J7" i="37"/>
  <c r="M52" i="37"/>
  <c r="N52" i="37" s="1"/>
  <c r="O52" i="37" s="1"/>
  <c r="F7" i="37"/>
  <c r="H7" i="37"/>
  <c r="K48" i="35"/>
  <c r="L48" i="35" s="1"/>
  <c r="M48" i="35" s="1"/>
  <c r="N48" i="35" s="1"/>
  <c r="O48" i="35" s="1"/>
  <c r="I46" i="36"/>
  <c r="J46" i="36" s="1"/>
  <c r="K46" i="36" s="1"/>
  <c r="L46" i="36" s="1"/>
  <c r="M46" i="36" s="1"/>
  <c r="N46" i="36" s="1"/>
  <c r="O46" i="36" s="1"/>
  <c r="G59" i="34"/>
  <c r="H59" i="34" s="1"/>
  <c r="I59" i="34" s="1"/>
  <c r="J59" i="34" s="1"/>
  <c r="K59" i="34" s="1"/>
  <c r="L59" i="34" s="1"/>
  <c r="M59" i="34" s="1"/>
  <c r="N59" i="34" s="1"/>
  <c r="O59" i="34" s="1"/>
  <c r="J7" i="34"/>
  <c r="T7" i="59"/>
  <c r="D7" i="59"/>
  <c r="C6" i="59"/>
  <c r="C5" i="46"/>
  <c r="D5" i="46"/>
  <c r="F6" i="59"/>
  <c r="F5" i="59" s="1"/>
  <c r="V7" i="59"/>
  <c r="G58" i="33"/>
  <c r="H58" i="33" s="1"/>
  <c r="I58" i="33" s="1"/>
  <c r="J58" i="33" s="1"/>
  <c r="K58" i="33" s="1"/>
  <c r="L58" i="33" s="1"/>
  <c r="M58" i="33" s="1"/>
  <c r="N58" i="33" s="1"/>
  <c r="O58" i="33" s="1"/>
  <c r="F7" i="33"/>
  <c r="I14" i="66"/>
  <c r="B8" i="66" s="1"/>
  <c r="P6" i="1"/>
  <c r="AZ20" i="3"/>
  <c r="H15" i="21"/>
  <c r="F15" i="21"/>
  <c r="F77" i="21"/>
  <c r="G77" i="21" s="1"/>
  <c r="AA23" i="39"/>
  <c r="S23" i="39"/>
  <c r="AA29" i="39"/>
  <c r="S29" i="39"/>
  <c r="AA12" i="21"/>
  <c r="S12" i="21"/>
  <c r="F81" i="21"/>
  <c r="G81" i="21" s="1"/>
  <c r="F19" i="21"/>
  <c r="H19" i="21"/>
  <c r="F79" i="21"/>
  <c r="G79" i="21" s="1"/>
  <c r="F17" i="21"/>
  <c r="H17" i="21"/>
  <c r="G101" i="21"/>
  <c r="H101" i="21" s="1"/>
  <c r="I101" i="21" s="1"/>
  <c r="J101" i="21" s="1"/>
  <c r="K101" i="21" s="1"/>
  <c r="L101" i="21" s="1"/>
  <c r="M101" i="21" s="1"/>
  <c r="F32" i="21"/>
  <c r="H32" i="21"/>
  <c r="J32" i="21"/>
  <c r="H113" i="21"/>
  <c r="F37" i="21"/>
  <c r="J37" i="21"/>
  <c r="H37" i="21"/>
  <c r="G123" i="21"/>
  <c r="H123" i="21" s="1"/>
  <c r="I123" i="21" s="1"/>
  <c r="J123" i="21" s="1"/>
  <c r="K123" i="21" s="1"/>
  <c r="L123" i="21" s="1"/>
  <c r="M123" i="21" s="1"/>
  <c r="H42" i="21"/>
  <c r="J42" i="21"/>
  <c r="F42" i="21"/>
  <c r="A3" i="55"/>
  <c r="B56" i="63" s="1"/>
  <c r="F103" i="39"/>
  <c r="G103" i="39" s="1"/>
  <c r="D3" i="70"/>
  <c r="K8" i="1"/>
  <c r="E9" i="12"/>
  <c r="AC23" i="21"/>
  <c r="F9" i="36"/>
  <c r="H9" i="36"/>
  <c r="H24" i="36"/>
  <c r="E124" i="39"/>
  <c r="F124" i="39" s="1"/>
  <c r="G124" i="39" s="1"/>
  <c r="H124" i="39" s="1"/>
  <c r="I124" i="39" s="1"/>
  <c r="J124" i="39" s="1"/>
  <c r="K124" i="39" s="1"/>
  <c r="L124" i="39" s="1"/>
  <c r="M124" i="39" s="1"/>
  <c r="BB5" i="3"/>
  <c r="J42" i="39"/>
  <c r="H42" i="39"/>
  <c r="AZ389" i="3"/>
  <c r="AZ393" i="3"/>
  <c r="AZ404" i="3"/>
  <c r="AZ406" i="3"/>
  <c r="AZ412" i="3"/>
  <c r="AZ416" i="3"/>
  <c r="AZ419" i="3"/>
  <c r="AZ421" i="3"/>
  <c r="AZ440" i="3"/>
  <c r="AZ460" i="3"/>
  <c r="AZ472" i="3"/>
  <c r="AZ476" i="3"/>
  <c r="AZ206" i="3"/>
  <c r="AZ210" i="3"/>
  <c r="AZ222" i="3"/>
  <c r="AZ226" i="3"/>
  <c r="AZ238" i="3"/>
  <c r="AZ242" i="3"/>
  <c r="AZ254" i="3"/>
  <c r="AZ258" i="3"/>
  <c r="AZ269" i="3"/>
  <c r="AZ272" i="3"/>
  <c r="AZ285" i="3"/>
  <c r="AZ288" i="3"/>
  <c r="AZ296" i="3"/>
  <c r="AZ125" i="3"/>
  <c r="AZ128" i="3"/>
  <c r="AZ141" i="3"/>
  <c r="AZ144" i="3"/>
  <c r="AZ155" i="3"/>
  <c r="AZ176" i="3"/>
  <c r="AZ182" i="3"/>
  <c r="AZ190" i="3"/>
  <c r="AZ198" i="3"/>
  <c r="AZ204" i="3"/>
  <c r="AZ26" i="3"/>
  <c r="AZ29" i="3"/>
  <c r="AZ36" i="3"/>
  <c r="AZ49" i="3"/>
  <c r="AZ58" i="3"/>
  <c r="AZ61" i="3"/>
  <c r="AZ65" i="3"/>
  <c r="AZ68" i="3"/>
  <c r="AZ75" i="3"/>
  <c r="D1" i="57"/>
  <c r="E10" i="57" s="1"/>
  <c r="I21" i="57"/>
  <c r="T23" i="59"/>
  <c r="D23" i="59"/>
  <c r="T39" i="59"/>
  <c r="D39" i="59"/>
  <c r="BA18" i="3"/>
  <c r="AZ87" i="3"/>
  <c r="AZ89" i="3"/>
  <c r="AZ109" i="3"/>
  <c r="C30" i="59"/>
  <c r="D29" i="59"/>
  <c r="D41" i="59"/>
  <c r="C42" i="59"/>
  <c r="D49" i="59"/>
  <c r="C50" i="59"/>
  <c r="G18" i="3"/>
  <c r="D23" i="15"/>
  <c r="B54" i="46"/>
  <c r="C27" i="40"/>
  <c r="S27" i="40"/>
  <c r="S21" i="34"/>
  <c r="S18" i="35"/>
  <c r="C7" i="70"/>
  <c r="C58" i="70" s="1"/>
  <c r="C7" i="69"/>
  <c r="C58" i="69" s="1"/>
  <c r="O52" i="59"/>
  <c r="Q52" i="59"/>
  <c r="T11" i="59"/>
  <c r="U42" i="69"/>
  <c r="U46" i="69"/>
  <c r="AB45" i="69"/>
  <c r="U45" i="69"/>
  <c r="AB43" i="69"/>
  <c r="U43" i="69"/>
  <c r="AB41" i="69"/>
  <c r="U41" i="69"/>
  <c r="AB39" i="69"/>
  <c r="U39" i="69"/>
  <c r="AB37" i="69"/>
  <c r="U37" i="69"/>
  <c r="AB35" i="69"/>
  <c r="U35" i="69"/>
  <c r="AB31" i="69"/>
  <c r="U31" i="69"/>
  <c r="AB29" i="69"/>
  <c r="U29" i="69"/>
  <c r="AB27" i="69"/>
  <c r="U27" i="69"/>
  <c r="AB25" i="69"/>
  <c r="U25" i="69"/>
  <c r="AA46" i="69"/>
  <c r="S46" i="69"/>
  <c r="AA44" i="69"/>
  <c r="S44" i="69"/>
  <c r="AA42" i="69"/>
  <c r="S42" i="69"/>
  <c r="AA40" i="69"/>
  <c r="S40" i="69"/>
  <c r="AA38" i="69"/>
  <c r="S38" i="69"/>
  <c r="AA36" i="69"/>
  <c r="S36" i="69"/>
  <c r="AA34" i="69"/>
  <c r="S34" i="69"/>
  <c r="AA32" i="69"/>
  <c r="S32" i="69"/>
  <c r="AA30" i="69"/>
  <c r="S30" i="69"/>
  <c r="AA28" i="69"/>
  <c r="S28" i="69"/>
  <c r="AA26" i="69"/>
  <c r="S26" i="69"/>
  <c r="G103" i="69"/>
  <c r="K145" i="69"/>
  <c r="K143" i="69"/>
  <c r="K141" i="69"/>
  <c r="AB31" i="70"/>
  <c r="U31" i="70"/>
  <c r="AB29" i="70"/>
  <c r="U29" i="70"/>
  <c r="AB27" i="70"/>
  <c r="U27" i="70"/>
  <c r="AB25" i="70"/>
  <c r="U25" i="70"/>
  <c r="AB9" i="70"/>
  <c r="U9" i="70"/>
  <c r="AA46" i="70"/>
  <c r="S46" i="70"/>
  <c r="AA44" i="70"/>
  <c r="S44" i="70"/>
  <c r="AA42" i="70"/>
  <c r="S42" i="70"/>
  <c r="AA40" i="70"/>
  <c r="S40" i="70"/>
  <c r="AA38" i="70"/>
  <c r="S38" i="70"/>
  <c r="AA36" i="70"/>
  <c r="S36" i="70"/>
  <c r="AA34" i="70"/>
  <c r="S34" i="70"/>
  <c r="AA21" i="70"/>
  <c r="S21" i="70"/>
  <c r="AA17" i="70"/>
  <c r="S17" i="70"/>
  <c r="AA14" i="70"/>
  <c r="S14" i="70"/>
  <c r="AA12" i="70"/>
  <c r="S12" i="70"/>
  <c r="J37" i="69"/>
  <c r="E102" i="69"/>
  <c r="K144" i="69"/>
  <c r="U17" i="70"/>
  <c r="U21" i="70"/>
  <c r="U36" i="70"/>
  <c r="AB45" i="70"/>
  <c r="U45" i="70"/>
  <c r="AB43" i="70"/>
  <c r="U43" i="70"/>
  <c r="AB41" i="70"/>
  <c r="U41" i="70"/>
  <c r="AB39" i="70"/>
  <c r="U39" i="70"/>
  <c r="AB37" i="70"/>
  <c r="U37" i="70"/>
  <c r="AB35" i="70"/>
  <c r="U35" i="70"/>
  <c r="AB13" i="70"/>
  <c r="U13" i="70"/>
  <c r="AA30" i="70"/>
  <c r="S30" i="70"/>
  <c r="AA28" i="70"/>
  <c r="S28" i="70"/>
  <c r="AA26" i="70"/>
  <c r="S26" i="70"/>
  <c r="AA23" i="70"/>
  <c r="S23" i="70"/>
  <c r="AA19" i="70"/>
  <c r="S19" i="70"/>
  <c r="AA15" i="70"/>
  <c r="S15" i="70"/>
  <c r="AA10" i="70"/>
  <c r="S10" i="70"/>
  <c r="AA8" i="70"/>
  <c r="S8" i="70"/>
  <c r="AC46" i="70"/>
  <c r="W46" i="70"/>
  <c r="AC44" i="70"/>
  <c r="W44" i="70"/>
  <c r="AC42" i="70"/>
  <c r="W42" i="70"/>
  <c r="F79" i="70"/>
  <c r="G79" i="70" s="1"/>
  <c r="J17" i="70"/>
  <c r="W38" i="70"/>
  <c r="W40" i="70"/>
  <c r="F77" i="70"/>
  <c r="G77" i="70" s="1"/>
  <c r="J15" i="70"/>
  <c r="F81" i="70"/>
  <c r="G81" i="70" s="1"/>
  <c r="J19" i="70"/>
  <c r="H103" i="70"/>
  <c r="J32" i="70"/>
  <c r="H32" i="70"/>
  <c r="F102" i="70"/>
  <c r="K145" i="70"/>
  <c r="K143" i="70"/>
  <c r="K141" i="70"/>
  <c r="F32" i="70"/>
  <c r="I4" i="65"/>
  <c r="J6" i="65"/>
  <c r="I5" i="65"/>
  <c r="J3" i="65"/>
  <c r="J7" i="65"/>
  <c r="I3" i="65"/>
  <c r="I7" i="65"/>
  <c r="I6" i="65"/>
  <c r="J4" i="65"/>
  <c r="J5" i="65"/>
  <c r="C16" i="15"/>
  <c r="C17" i="15"/>
  <c r="C18" i="44"/>
  <c r="I1" i="65" l="1"/>
  <c r="J109" i="46"/>
  <c r="J105" i="46"/>
  <c r="D22" i="46"/>
  <c r="C109" i="46"/>
  <c r="C107" i="46"/>
  <c r="C102" i="46"/>
  <c r="C105" i="46"/>
  <c r="C104" i="46"/>
  <c r="C103" i="46"/>
  <c r="C106" i="46"/>
  <c r="J106" i="46"/>
  <c r="J103" i="46"/>
  <c r="J107" i="46"/>
  <c r="BL5" i="3"/>
  <c r="K103" i="46"/>
  <c r="K106" i="46"/>
  <c r="K105" i="46"/>
  <c r="K102" i="46"/>
  <c r="K109" i="46"/>
  <c r="K107" i="46"/>
  <c r="K104" i="46"/>
  <c r="L105" i="46"/>
  <c r="L106" i="46"/>
  <c r="L104" i="46"/>
  <c r="L103" i="46"/>
  <c r="L102" i="46"/>
  <c r="L109" i="46"/>
  <c r="L107" i="46"/>
  <c r="G106" i="46"/>
  <c r="G104" i="46"/>
  <c r="G107" i="46"/>
  <c r="G103" i="46"/>
  <c r="G102" i="46"/>
  <c r="G105" i="46"/>
  <c r="G109" i="46"/>
  <c r="M104" i="46"/>
  <c r="M102" i="46"/>
  <c r="M105" i="46"/>
  <c r="M107" i="46"/>
  <c r="M103" i="46"/>
  <c r="M109" i="46"/>
  <c r="M106" i="46"/>
  <c r="D107" i="46"/>
  <c r="D102" i="46"/>
  <c r="D105" i="46"/>
  <c r="D104" i="46"/>
  <c r="D106" i="46"/>
  <c r="D109" i="46"/>
  <c r="D103" i="46"/>
  <c r="G28" i="6"/>
  <c r="G30" i="6" s="1"/>
  <c r="G31" i="6" s="1"/>
  <c r="E106" i="46"/>
  <c r="E103" i="46"/>
  <c r="E107" i="46"/>
  <c r="E104" i="46"/>
  <c r="E102" i="46"/>
  <c r="E105" i="46"/>
  <c r="E109" i="46"/>
  <c r="I115" i="46"/>
  <c r="J115" i="46" s="1"/>
  <c r="K115" i="46" s="1"/>
  <c r="L115" i="46" s="1"/>
  <c r="M115" i="46" s="1"/>
  <c r="I118" i="46"/>
  <c r="J118" i="46" s="1"/>
  <c r="K118" i="46" s="1"/>
  <c r="L118" i="46" s="1"/>
  <c r="M118" i="46" s="1"/>
  <c r="D116" i="46"/>
  <c r="E116" i="46" s="1"/>
  <c r="F116" i="46" s="1"/>
  <c r="G116" i="46" s="1"/>
  <c r="H116" i="46" s="1"/>
  <c r="D115" i="46"/>
  <c r="E115" i="46" s="1"/>
  <c r="F115" i="46" s="1"/>
  <c r="G115" i="46" s="1"/>
  <c r="H115" i="46" s="1"/>
  <c r="I117" i="46"/>
  <c r="J117" i="46" s="1"/>
  <c r="K117" i="46" s="1"/>
  <c r="L117" i="46" s="1"/>
  <c r="M117" i="46" s="1"/>
  <c r="I116" i="46"/>
  <c r="J116" i="46" s="1"/>
  <c r="K116" i="46" s="1"/>
  <c r="L116" i="46" s="1"/>
  <c r="M116" i="46" s="1"/>
  <c r="B115" i="46"/>
  <c r="C115" i="46" s="1"/>
  <c r="B116" i="46"/>
  <c r="C116" i="46" s="1"/>
  <c r="D117" i="46"/>
  <c r="E117" i="46" s="1"/>
  <c r="F117" i="46" s="1"/>
  <c r="G117" i="46" s="1"/>
  <c r="H117" i="46" s="1"/>
  <c r="D118" i="46"/>
  <c r="E118" i="46" s="1"/>
  <c r="F118" i="46" s="1"/>
  <c r="G118" i="46"/>
  <c r="H118" i="46" s="1"/>
  <c r="B117" i="46"/>
  <c r="C117" i="46" s="1"/>
  <c r="B118" i="46"/>
  <c r="C118" i="46" s="1"/>
  <c r="N104" i="46"/>
  <c r="N109" i="46"/>
  <c r="N103" i="46"/>
  <c r="N107" i="46"/>
  <c r="N106" i="46"/>
  <c r="N105" i="46"/>
  <c r="N102" i="46"/>
  <c r="I106" i="46"/>
  <c r="I109" i="46"/>
  <c r="I105" i="46"/>
  <c r="I107" i="46"/>
  <c r="I102" i="46"/>
  <c r="I104" i="46"/>
  <c r="I103" i="46"/>
  <c r="F107" i="46"/>
  <c r="F109" i="46"/>
  <c r="F102" i="46"/>
  <c r="F103" i="46"/>
  <c r="F106" i="46"/>
  <c r="F104" i="46"/>
  <c r="F105" i="46"/>
  <c r="H109" i="46"/>
  <c r="H106" i="46"/>
  <c r="H105" i="46"/>
  <c r="H104" i="46"/>
  <c r="H102" i="46"/>
  <c r="H103" i="46"/>
  <c r="H107" i="46"/>
  <c r="E29" i="6"/>
  <c r="K15" i="1" s="1"/>
  <c r="F30" i="6"/>
  <c r="AZ15" i="3"/>
  <c r="A25" i="64"/>
  <c r="A25" i="51"/>
  <c r="B18" i="63" s="1"/>
  <c r="A17" i="51"/>
  <c r="B13" i="63" s="1"/>
  <c r="C48" i="15"/>
  <c r="L47" i="44"/>
  <c r="J1" i="65"/>
  <c r="E20" i="46"/>
  <c r="O28" i="46" s="1"/>
  <c r="H58" i="21"/>
  <c r="I58" i="21" s="1"/>
  <c r="J58" i="21" s="1"/>
  <c r="K58" i="21" s="1"/>
  <c r="L58" i="21" s="1"/>
  <c r="M58" i="21" s="1"/>
  <c r="N58" i="21" s="1"/>
  <c r="O58" i="21" s="1"/>
  <c r="F7" i="21"/>
  <c r="S7" i="21" s="1"/>
  <c r="C72" i="39"/>
  <c r="D70" i="39"/>
  <c r="D67" i="40"/>
  <c r="E65" i="40"/>
  <c r="H7" i="33"/>
  <c r="J7" i="33"/>
  <c r="AC7" i="33" s="1"/>
  <c r="V48" i="33" s="1"/>
  <c r="I48" i="33" s="1"/>
  <c r="H7" i="36"/>
  <c r="J7" i="35"/>
  <c r="AC7" i="35" s="1"/>
  <c r="V38" i="35" s="1"/>
  <c r="I38" i="35" s="1"/>
  <c r="AB32" i="70"/>
  <c r="U32" i="70"/>
  <c r="I103" i="70"/>
  <c r="I102" i="70" s="1"/>
  <c r="H102" i="70"/>
  <c r="AC37" i="69"/>
  <c r="W37" i="69"/>
  <c r="H103" i="69"/>
  <c r="G102" i="69"/>
  <c r="D58" i="69"/>
  <c r="E58" i="69" s="1"/>
  <c r="F58" i="69" s="1"/>
  <c r="G58" i="69" s="1"/>
  <c r="H58" i="69" s="1"/>
  <c r="I58" i="69" s="1"/>
  <c r="J58" i="69" s="1"/>
  <c r="K58" i="69" s="1"/>
  <c r="L58" i="69" s="1"/>
  <c r="M58" i="69" s="1"/>
  <c r="N58" i="69" s="1"/>
  <c r="O58" i="69" s="1"/>
  <c r="C31" i="59"/>
  <c r="D30" i="59"/>
  <c r="AZ18" i="3"/>
  <c r="AZ5" i="3" s="1"/>
  <c r="BA5" i="3"/>
  <c r="AC42" i="39"/>
  <c r="W42" i="39"/>
  <c r="AB9" i="36"/>
  <c r="U9" i="36"/>
  <c r="M8" i="1"/>
  <c r="H16" i="1"/>
  <c r="G16" i="1"/>
  <c r="Q16" i="1"/>
  <c r="AP16" i="1"/>
  <c r="F22" i="11" s="1"/>
  <c r="G5" i="3"/>
  <c r="B3" i="3" s="1"/>
  <c r="E18" i="3" s="1"/>
  <c r="AC42" i="21"/>
  <c r="W42" i="21"/>
  <c r="W37" i="21"/>
  <c r="AC37" i="21"/>
  <c r="U32" i="21"/>
  <c r="AB32" i="21"/>
  <c r="S17" i="21"/>
  <c r="AA17" i="21"/>
  <c r="U19" i="21"/>
  <c r="AB19" i="21"/>
  <c r="S15" i="21"/>
  <c r="AA15" i="21"/>
  <c r="U7" i="33"/>
  <c r="AB7" i="33"/>
  <c r="T48" i="33" s="1"/>
  <c r="G48" i="33" s="1"/>
  <c r="W7" i="33"/>
  <c r="C38" i="46"/>
  <c r="C37" i="46"/>
  <c r="C39" i="46"/>
  <c r="C34" i="46"/>
  <c r="C36" i="46"/>
  <c r="C35" i="46"/>
  <c r="C33" i="46"/>
  <c r="AA7" i="21"/>
  <c r="AC7" i="34"/>
  <c r="V49" i="34" s="1"/>
  <c r="I49" i="34" s="1"/>
  <c r="W7" i="34"/>
  <c r="AB7" i="36"/>
  <c r="T36" i="36" s="1"/>
  <c r="G36" i="36" s="1"/>
  <c r="U7" i="36"/>
  <c r="W7" i="35"/>
  <c r="AA7" i="37"/>
  <c r="R42" i="37" s="1"/>
  <c r="S7" i="37"/>
  <c r="W7" i="37"/>
  <c r="AC7" i="37"/>
  <c r="V42" i="37" s="1"/>
  <c r="I42" i="37" s="1"/>
  <c r="F1" i="44"/>
  <c r="Q54" i="44"/>
  <c r="C32" i="15"/>
  <c r="C34" i="44"/>
  <c r="J18" i="15"/>
  <c r="Q63" i="44"/>
  <c r="Q76" i="44"/>
  <c r="Q62" i="15"/>
  <c r="Q75" i="15"/>
  <c r="AA32" i="70"/>
  <c r="S32" i="70"/>
  <c r="AC32" i="70"/>
  <c r="W32" i="70"/>
  <c r="G102" i="70"/>
  <c r="AC19" i="70"/>
  <c r="W19" i="70"/>
  <c r="AC15" i="70"/>
  <c r="W15" i="70"/>
  <c r="AC17" i="70"/>
  <c r="W17" i="70"/>
  <c r="F102" i="69"/>
  <c r="D58" i="70"/>
  <c r="E58" i="70" s="1"/>
  <c r="F58" i="70" s="1"/>
  <c r="G58" i="70" s="1"/>
  <c r="H58" i="70" s="1"/>
  <c r="I58" i="70" s="1"/>
  <c r="J58" i="70" s="1"/>
  <c r="K58" i="70" s="1"/>
  <c r="L58" i="70" s="1"/>
  <c r="M58" i="70" s="1"/>
  <c r="N58" i="70" s="1"/>
  <c r="O58" i="70" s="1"/>
  <c r="H7" i="70"/>
  <c r="C51" i="59"/>
  <c r="D50" i="59"/>
  <c r="C43" i="59"/>
  <c r="D42" i="59"/>
  <c r="AB42" i="39"/>
  <c r="U42" i="39"/>
  <c r="E5" i="6"/>
  <c r="E15" i="6"/>
  <c r="E12" i="6"/>
  <c r="E11" i="6"/>
  <c r="E14" i="6"/>
  <c r="E13" i="6"/>
  <c r="E10" i="6"/>
  <c r="AB24" i="36"/>
  <c r="U24" i="36"/>
  <c r="AA9" i="36"/>
  <c r="S9" i="36"/>
  <c r="E8" i="6"/>
  <c r="AA42" i="21"/>
  <c r="S42" i="21"/>
  <c r="AB42" i="21"/>
  <c r="U42" i="21"/>
  <c r="U37" i="21"/>
  <c r="AB37" i="21"/>
  <c r="S37" i="21"/>
  <c r="AA37" i="21"/>
  <c r="AC32" i="21"/>
  <c r="W32" i="21"/>
  <c r="S32" i="21"/>
  <c r="AA32" i="21"/>
  <c r="AB17" i="21"/>
  <c r="U17" i="21"/>
  <c r="AA19" i="21"/>
  <c r="S19" i="21"/>
  <c r="J7" i="21"/>
  <c r="U15" i="21"/>
  <c r="AB15" i="21"/>
  <c r="AA7" i="33"/>
  <c r="R48" i="33" s="1"/>
  <c r="S7" i="33"/>
  <c r="T15" i="46"/>
  <c r="V15" i="46" s="1"/>
  <c r="T9" i="46"/>
  <c r="V9" i="46" s="1"/>
  <c r="T11" i="46"/>
  <c r="V11" i="46" s="1"/>
  <c r="T8" i="46"/>
  <c r="V8" i="46" s="1"/>
  <c r="C29" i="46"/>
  <c r="T10" i="46"/>
  <c r="V10" i="46" s="1"/>
  <c r="T13" i="46"/>
  <c r="V13" i="46" s="1"/>
  <c r="T12" i="46"/>
  <c r="V12" i="46" s="1"/>
  <c r="T14" i="46"/>
  <c r="V14" i="46" s="1"/>
  <c r="T16" i="46"/>
  <c r="V16" i="46" s="1"/>
  <c r="D6" i="59"/>
  <c r="C5" i="59"/>
  <c r="H7" i="21"/>
  <c r="F7" i="34"/>
  <c r="H7" i="34"/>
  <c r="J7" i="36"/>
  <c r="F7" i="36"/>
  <c r="H7" i="35"/>
  <c r="F7" i="35"/>
  <c r="AB7" i="37"/>
  <c r="T42" i="37" s="1"/>
  <c r="G42" i="37" s="1"/>
  <c r="U7" i="37"/>
  <c r="M11" i="15"/>
  <c r="J10" i="15" s="1"/>
  <c r="J5" i="15" s="1"/>
  <c r="M13" i="44"/>
  <c r="J12" i="44" s="1"/>
  <c r="J7" i="44" s="1"/>
  <c r="F13" i="44"/>
  <c r="C12" i="44" s="1"/>
  <c r="C7" i="44" s="1"/>
  <c r="F11" i="15"/>
  <c r="J20" i="44"/>
  <c r="Q53" i="15"/>
  <c r="F1" i="15"/>
  <c r="Q62" i="44"/>
  <c r="Q75" i="44"/>
  <c r="Q74" i="15"/>
  <c r="Q61" i="15"/>
  <c r="E2" i="65"/>
  <c r="E3" i="65"/>
  <c r="B40" i="1" l="1"/>
  <c r="F24" i="15" s="1"/>
  <c r="C24" i="15" s="1"/>
  <c r="D113" i="46"/>
  <c r="F26" i="12"/>
  <c r="C27" i="12" s="1"/>
  <c r="D26" i="12" s="1"/>
  <c r="C32" i="12" s="1"/>
  <c r="D30" i="12" s="1"/>
  <c r="S5" i="46"/>
  <c r="T5" i="46" s="1"/>
  <c r="V5" i="46" s="1"/>
  <c r="S4" i="46"/>
  <c r="T4" i="46" s="1"/>
  <c r="V4" i="46" s="1"/>
  <c r="S7" i="46"/>
  <c r="T7" i="46" s="1"/>
  <c r="V7" i="46" s="1"/>
  <c r="S3" i="46"/>
  <c r="T3" i="46" s="1"/>
  <c r="V3" i="46" s="1"/>
  <c r="S2" i="46"/>
  <c r="T2" i="46" s="1"/>
  <c r="V2" i="46" s="1"/>
  <c r="S6" i="46"/>
  <c r="T6" i="46" s="1"/>
  <c r="V6" i="46" s="1"/>
  <c r="E28" i="6"/>
  <c r="M28" i="46"/>
  <c r="P28" i="46"/>
  <c r="F17" i="11"/>
  <c r="C17" i="11" s="1"/>
  <c r="F65" i="40"/>
  <c r="E67" i="40"/>
  <c r="D72" i="39"/>
  <c r="E70" i="39"/>
  <c r="N28" i="46"/>
  <c r="F7" i="70"/>
  <c r="J7" i="70"/>
  <c r="AC7" i="70" s="1"/>
  <c r="H7" i="69"/>
  <c r="F7" i="69"/>
  <c r="AA7" i="69" s="1"/>
  <c r="C40" i="44"/>
  <c r="J26" i="15"/>
  <c r="J29" i="15" s="1"/>
  <c r="J24" i="15"/>
  <c r="AB7" i="35"/>
  <c r="T38" i="35" s="1"/>
  <c r="G38" i="35" s="1"/>
  <c r="U7" i="35"/>
  <c r="U7" i="34"/>
  <c r="AB7" i="34"/>
  <c r="T49" i="34" s="1"/>
  <c r="G49" i="34" s="1"/>
  <c r="AB7" i="21"/>
  <c r="U7" i="21"/>
  <c r="C52" i="15"/>
  <c r="C47" i="15" s="1"/>
  <c r="C10" i="15"/>
  <c r="C5" i="15" s="1"/>
  <c r="AA7" i="35"/>
  <c r="R38" i="35" s="1"/>
  <c r="S7" i="35"/>
  <c r="AA7" i="36"/>
  <c r="R36" i="36" s="1"/>
  <c r="S7" i="36"/>
  <c r="AA7" i="34"/>
  <c r="R49" i="34" s="1"/>
  <c r="S7" i="34"/>
  <c r="D5" i="59"/>
  <c r="M20" i="46"/>
  <c r="C30" i="46"/>
  <c r="E30" i="46" s="1"/>
  <c r="E29" i="46"/>
  <c r="R49" i="33"/>
  <c r="E48" i="33"/>
  <c r="I53" i="33" s="1"/>
  <c r="J53" i="33" s="1"/>
  <c r="F27" i="6"/>
  <c r="F31" i="6" s="1"/>
  <c r="E58" i="39"/>
  <c r="E53" i="40"/>
  <c r="E16" i="6"/>
  <c r="E60" i="40"/>
  <c r="E65" i="39"/>
  <c r="E63" i="39"/>
  <c r="E58" i="40"/>
  <c r="E67" i="39"/>
  <c r="E62" i="40"/>
  <c r="AB7" i="70"/>
  <c r="U7" i="70"/>
  <c r="E42" i="37"/>
  <c r="R43" i="37"/>
  <c r="I42" i="35"/>
  <c r="J42" i="35" s="1"/>
  <c r="E33" i="46"/>
  <c r="G33" i="46"/>
  <c r="I33" i="46" s="1"/>
  <c r="G36" i="46"/>
  <c r="I36" i="46" s="1"/>
  <c r="E36" i="46"/>
  <c r="G39" i="46"/>
  <c r="I39" i="46" s="1"/>
  <c r="E39" i="46"/>
  <c r="E38" i="46"/>
  <c r="G38" i="46"/>
  <c r="I38" i="46" s="1"/>
  <c r="I52" i="33"/>
  <c r="J52" i="33" s="1"/>
  <c r="J7" i="69"/>
  <c r="I103" i="69"/>
  <c r="I102" i="69" s="1"/>
  <c r="J28" i="44"/>
  <c r="J31" i="44" s="1"/>
  <c r="J26" i="44"/>
  <c r="G46" i="37"/>
  <c r="H46" i="37" s="1"/>
  <c r="G47" i="37"/>
  <c r="H47" i="37" s="1"/>
  <c r="AC7" i="36"/>
  <c r="V36" i="36" s="1"/>
  <c r="I36" i="36" s="1"/>
  <c r="W7" i="36"/>
  <c r="W7" i="21"/>
  <c r="AC7" i="21"/>
  <c r="E61" i="40"/>
  <c r="E66" i="39"/>
  <c r="E64" i="39"/>
  <c r="E59" i="40"/>
  <c r="D21" i="12"/>
  <c r="C21" i="12" s="1"/>
  <c r="D12" i="11"/>
  <c r="C12" i="11" s="1"/>
  <c r="T43" i="59"/>
  <c r="D43" i="59"/>
  <c r="T51" i="59"/>
  <c r="D51" i="59"/>
  <c r="AA7" i="70"/>
  <c r="S7" i="70"/>
  <c r="W7" i="70"/>
  <c r="I46" i="37"/>
  <c r="J46" i="37" s="1"/>
  <c r="I47" i="37"/>
  <c r="J47" i="37" s="1"/>
  <c r="G41" i="36"/>
  <c r="H41" i="36" s="1"/>
  <c r="G40" i="36"/>
  <c r="H40" i="36" s="1"/>
  <c r="I53" i="34"/>
  <c r="J53" i="34" s="1"/>
  <c r="G35" i="46"/>
  <c r="I35" i="46" s="1"/>
  <c r="E35" i="46"/>
  <c r="E34" i="46"/>
  <c r="G34" i="46"/>
  <c r="I34" i="46" s="1"/>
  <c r="G37" i="46"/>
  <c r="I37" i="46" s="1"/>
  <c r="E37" i="46"/>
  <c r="G52" i="33"/>
  <c r="H52" i="33" s="1"/>
  <c r="G53" i="33"/>
  <c r="H53" i="33" s="1"/>
  <c r="C33" i="70"/>
  <c r="C33" i="69"/>
  <c r="C33" i="2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1" i="3"/>
  <c r="E250"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06" i="3"/>
  <c r="F33" i="12"/>
  <c r="C34" i="12" s="1"/>
  <c r="D33" i="12" s="1"/>
  <c r="F18" i="11"/>
  <c r="C18" i="11" s="1"/>
  <c r="F24" i="43"/>
  <c r="C26" i="43" s="1"/>
  <c r="D24" i="43" s="1"/>
  <c r="J12" i="40"/>
  <c r="F12" i="39"/>
  <c r="F12" i="40"/>
  <c r="H12" i="39"/>
  <c r="H12" i="40"/>
  <c r="J12" i="39"/>
  <c r="O8" i="1"/>
  <c r="C15" i="43"/>
  <c r="AY6" i="3"/>
  <c r="E3" i="6"/>
  <c r="T31" i="59"/>
  <c r="D31" i="59"/>
  <c r="AB7" i="69"/>
  <c r="U7" i="69"/>
  <c r="S7" i="69"/>
  <c r="F7" i="67"/>
  <c r="L52" i="44"/>
  <c r="F26" i="44" l="1"/>
  <c r="C26" i="44" s="1"/>
  <c r="F21" i="43"/>
  <c r="C23" i="43" s="1"/>
  <c r="D21" i="43" s="1"/>
  <c r="E27" i="6"/>
  <c r="K26" i="6" s="1"/>
  <c r="M26" i="6" s="1"/>
  <c r="I26" i="6" s="1"/>
  <c r="S26" i="6" s="1"/>
  <c r="H6" i="3"/>
  <c r="C19" i="11"/>
  <c r="C20" i="11" s="1"/>
  <c r="C21" i="11" s="1"/>
  <c r="C22" i="11" s="1"/>
  <c r="C23" i="11" s="1"/>
  <c r="B2" i="11" s="1"/>
  <c r="E30" i="6"/>
  <c r="K14" i="1"/>
  <c r="G65" i="40"/>
  <c r="F67" i="40"/>
  <c r="F70" i="39"/>
  <c r="E72" i="39"/>
  <c r="Q69" i="44"/>
  <c r="L58" i="44"/>
  <c r="L61" i="44" s="1"/>
  <c r="E4" i="67"/>
  <c r="D16" i="12"/>
  <c r="E6" i="6"/>
  <c r="C21" i="4"/>
  <c r="O5" i="54" s="1"/>
  <c r="B45" i="63" s="1"/>
  <c r="D16" i="43"/>
  <c r="C16" i="43" s="1"/>
  <c r="L38" i="9"/>
  <c r="B14" i="66" s="1"/>
  <c r="B1" i="66" s="1"/>
  <c r="D45" i="9"/>
  <c r="D10" i="11"/>
  <c r="D46" i="9"/>
  <c r="P8" i="1"/>
  <c r="W12" i="39"/>
  <c r="AC12" i="39"/>
  <c r="AB12" i="39"/>
  <c r="U12" i="39"/>
  <c r="S12" i="39"/>
  <c r="AA12" i="39"/>
  <c r="AC6" i="3"/>
  <c r="E6" i="3" s="1"/>
  <c r="J33" i="69"/>
  <c r="H33" i="69"/>
  <c r="F33" i="69"/>
  <c r="I40" i="36"/>
  <c r="J40" i="36" s="1"/>
  <c r="H102" i="69"/>
  <c r="AC7" i="69"/>
  <c r="W7" i="69"/>
  <c r="E47" i="37"/>
  <c r="F47" i="37" s="1"/>
  <c r="E46" i="37"/>
  <c r="F46" i="37" s="1"/>
  <c r="C48" i="33"/>
  <c r="C49" i="33"/>
  <c r="B3" i="33" s="1"/>
  <c r="B2" i="33" s="1"/>
  <c r="C27" i="46"/>
  <c r="R50" i="34"/>
  <c r="E49" i="34"/>
  <c r="R37" i="36"/>
  <c r="E36" i="36"/>
  <c r="R39" i="35"/>
  <c r="E38" i="35"/>
  <c r="C59" i="15"/>
  <c r="C65" i="15"/>
  <c r="G54" i="34"/>
  <c r="H54" i="34" s="1"/>
  <c r="G53" i="34"/>
  <c r="H53" i="34"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U12" i="40"/>
  <c r="AB12" i="40"/>
  <c r="AA12" i="40"/>
  <c r="S12" i="40"/>
  <c r="W12" i="40"/>
  <c r="AC12" i="40"/>
  <c r="J33" i="21"/>
  <c r="H33" i="21"/>
  <c r="F33" i="21"/>
  <c r="F33" i="70"/>
  <c r="H33" i="70"/>
  <c r="J33" i="70"/>
  <c r="Q49" i="44"/>
  <c r="Q55" i="44" s="1"/>
  <c r="Q67" i="44"/>
  <c r="Q58" i="44"/>
  <c r="C42" i="37"/>
  <c r="C43" i="37"/>
  <c r="B3" i="37" s="1"/>
  <c r="B2" i="37" s="1"/>
  <c r="E68" i="39"/>
  <c r="E52" i="33"/>
  <c r="F52" i="33" s="1"/>
  <c r="E53" i="33"/>
  <c r="F53" i="33" s="1"/>
  <c r="C26" i="46"/>
  <c r="C38" i="15"/>
  <c r="G42" i="35"/>
  <c r="H42" i="35" s="1"/>
  <c r="G43" i="35"/>
  <c r="H43" i="35" s="1"/>
  <c r="E7" i="67"/>
  <c r="K25" i="6" l="1"/>
  <c r="M25" i="6" s="1"/>
  <c r="I25" i="6" s="1"/>
  <c r="S25" i="6" s="1"/>
  <c r="E31" i="6"/>
  <c r="K20" i="6"/>
  <c r="S7" i="1" s="1"/>
  <c r="K22" i="6"/>
  <c r="M22" i="6" s="1"/>
  <c r="I22" i="6" s="1"/>
  <c r="S22" i="6" s="1"/>
  <c r="K21" i="6"/>
  <c r="K24" i="6"/>
  <c r="M24" i="6" s="1"/>
  <c r="I24" i="6" s="1"/>
  <c r="S24" i="6" s="1"/>
  <c r="K19" i="6"/>
  <c r="K23" i="6"/>
  <c r="M23" i="6" s="1"/>
  <c r="I23" i="6" s="1"/>
  <c r="S23" i="6" s="1"/>
  <c r="M14" i="1"/>
  <c r="K16" i="1"/>
  <c r="G70" i="39"/>
  <c r="F72" i="39"/>
  <c r="H65" i="40"/>
  <c r="G67" i="40"/>
  <c r="E3" i="67"/>
  <c r="B3" i="11"/>
  <c r="B5" i="11"/>
  <c r="B4" i="11"/>
  <c r="B2" i="46"/>
  <c r="AB33" i="70"/>
  <c r="U33" i="70"/>
  <c r="S33" i="21"/>
  <c r="AA33" i="21"/>
  <c r="W33" i="21"/>
  <c r="AC33" i="21"/>
  <c r="D19" i="6"/>
  <c r="D21" i="6"/>
  <c r="D23" i="6"/>
  <c r="D25" i="6"/>
  <c r="D29" i="6"/>
  <c r="D20" i="6"/>
  <c r="D22" i="6"/>
  <c r="D24" i="6"/>
  <c r="D26" i="6"/>
  <c r="D28" i="6"/>
  <c r="C22" i="4"/>
  <c r="D13" i="6"/>
  <c r="D6" i="6"/>
  <c r="D8" i="6"/>
  <c r="E45" i="9"/>
  <c r="K38" i="9"/>
  <c r="C14" i="66" s="1"/>
  <c r="B2" i="66" s="1"/>
  <c r="D12" i="6"/>
  <c r="D9" i="6"/>
  <c r="E46" i="9"/>
  <c r="E63" i="40"/>
  <c r="D10" i="6"/>
  <c r="D14" i="6"/>
  <c r="F45" i="9"/>
  <c r="H26" i="6"/>
  <c r="D11" i="6"/>
  <c r="H25" i="6"/>
  <c r="D5" i="6"/>
  <c r="D15" i="6"/>
  <c r="F46" i="9"/>
  <c r="E43" i="35"/>
  <c r="F43" i="35" s="1"/>
  <c r="E42" i="35"/>
  <c r="F42" i="35" s="1"/>
  <c r="I43" i="35"/>
  <c r="J43" i="35" s="1"/>
  <c r="E40" i="36"/>
  <c r="F40" i="36" s="1"/>
  <c r="E41" i="36"/>
  <c r="F41" i="36" s="1"/>
  <c r="E54" i="34"/>
  <c r="F54" i="34" s="1"/>
  <c r="E53" i="34"/>
  <c r="F53" i="34" s="1"/>
  <c r="I54" i="34"/>
  <c r="J54" i="34" s="1"/>
  <c r="I41" i="36"/>
  <c r="J41" i="36" s="1"/>
  <c r="AA33" i="69"/>
  <c r="S33" i="69"/>
  <c r="AC33" i="69"/>
  <c r="W33" i="69"/>
  <c r="C15" i="12"/>
  <c r="D19" i="12"/>
  <c r="C19" i="12" s="1"/>
  <c r="C16" i="12"/>
  <c r="Q68" i="44"/>
  <c r="Q77" i="44" s="1"/>
  <c r="Q59" i="44"/>
  <c r="Q64" i="44" s="1"/>
  <c r="AC33" i="70"/>
  <c r="W33" i="70"/>
  <c r="AA33" i="70"/>
  <c r="S33" i="70"/>
  <c r="AB33" i="21"/>
  <c r="U33" i="21"/>
  <c r="C38" i="35"/>
  <c r="C39" i="35"/>
  <c r="B3" i="35" s="1"/>
  <c r="B2" i="35" s="1"/>
  <c r="C37" i="36"/>
  <c r="B3" i="36" s="1"/>
  <c r="B2" i="36" s="1"/>
  <c r="C36" i="36"/>
  <c r="C50" i="34"/>
  <c r="B3" i="34" s="1"/>
  <c r="B2" i="34" s="1"/>
  <c r="C49" i="34"/>
  <c r="AB33" i="69"/>
  <c r="U33" i="69"/>
  <c r="C7" i="66"/>
  <c r="C8" i="66"/>
  <c r="D22" i="12"/>
  <c r="C22" i="12" s="1"/>
  <c r="C20" i="12" s="1"/>
  <c r="D13" i="11"/>
  <c r="C13" i="11" s="1"/>
  <c r="B7" i="67"/>
  <c r="M20" i="6" l="1"/>
  <c r="I20" i="6" s="1"/>
  <c r="H23" i="6"/>
  <c r="R23" i="6" s="1"/>
  <c r="H24" i="6"/>
  <c r="H22" i="6"/>
  <c r="M21" i="6"/>
  <c r="I21" i="6" s="1"/>
  <c r="S8" i="1"/>
  <c r="D30" i="6"/>
  <c r="S6" i="1"/>
  <c r="K27" i="6"/>
  <c r="M19" i="6"/>
  <c r="R24" i="6"/>
  <c r="R25" i="6"/>
  <c r="O14" i="1"/>
  <c r="O16" i="1" s="1"/>
  <c r="M16" i="1"/>
  <c r="H67" i="40"/>
  <c r="I65" i="40"/>
  <c r="H70" i="39"/>
  <c r="G72" i="39"/>
  <c r="B2" i="67"/>
  <c r="D7" i="66"/>
  <c r="D8" i="66"/>
  <c r="D16" i="6"/>
  <c r="D4" i="46"/>
  <c r="B3" i="46"/>
  <c r="B4" i="46"/>
  <c r="A6" i="51"/>
  <c r="B7" i="63" s="1"/>
  <c r="A6" i="64"/>
  <c r="A20" i="51"/>
  <c r="B15" i="63" s="1"/>
  <c r="N5" i="54"/>
  <c r="B43" i="63" s="1"/>
  <c r="A20" i="64"/>
  <c r="R26" i="6"/>
  <c r="R22" i="6"/>
  <c r="D27" i="6"/>
  <c r="S20" i="6" l="1"/>
  <c r="H20" i="6"/>
  <c r="R20" i="6" s="1"/>
  <c r="R7" i="1" s="1"/>
  <c r="S21" i="6"/>
  <c r="H21" i="6"/>
  <c r="R21" i="6" s="1"/>
  <c r="R8" i="1" s="1"/>
  <c r="D31" i="6"/>
  <c r="I6" i="6" s="1"/>
  <c r="C13" i="39" s="1"/>
  <c r="I19" i="6"/>
  <c r="M27" i="6"/>
  <c r="S16" i="1"/>
  <c r="T6" i="1" s="1"/>
  <c r="L16" i="1"/>
  <c r="C13" i="43"/>
  <c r="N16" i="1"/>
  <c r="C29" i="43" s="1"/>
  <c r="P14" i="1"/>
  <c r="P16" i="1" s="1"/>
  <c r="C13" i="12" s="1"/>
  <c r="J65" i="40"/>
  <c r="I67" i="40"/>
  <c r="I70" i="39"/>
  <c r="H72" i="39"/>
  <c r="I5" i="6"/>
  <c r="B3" i="67"/>
  <c r="B4" i="67"/>
  <c r="T8" i="1" l="1"/>
  <c r="T13" i="1"/>
  <c r="T12" i="1"/>
  <c r="T11" i="1"/>
  <c r="T9" i="1"/>
  <c r="T10" i="1"/>
  <c r="T7" i="1"/>
  <c r="I27" i="6"/>
  <c r="H19" i="6"/>
  <c r="S19" i="6"/>
  <c r="S27" i="6" s="1"/>
  <c r="C17" i="12"/>
  <c r="C14" i="12"/>
  <c r="C14" i="43"/>
  <c r="C17" i="43"/>
  <c r="J70" i="39"/>
  <c r="I72" i="39"/>
  <c r="K65" i="40"/>
  <c r="J67" i="40"/>
  <c r="C11" i="70"/>
  <c r="C11" i="69"/>
  <c r="C11" i="21"/>
  <c r="H13" i="39"/>
  <c r="F13" i="39"/>
  <c r="J13" i="39"/>
  <c r="C14" i="15"/>
  <c r="C16" i="44"/>
  <c r="T16" i="1" l="1"/>
  <c r="C17" i="44"/>
  <c r="C20" i="44"/>
  <c r="C15" i="15"/>
  <c r="C18" i="15"/>
  <c r="C18" i="43"/>
  <c r="C18" i="12"/>
  <c r="C23" i="12" s="1"/>
  <c r="H27" i="6"/>
  <c r="R19" i="6"/>
  <c r="C19" i="43"/>
  <c r="C25" i="43" s="1"/>
  <c r="C24" i="43" s="1"/>
  <c r="L65" i="40"/>
  <c r="K67" i="40"/>
  <c r="J72" i="39"/>
  <c r="K70" i="39"/>
  <c r="AC13" i="39"/>
  <c r="W13" i="39"/>
  <c r="U13" i="39"/>
  <c r="AB13" i="39"/>
  <c r="H11" i="69"/>
  <c r="F11" i="69"/>
  <c r="J11" i="69"/>
  <c r="AA13" i="39"/>
  <c r="S13" i="39"/>
  <c r="F11" i="21"/>
  <c r="J11" i="21"/>
  <c r="H11" i="21"/>
  <c r="J11" i="70"/>
  <c r="H11" i="70"/>
  <c r="F11" i="70"/>
  <c r="C19" i="15" l="1"/>
  <c r="C21" i="44"/>
  <c r="C22" i="44" s="1"/>
  <c r="C25" i="44" s="1"/>
  <c r="C20" i="15"/>
  <c r="C26" i="15" s="1"/>
  <c r="R6" i="1"/>
  <c r="R16" i="1" s="1"/>
  <c r="R27" i="6"/>
  <c r="C22" i="43"/>
  <c r="C21" i="43" s="1"/>
  <c r="C28" i="43" s="1"/>
  <c r="C30" i="43" s="1"/>
  <c r="C32" i="43" s="1"/>
  <c r="B2" i="43" s="1"/>
  <c r="K72" i="39"/>
  <c r="L70" i="39"/>
  <c r="M65" i="40"/>
  <c r="L67" i="40"/>
  <c r="AB11" i="70"/>
  <c r="T48" i="70" s="1"/>
  <c r="G48" i="70" s="1"/>
  <c r="U11" i="70"/>
  <c r="AB11" i="21"/>
  <c r="T48" i="21" s="1"/>
  <c r="G48" i="21" s="1"/>
  <c r="U11" i="21"/>
  <c r="AA11" i="21"/>
  <c r="R48" i="21" s="1"/>
  <c r="S11" i="21"/>
  <c r="AC11" i="69"/>
  <c r="V48" i="69" s="1"/>
  <c r="I48" i="69" s="1"/>
  <c r="W11" i="69"/>
  <c r="AB11" i="69"/>
  <c r="T48" i="69" s="1"/>
  <c r="G48" i="69" s="1"/>
  <c r="U11" i="69"/>
  <c r="AA11" i="70"/>
  <c r="R48" i="70" s="1"/>
  <c r="S11" i="70"/>
  <c r="AC11" i="70"/>
  <c r="V48" i="70" s="1"/>
  <c r="I48" i="70" s="1"/>
  <c r="W11" i="70"/>
  <c r="AC11" i="21"/>
  <c r="V48" i="21" s="1"/>
  <c r="I48" i="21" s="1"/>
  <c r="W11" i="21"/>
  <c r="AA11" i="69"/>
  <c r="R48" i="69" s="1"/>
  <c r="S11" i="69"/>
  <c r="C23" i="15" l="1"/>
  <c r="C29" i="15" s="1"/>
  <c r="C36" i="15" s="1"/>
  <c r="C28" i="44"/>
  <c r="C31" i="44" s="1"/>
  <c r="J19" i="15"/>
  <c r="J17" i="15" s="1"/>
  <c r="B4" i="43"/>
  <c r="B3" i="43"/>
  <c r="B5" i="43"/>
  <c r="M67" i="40"/>
  <c r="N65" i="40"/>
  <c r="N67" i="40" s="1"/>
  <c r="J9" i="40" s="1"/>
  <c r="M70" i="39"/>
  <c r="L72" i="39"/>
  <c r="R49" i="21"/>
  <c r="E48" i="21"/>
  <c r="G52" i="21"/>
  <c r="H52" i="21" s="1"/>
  <c r="G53" i="21"/>
  <c r="H53" i="21" s="1"/>
  <c r="G53" i="70"/>
  <c r="H53" i="70" s="1"/>
  <c r="G52" i="70"/>
  <c r="H52" i="70" s="1"/>
  <c r="R49" i="69"/>
  <c r="E48" i="69"/>
  <c r="I53" i="69" s="1"/>
  <c r="J53" i="69" s="1"/>
  <c r="I52" i="21"/>
  <c r="J52" i="21" s="1"/>
  <c r="I52" i="70"/>
  <c r="J52" i="70" s="1"/>
  <c r="R49" i="70"/>
  <c r="E48" i="70"/>
  <c r="I53" i="70" s="1"/>
  <c r="J53" i="70" s="1"/>
  <c r="G53" i="69"/>
  <c r="H53" i="69" s="1"/>
  <c r="G52" i="69"/>
  <c r="H52" i="69" s="1"/>
  <c r="I52" i="69"/>
  <c r="J52" i="69" s="1"/>
  <c r="C33" i="15" l="1"/>
  <c r="C31" i="15" s="1"/>
  <c r="J59" i="15"/>
  <c r="J60" i="15" s="1"/>
  <c r="C13" i="15"/>
  <c r="C37" i="15" s="1"/>
  <c r="Q50" i="15"/>
  <c r="J14" i="15"/>
  <c r="J13" i="15" s="1"/>
  <c r="J23" i="15" s="1"/>
  <c r="C56" i="15"/>
  <c r="C63" i="15" s="1"/>
  <c r="C30" i="15"/>
  <c r="C39" i="15" s="1"/>
  <c r="C40" i="15" s="1"/>
  <c r="Q66" i="15" s="1"/>
  <c r="C38" i="44"/>
  <c r="Q51" i="44"/>
  <c r="J21" i="44"/>
  <c r="J19" i="44" s="1"/>
  <c r="C35" i="44"/>
  <c r="C33" i="44" s="1"/>
  <c r="J16" i="44"/>
  <c r="J24" i="44" s="1"/>
  <c r="C15" i="44"/>
  <c r="Q72" i="44" s="1"/>
  <c r="N70" i="39"/>
  <c r="N72" i="39" s="1"/>
  <c r="H9" i="39" s="1"/>
  <c r="M72" i="39"/>
  <c r="J9" i="39" s="1"/>
  <c r="F9" i="40"/>
  <c r="W9" i="40"/>
  <c r="AC9" i="40"/>
  <c r="V44" i="40" s="1"/>
  <c r="I44" i="40" s="1"/>
  <c r="H9" i="40"/>
  <c r="C49" i="70"/>
  <c r="B3" i="70" s="1"/>
  <c r="C48" i="70"/>
  <c r="C49" i="69"/>
  <c r="B3" i="69" s="1"/>
  <c r="C48" i="69"/>
  <c r="E53" i="21"/>
  <c r="F53" i="21" s="1"/>
  <c r="E52" i="21"/>
  <c r="F52" i="21" s="1"/>
  <c r="E53" i="70"/>
  <c r="F53" i="70" s="1"/>
  <c r="E52" i="70"/>
  <c r="F52" i="70" s="1"/>
  <c r="I53" i="21"/>
  <c r="J53" i="21" s="1"/>
  <c r="E53" i="69"/>
  <c r="F53" i="69" s="1"/>
  <c r="E52" i="69"/>
  <c r="F52" i="69" s="1"/>
  <c r="C49" i="21"/>
  <c r="B3" i="21" s="1"/>
  <c r="C48" i="21"/>
  <c r="L51" i="15"/>
  <c r="J22" i="15" l="1"/>
  <c r="J16" i="15" s="1"/>
  <c r="J25" i="15" s="1"/>
  <c r="J15" i="44"/>
  <c r="J25" i="44" s="1"/>
  <c r="J18" i="44" s="1"/>
  <c r="J27" i="44" s="1"/>
  <c r="Q71" i="15"/>
  <c r="Q70" i="15"/>
  <c r="J35" i="15"/>
  <c r="J39" i="15" s="1"/>
  <c r="J40" i="15" s="1"/>
  <c r="C55" i="15"/>
  <c r="C64" i="15" s="1"/>
  <c r="Q49" i="15"/>
  <c r="L46" i="15"/>
  <c r="C60" i="15"/>
  <c r="C58" i="15" s="1"/>
  <c r="L57" i="15"/>
  <c r="L60" i="15" s="1"/>
  <c r="Q58" i="15" s="1"/>
  <c r="Q68" i="15"/>
  <c r="B2" i="15"/>
  <c r="B3" i="15" s="1"/>
  <c r="C43" i="44"/>
  <c r="C43" i="15"/>
  <c r="C39" i="44"/>
  <c r="C32" i="44" s="1"/>
  <c r="C42" i="44" s="1"/>
  <c r="Q71" i="44" s="1"/>
  <c r="Q70" i="44" s="1"/>
  <c r="Q48" i="15"/>
  <c r="J42" i="15"/>
  <c r="J43" i="15" s="1"/>
  <c r="Q57" i="15"/>
  <c r="AB9" i="39"/>
  <c r="T49" i="39" s="1"/>
  <c r="G49" i="39" s="1"/>
  <c r="U9" i="39"/>
  <c r="I48" i="40"/>
  <c r="J48" i="40" s="1"/>
  <c r="S9" i="40"/>
  <c r="AA9" i="40"/>
  <c r="R44" i="40" s="1"/>
  <c r="AB9" i="40"/>
  <c r="T44" i="40" s="1"/>
  <c r="G44" i="40" s="1"/>
  <c r="U9" i="40"/>
  <c r="W9" i="39"/>
  <c r="AC9" i="39"/>
  <c r="V49" i="39" s="1"/>
  <c r="I49" i="39" s="1"/>
  <c r="F9" i="39"/>
  <c r="B2" i="21"/>
  <c r="B2" i="69"/>
  <c r="B2" i="70"/>
  <c r="C57" i="15" l="1"/>
  <c r="C66" i="15" s="1"/>
  <c r="C67" i="15" s="1"/>
  <c r="C70" i="15" s="1"/>
  <c r="Q69" i="15"/>
  <c r="Q54" i="15"/>
  <c r="Q67" i="15"/>
  <c r="Q76" i="15" s="1"/>
  <c r="C44" i="44"/>
  <c r="C45" i="44" s="1"/>
  <c r="B2" i="44" s="1"/>
  <c r="B5" i="44" s="1"/>
  <c r="Q63" i="15"/>
  <c r="I53" i="39"/>
  <c r="J53" i="39" s="1"/>
  <c r="R45" i="40"/>
  <c r="E44" i="40"/>
  <c r="S9" i="39"/>
  <c r="AA9" i="39"/>
  <c r="R49" i="39" s="1"/>
  <c r="G48" i="40"/>
  <c r="H48" i="40" s="1"/>
  <c r="G49" i="40"/>
  <c r="H49" i="40" s="1"/>
  <c r="G53" i="39"/>
  <c r="H53" i="39" s="1"/>
  <c r="G54" i="39"/>
  <c r="H54" i="39" s="1"/>
  <c r="C6" i="12"/>
  <c r="C46" i="15" l="1"/>
  <c r="B3" i="44"/>
  <c r="B4" i="44"/>
  <c r="C44" i="40"/>
  <c r="C45" i="40"/>
  <c r="R50" i="39"/>
  <c r="E49" i="39"/>
  <c r="E49" i="40"/>
  <c r="F49" i="40" s="1"/>
  <c r="E48" i="40"/>
  <c r="F48" i="40" s="1"/>
  <c r="I49" i="40"/>
  <c r="J49" i="40" s="1"/>
  <c r="C24" i="12"/>
  <c r="C29" i="12"/>
  <c r="E54" i="39" l="1"/>
  <c r="F54" i="39" s="1"/>
  <c r="E53" i="39"/>
  <c r="F53" i="39" s="1"/>
  <c r="I54" i="39"/>
  <c r="J54" i="39" s="1"/>
  <c r="B53" i="40"/>
  <c r="F53" i="40" s="1"/>
  <c r="F63" i="40"/>
  <c r="B2" i="40" s="1"/>
  <c r="B60" i="40"/>
  <c r="F60" i="40" s="1"/>
  <c r="B58" i="40"/>
  <c r="F58" i="40" s="1"/>
  <c r="B54" i="40"/>
  <c r="F54" i="40" s="1"/>
  <c r="B55" i="40"/>
  <c r="F55" i="40" s="1"/>
  <c r="B57" i="40"/>
  <c r="F57" i="40" s="1"/>
  <c r="B56" i="40"/>
  <c r="F56" i="40" s="1"/>
  <c r="B61" i="40"/>
  <c r="F61" i="40" s="1"/>
  <c r="B59" i="40"/>
  <c r="F59" i="40" s="1"/>
  <c r="B62" i="40"/>
  <c r="F62" i="40" s="1"/>
  <c r="C49" i="39"/>
  <c r="C50" i="39"/>
  <c r="C28" i="12"/>
  <c r="C26" i="12" s="1"/>
  <c r="C31" i="12" s="1"/>
  <c r="C30" i="12" s="1"/>
  <c r="C35" i="12"/>
  <c r="C33" i="12" s="1"/>
  <c r="C36" i="12" l="1"/>
  <c r="B2" i="12" s="1"/>
  <c r="B4" i="12" s="1"/>
  <c r="B59" i="39"/>
  <c r="F59" i="39" s="1"/>
  <c r="B61" i="39"/>
  <c r="F61" i="39" s="1"/>
  <c r="B63" i="39"/>
  <c r="F63" i="39" s="1"/>
  <c r="B65" i="39"/>
  <c r="F65" i="39" s="1"/>
  <c r="B67" i="39"/>
  <c r="F67" i="39" s="1"/>
  <c r="B58" i="39"/>
  <c r="F58" i="39" s="1"/>
  <c r="B60" i="39"/>
  <c r="F60" i="39" s="1"/>
  <c r="B62" i="39"/>
  <c r="F62" i="39" s="1"/>
  <c r="B64" i="39"/>
  <c r="F64" i="39" s="1"/>
  <c r="B66" i="39"/>
  <c r="F66" i="39" s="1"/>
  <c r="B5" i="40"/>
  <c r="B3" i="40"/>
  <c r="B4" i="40"/>
  <c r="D19" i="9"/>
  <c r="D21" i="9"/>
  <c r="B5" i="12" l="1"/>
  <c r="B3" i="12"/>
  <c r="L44" i="9"/>
  <c r="F68" i="39"/>
  <c r="B2" i="39" s="1"/>
  <c r="D20" i="9"/>
  <c r="C19" i="9"/>
  <c r="L43" i="9" l="1"/>
  <c r="G19" i="9"/>
  <c r="D22" i="9"/>
  <c r="B3" i="39"/>
  <c r="B4" i="39"/>
  <c r="B5" i="39"/>
  <c r="C21" i="9"/>
  <c r="C20" i="9"/>
  <c r="G20" i="9" l="1"/>
  <c r="G21" i="9"/>
  <c r="C32" i="9"/>
  <c r="G22" i="9"/>
  <c r="N43" i="9"/>
  <c r="C35" i="9" l="1"/>
  <c r="F42" i="9" s="1"/>
  <c r="C33" i="9"/>
  <c r="O43" i="9"/>
  <c r="O38" i="9"/>
  <c r="C42" i="9"/>
  <c r="C34" i="9"/>
  <c r="E42" i="9" l="1"/>
  <c r="P5" i="54" s="1"/>
  <c r="B46" i="63" s="1"/>
  <c r="M38" i="9"/>
  <c r="K27" i="9" s="1"/>
  <c r="K26" i="9"/>
  <c r="K25" i="9"/>
  <c r="D42" i="9"/>
  <c r="Q5" i="54" s="1"/>
  <c r="B47" i="63" s="1"/>
  <c r="N38" i="9"/>
  <c r="K28" i="9" s="1"/>
  <c r="N68" i="9"/>
  <c r="D14" i="66"/>
  <c r="C44" i="9"/>
  <c r="R5" i="54"/>
  <c r="B48" i="63" s="1"/>
  <c r="D63" i="9"/>
  <c r="C82" i="9" l="1"/>
  <c r="C81" i="9" s="1"/>
  <c r="C85" i="9" s="1"/>
  <c r="C86" i="9" s="1"/>
  <c r="D72" i="9" s="1"/>
  <c r="C111" i="9"/>
  <c r="C104" i="9" s="1"/>
  <c r="D70" i="9"/>
  <c r="C96" i="9"/>
  <c r="C91" i="9" s="1"/>
  <c r="C103" i="9"/>
  <c r="D71" i="9"/>
  <c r="D66" i="9" s="1"/>
  <c r="N72" i="9" s="1"/>
  <c r="D77" i="9"/>
  <c r="N75" i="9" s="1"/>
  <c r="C90" i="9"/>
  <c r="C97" i="9" s="1"/>
  <c r="O39" i="9"/>
  <c r="G14" i="66"/>
  <c r="B6" i="66" s="1"/>
  <c r="E44" i="9"/>
  <c r="D44" i="9"/>
  <c r="F44" i="9"/>
  <c r="N69" i="9"/>
  <c r="B5" i="66"/>
  <c r="E14" i="66"/>
  <c r="F14" i="66"/>
  <c r="C113" i="9" l="1"/>
  <c r="M84" i="9"/>
  <c r="N84" i="9" s="1"/>
  <c r="M83" i="9"/>
  <c r="N83" i="9" s="1"/>
  <c r="M88" i="9"/>
  <c r="N88" i="9" s="1"/>
  <c r="M87" i="9"/>
  <c r="N87" i="9" s="1"/>
  <c r="M86" i="9"/>
  <c r="N86" i="9" s="1"/>
  <c r="M85" i="9"/>
  <c r="N85" i="9" s="1"/>
  <c r="D6" i="66"/>
  <c r="C6" i="66"/>
  <c r="C98" i="9"/>
  <c r="E98" i="9" s="1"/>
  <c r="E99" i="9" s="1"/>
  <c r="D5" i="66"/>
  <c r="C5" i="66"/>
  <c r="K29" i="9"/>
  <c r="K30" i="9" s="1"/>
  <c r="R6" i="54"/>
  <c r="B50" i="63" s="1"/>
  <c r="C114" i="9" l="1"/>
  <c r="E114" i="9" s="1"/>
  <c r="E115" i="9" s="1"/>
  <c r="N89" i="9"/>
  <c r="O89" i="9" s="1"/>
  <c r="C99" i="9"/>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<sst xmlns="http://schemas.openxmlformats.org/spreadsheetml/2006/main" count="8330" uniqueCount="3268">
  <si>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</si>
  <si>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</si>
  <si>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</si>
  <si>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</si>
  <si>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</si>
  <si>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</si>
  <si>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</si>
  <si>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</si>
  <si>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</si>
  <si>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</si>
  <si>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</si>
  <si>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</si>
  <si>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</si>
  <si>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</si>
  <si>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</si>
  <si>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</si>
  <si>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</si>
  <si>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</si>
  <si>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</si>
  <si>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</si>
  <si>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</si>
  <si>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</si>
  <si>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</si>
  <si>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</si>
  <si>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</si>
  <si>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</si>
  <si>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</si>
  <si>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</si>
  <si>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</si>
  <si>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</si>
  <si>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</si>
  <si>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</si>
  <si>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</si>
  <si>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</si>
  <si>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</si>
  <si>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</si>
  <si>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</si>
  <si>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</si>
  <si>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</si>
  <si>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</si>
  <si>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</si>
  <si>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</si>
  <si>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</si>
  <si>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</si>
  <si>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</si>
  <si>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</si>
  <si>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</si>
  <si>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</si>
  <si>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</si>
  <si>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</si>
  <si>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</si>
  <si>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</si>
  <si>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</si>
  <si>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</si>
  <si>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</si>
  <si>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</si>
  <si>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</si>
  <si>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</si>
  <si>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</si>
  <si>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</si>
  <si>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</si>
  <si>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</si>
  <si>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</si>
  <si>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</si>
  <si>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</si>
  <si>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</si>
  <si>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</si>
  <si>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</si>
  <si>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</si>
  <si>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</si>
  <si>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</si>
  <si>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</si>
  <si>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</si>
  <si>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</si>
  <si>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</si>
  <si>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</si>
  <si>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</si>
  <si>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</si>
  <si>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</si>
  <si>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</si>
  <si>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</si>
  <si>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</si>
  <si>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</si>
  <si>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</si>
  <si>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</si>
  <si>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</si>
  <si>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</si>
  <si>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</si>
  <si>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</si>
  <si>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</si>
  <si>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</si>
  <si>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</si>
  <si>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</si>
  <si>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</si>
  <si>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</si>
  <si>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</si>
  <si>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</si>
  <si>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</si>
  <si>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</si>
  <si>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</si>
  <si>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</si>
  <si>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</si>
  <si>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</si>
  <si>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</si>
  <si>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</si>
  <si>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</si>
  <si>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</si>
  <si>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</si>
  <si>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</si>
  <si>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</si>
  <si>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</si>
  <si>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</si>
  <si>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</si>
  <si>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</si>
  <si>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</si>
  <si>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</si>
  <si>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</si>
  <si>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</si>
  <si>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</si>
  <si>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</si>
  <si>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</si>
  <si>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</si>
  <si>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</si>
  <si>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</si>
  <si>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</si>
  <si>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</si>
  <si>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</si>
  <si>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</si>
  <si>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</si>
  <si>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</si>
  <si>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</si>
  <si>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</si>
  <si>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</si>
  <si>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</si>
  <si>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</si>
  <si>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</si>
  <si>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</si>
  <si>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</si>
  <si>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</si>
  <si>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</si>
  <si>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</si>
  <si>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</si>
  <si>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</si>
  <si>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</si>
  <si>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</si>
  <si>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</si>
  <si>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</si>
  <si>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</si>
  <si>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</si>
  <si>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</si>
  <si>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</si>
  <si>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</si>
  <si>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</si>
  <si>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</si>
  <si>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</si>
  <si>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</si>
  <si>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</si>
  <si>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</si>
  <si>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</si>
  <si>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</si>
  <si>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</si>
  <si>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</si>
  <si>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</si>
  <si>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</si>
  <si>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</si>
  <si>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</si>
  <si>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</si>
  <si>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</si>
  <si>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</si>
  <si>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</si>
  <si>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</si>
  <si>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</si>
  <si>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</si>
  <si>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</si>
  <si>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</si>
  <si>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</si>
  <si>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</si>
  <si>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</si>
  <si>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</si>
  <si>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</si>
  <si>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</si>
  <si>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</si>
  <si>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</si>
  <si>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</si>
  <si>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</si>
  <si>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</si>
  <si>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</si>
  <si>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</si>
  <si>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</si>
  <si>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</si>
  <si>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</si>
  <si>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</si>
  <si>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</si>
  <si>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</si>
  <si>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</si>
  <si>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</si>
  <si>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</si>
  <si>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</si>
  <si>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</si>
  <si>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</si>
  <si>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</si>
  <si>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</si>
  <si>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</si>
  <si>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</si>
  <si>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</si>
  <si>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</si>
  <si>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</si>
  <si>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</si>
  <si>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</si>
  <si>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</si>
  <si>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</si>
  <si>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</si>
  <si>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</si>
  <si>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</si>
  <si>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</si>
  <si>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</si>
  <si>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</si>
  <si>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</si>
  <si>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</si>
  <si>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</si>
  <si>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</si>
  <si>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</si>
  <si>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</si>
  <si>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</si>
  <si>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</si>
  <si>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</si>
  <si>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</si>
  <si>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</si>
  <si>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</si>
  <si>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</si>
  <si>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</si>
  <si>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</si>
  <si>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</si>
  <si>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</si>
  <si>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</si>
  <si>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</si>
  <si>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</si>
  <si>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</si>
  <si>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</si>
  <si>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</si>
  <si>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</si>
  <si>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</si>
  <si>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</si>
  <si>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</si>
  <si>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</si>
  <si>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</si>
  <si>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</si>
  <si>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</si>
  <si>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</si>
  <si>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</si>
  <si>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</si>
  <si>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</si>
  <si>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</si>
  <si>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</si>
  <si>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</si>
  <si>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</si>
  <si>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</si>
  <si>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</si>
  <si>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</si>
  <si>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</si>
  <si>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</si>
  <si>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</si>
  <si>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</si>
  <si>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</si>
  <si>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</si>
  <si>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</si>
  <si>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</si>
  <si>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</si>
  <si>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</si>
  <si>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</si>
  <si>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</si>
  <si>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</si>
  <si>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</si>
  <si>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</si>
  <si>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</si>
  <si>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</si>
  <si>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</si>
  <si>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</si>
  <si>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</si>
  <si>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</si>
  <si>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</si>
  <si>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</si>
  <si>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</si>
  <si>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</si>
  <si>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</si>
  <si>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</si>
  <si>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</si>
  <si>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</si>
  <si>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</si>
  <si>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</si>
  <si>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</si>
  <si>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</si>
  <si>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</si>
  <si>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</si>
  <si>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</si>
  <si>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</si>
  <si>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</si>
  <si>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</si>
  <si>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</si>
  <si>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</si>
  <si>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</si>
  <si>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</si>
  <si>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</si>
  <si>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</si>
  <si>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</si>
  <si>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</si>
  <si>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</si>
  <si>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</si>
  <si>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</si>
  <si>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</si>
  <si>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</si>
  <si>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</si>
  <si>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</si>
  <si>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</si>
  <si>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</si>
  <si>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</si>
  <si>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</si>
  <si>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</si>
  <si>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</si>
  <si>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</si>
  <si>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</si>
  <si>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</si>
  <si>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</si>
  <si>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</si>
  <si>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</si>
  <si>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</si>
  <si>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</si>
  <si>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</si>
  <si>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</si>
  <si>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</si>
  <si>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</si>
  <si>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</si>
  <si>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</si>
  <si>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</si>
  <si>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</si>
  <si>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</si>
  <si>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</si>
  <si>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</si>
  <si>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</si>
  <si>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</si>
  <si>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</si>
  <si>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</si>
  <si>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</si>
  <si>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</si>
  <si>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</si>
  <si>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</si>
  <si>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</si>
  <si>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</si>
  <si>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</si>
  <si>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</si>
  <si>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</si>
  <si>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</si>
  <si>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</si>
  <si>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</si>
  <si>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</si>
  <si>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</si>
  <si>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</si>
  <si>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</si>
  <si>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</si>
  <si>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</si>
  <si>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</si>
  <si>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</si>
  <si>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</si>
  <si>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</si>
  <si>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</si>
  <si>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</si>
  <si>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</si>
  <si>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</si>
  <si>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</si>
  <si>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</si>
  <si>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</si>
  <si>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</si>
  <si>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</si>
  <si>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</si>
  <si>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</si>
  <si>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</si>
  <si>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</si>
  <si>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</si>
  <si>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</si>
  <si>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</si>
  <si>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</si>
  <si>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</si>
  <si>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</si>
  <si>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</si>
  <si>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</si>
  <si>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</si>
  <si>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</si>
  <si>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</si>
  <si>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</si>
  <si>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</si>
  <si>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</si>
  <si>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</si>
  <si>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</si>
  <si>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</si>
  <si>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</si>
  <si>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</si>
  <si>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</si>
  <si>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</si>
  <si>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</si>
  <si>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</si>
  <si>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</si>
  <si>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</si>
  <si>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</si>
  <si>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</si>
  <si>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</si>
  <si>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</si>
  <si>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</si>
  <si>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</si>
  <si>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</si>
  <si>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</si>
  <si>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</si>
  <si>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</si>
  <si>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</si>
  <si>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</si>
  <si>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</si>
  <si>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</si>
  <si>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</si>
  <si>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</si>
  <si>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</si>
  <si>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</si>
  <si>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</si>
  <si>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</si>
  <si>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</si>
  <si>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</si>
  <si>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</si>
  <si>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</si>
  <si>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</si>
  <si>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</si>
  <si>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</si>
  <si>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</si>
  <si>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</si>
  <si>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</si>
  <si>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</si>
  <si>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</si>
  <si>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</si>
  <si>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</si>
  <si>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</si>
  <si>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</si>
  <si>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</si>
  <si>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</si>
  <si>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</si>
  <si>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</si>
  <si>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</si>
  <si>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</si>
  <si>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</si>
  <si>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</si>
  <si>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</si>
  <si>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</si>
  <si>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</si>
  <si>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</si>
  <si>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</si>
  <si>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</si>
  <si>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</si>
  <si>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</si>
  <si>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</si>
  <si>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</si>
  <si>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</si>
  <si>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</si>
  <si>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</si>
  <si>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</si>
  <si>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</si>
  <si>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</si>
  <si>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</si>
  <si>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</si>
  <si>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</si>
  <si>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</si>
  <si>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</si>
  <si>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</si>
  <si>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</si>
  <si>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</si>
  <si>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</si>
  <si>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</si>
  <si>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</si>
  <si>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</si>
  <si>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</si>
  <si>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</si>
  <si>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</si>
  <si>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</si>
  <si>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</si>
  <si>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</si>
  <si>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</si>
  <si>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</si>
  <si>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</si>
  <si>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</si>
  <si>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</si>
  <si>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</si>
  <si>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</si>
  <si>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</si>
  <si>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</si>
  <si>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</si>
  <si>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</si>
  <si>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</si>
  <si>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</si>
  <si>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</si>
  <si>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</si>
  <si>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</si>
  <si>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</si>
  <si>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</si>
  <si>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</si>
  <si>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</si>
  <si>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</si>
  <si>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</si>
  <si>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</si>
  <si>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</si>
  <si>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</si>
  <si>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</si>
  <si>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</si>
  <si>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</si>
  <si>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</si>
  <si>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</si>
  <si>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</si>
  <si>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</si>
  <si>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</si>
  <si>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</si>
  <si>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</si>
  <si>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</si>
  <si>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</si>
  <si>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</si>
  <si>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</si>
  <si>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</si>
  <si>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</si>
  <si>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</si>
  <si>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</si>
  <si>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</si>
  <si>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</si>
  <si>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</si>
  <si>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</si>
  <si>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</si>
  <si>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</si>
  <si>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</si>
  <si>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</si>
  <si>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</si>
  <si>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</si>
  <si>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</si>
  <si>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</si>
  <si>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</si>
  <si>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</si>
  <si>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</si>
  <si>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</si>
  <si>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</si>
  <si>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</si>
  <si>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</si>
  <si>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</si>
  <si>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</si>
  <si>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</si>
  <si>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</si>
  <si>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</si>
  <si>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</si>
  <si>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</si>
  <si>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</si>
  <si>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</si>
  <si>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</si>
  <si>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</si>
  <si>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</si>
  <si>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</si>
  <si>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</si>
  <si>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</si>
  <si>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</si>
  <si>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</si>
  <si>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</si>
  <si>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</si>
  <si>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</si>
  <si>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</si>
  <si>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</si>
  <si>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</si>
  <si>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</si>
  <si>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</si>
  <si>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</si>
  <si>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</si>
  <si>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</si>
  <si>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</si>
  <si>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</si>
  <si>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</si>
  <si>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</si>
  <si>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</si>
  <si>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</si>
  <si>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</si>
  <si>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</si>
  <si>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</si>
  <si>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</si>
  <si>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</si>
  <si>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</si>
  <si>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</si>
  <si>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</si>
  <si>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</si>
  <si>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</si>
  <si>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</si>
  <si>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</si>
  <si>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</si>
  <si>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</si>
  <si>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</si>
  <si>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</si>
  <si>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</si>
  <si>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</si>
  <si>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</si>
  <si>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</si>
  <si>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</si>
  <si>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</si>
  <si>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</si>
  <si>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</si>
  <si>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</si>
  <si>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</si>
  <si>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</si>
  <si>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</si>
  <si>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</si>
  <si>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</si>
  <si>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</si>
  <si>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</si>
  <si>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</si>
  <si>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</si>
  <si>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</si>
  <si>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</si>
  <si>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</si>
  <si>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</si>
  <si>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</si>
  <si>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</si>
  <si>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</si>
  <si>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</si>
  <si>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</si>
  <si>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</si>
  <si>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</si>
  <si>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</si>
  <si>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</si>
  <si>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</si>
  <si>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</si>
  <si>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</si>
  <si>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</si>
  <si>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</si>
  <si>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</si>
  <si>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</si>
  <si>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</si>
  <si>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</si>
  <si>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</si>
  <si>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</si>
  <si>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</si>
  <si>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</si>
  <si>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</si>
  <si>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</si>
  <si>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</si>
  <si>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</si>
  <si>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</si>
  <si>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</si>
  <si>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</si>
  <si>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</si>
  <si>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</si>
  <si>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</si>
  <si>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</si>
  <si>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</si>
  <si>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</si>
  <si>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</si>
  <si>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</si>
  <si>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</si>
  <si>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</si>
  <si>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</si>
  <si>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</si>
  <si>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</si>
  <si>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</si>
  <si>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</si>
  <si>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</si>
  <si>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</si>
  <si>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</si>
  <si>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</si>
  <si>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</si>
  <si>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</si>
  <si>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</si>
  <si>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</si>
  <si>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</si>
  <si>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</si>
  <si>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</si>
  <si>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</si>
  <si>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</si>
  <si>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</si>
  <si>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</si>
  <si>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</si>
  <si>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</si>
  <si>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</si>
  <si>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</si>
  <si>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</si>
  <si>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</si>
  <si>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</si>
  <si>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</si>
  <si>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</si>
  <si>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</si>
  <si>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</si>
  <si>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</si>
  <si>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</si>
  <si>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</si>
  <si>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</si>
  <si>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</si>
  <si>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</si>
  <si>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</si>
  <si>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</si>
  <si>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</si>
  <si>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</si>
  <si>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</si>
  <si>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</si>
  <si>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</si>
  <si>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</si>
  <si>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</si>
  <si>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</si>
  <si>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</si>
  <si>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</si>
  <si>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</si>
  <si>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</si>
  <si>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</si>
  <si>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</si>
  <si>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</si>
  <si>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</si>
  <si>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</si>
  <si>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</si>
  <si>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</si>
  <si>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</si>
  <si>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</si>
  <si>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</si>
  <si>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</si>
  <si>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</si>
  <si>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</si>
  <si>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</si>
  <si>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</si>
  <si>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</si>
  <si>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</si>
  <si>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</si>
  <si>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</si>
  <si>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</si>
  <si>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</si>
  <si>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</si>
  <si>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</si>
  <si>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</si>
  <si>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</si>
  <si>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</si>
  <si>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</si>
  <si>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</si>
  <si>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</si>
  <si>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</si>
  <si>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</si>
  <si>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</si>
  <si>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</si>
  <si>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</si>
  <si>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</si>
  <si>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</si>
  <si>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</si>
  <si>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</si>
  <si>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</si>
  <si>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</si>
  <si>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</si>
  <si>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</si>
  <si>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</si>
  <si>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</si>
  <si>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</si>
  <si>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</si>
  <si>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</si>
  <si>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</si>
  <si>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</si>
  <si>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</si>
  <si>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</si>
  <si>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</si>
  <si>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</si>
  <si>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</si>
  <si>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</si>
  <si>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</si>
  <si>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</si>
  <si>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</si>
  <si>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</si>
  <si>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</si>
  <si>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</si>
  <si>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</si>
  <si>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</si>
  <si>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</si>
  <si>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</si>
  <si>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</si>
  <si>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</si>
  <si>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</si>
  <si>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</si>
  <si>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</si>
  <si>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</si>
  <si>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</si>
  <si>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</si>
  <si>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</si>
  <si>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</si>
  <si>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</si>
  <si>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</si>
  <si>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</si>
  <si>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</si>
  <si>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</si>
  <si>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</si>
  <si>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</si>
  <si>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</si>
  <si>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</si>
  <si>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</si>
  <si>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</si>
  <si>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</si>
  <si>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</si>
  <si>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</si>
  <si>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</si>
  <si>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</si>
  <si>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</si>
  <si>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</si>
  <si>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</si>
  <si>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</si>
  <si>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</si>
  <si>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</si>
  <si>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</si>
  <si>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</si>
  <si>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</si>
  <si>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</si>
  <si>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</si>
  <si>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</si>
  <si>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</si>
  <si>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</si>
  <si>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</si>
  <si>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</si>
  <si>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</si>
  <si>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</si>
  <si>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</si>
  <si>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</si>
  <si>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</si>
  <si>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</si>
  <si>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</si>
  <si>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</si>
  <si>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</si>
  <si>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</si>
  <si>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</si>
  <si>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</si>
  <si>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</si>
  <si>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</si>
  <si>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</si>
  <si>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</si>
  <si>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</si>
  <si>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</si>
  <si>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</si>
  <si>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</si>
  <si>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</si>
  <si>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</si>
  <si>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</si>
  <si>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</si>
  <si>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</si>
  <si>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</si>
  <si>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</si>
  <si>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</si>
  <si>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</si>
  <si>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</si>
  <si>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</si>
  <si>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</si>
  <si>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</si>
  <si>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</si>
  <si>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</si>
  <si>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</si>
  <si>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</si>
  <si>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</si>
  <si>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</si>
  <si>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</si>
  <si>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</si>
  <si>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</si>
  <si>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</si>
  <si>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</si>
  <si>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</si>
  <si>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</si>
  <si>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</si>
  <si>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</si>
  <si>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</si>
  <si>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</si>
  <si>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</si>
  <si>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</si>
  <si>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</si>
  <si>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</si>
  <si>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</si>
  <si>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</si>
  <si>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</si>
  <si>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</si>
  <si>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</si>
  <si>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</si>
  <si>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</si>
  <si>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</si>
  <si>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</si>
  <si>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</si>
  <si>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</si>
  <si>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</si>
  <si>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</si>
  <si>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</si>
  <si>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</si>
  <si>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</si>
  <si>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</si>
  <si>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</si>
  <si>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</si>
  <si>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</si>
  <si>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</si>
  <si>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</si>
  <si>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</si>
  <si>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</si>
  <si>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</si>
  <si>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</si>
  <si>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</si>
  <si>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</si>
  <si>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</si>
  <si>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</si>
  <si>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</si>
  <si>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</si>
  <si>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</si>
  <si>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</si>
  <si>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</si>
  <si>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</si>
  <si>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</si>
  <si>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</si>
  <si>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</si>
  <si>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</si>
  <si>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</si>
  <si>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</si>
  <si>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</si>
  <si>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</si>
  <si>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</si>
  <si>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</si>
  <si>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</si>
  <si>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</si>
  <si>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</si>
  <si>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</si>
  <si>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</si>
  <si>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</si>
  <si>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</si>
  <si>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</si>
  <si>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</si>
  <si>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</si>
  <si>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</si>
  <si>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</si>
  <si>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</si>
  <si>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</si>
  <si>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</si>
  <si>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</si>
  <si>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</si>
  <si>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</si>
  <si>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</si>
  <si>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</si>
  <si>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</si>
  <si>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</si>
  <si>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</si>
  <si>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</si>
  <si>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</si>
  <si>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</si>
  <si>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</si>
  <si>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</si>
  <si>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</si>
  <si>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</si>
  <si>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</si>
  <si>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</si>
  <si>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</si>
  <si>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</si>
  <si>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</si>
  <si>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</si>
  <si>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</si>
  <si>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</si>
  <si>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</si>
  <si>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</si>
  <si>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</si>
  <si>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</si>
  <si>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</si>
  <si>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</si>
  <si>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</si>
  <si>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</si>
  <si>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</si>
  <si>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</si>
  <si>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</si>
  <si>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</si>
  <si>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</si>
  <si>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</si>
  <si>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</si>
  <si>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</si>
  <si>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</si>
  <si>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</si>
  <si>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</si>
  <si>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</si>
  <si>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</si>
  <si>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</si>
  <si>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</si>
  <si>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</si>
  <si>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</si>
  <si>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</si>
  <si>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</si>
  <si>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</si>
  <si>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</si>
  <si>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</si>
  <si>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</si>
  <si>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</si>
  <si>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</si>
  <si>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</si>
  <si>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</si>
  <si>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</si>
  <si>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</si>
  <si>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</si>
  <si>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</si>
  <si>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</si>
  <si>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</si>
  <si>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</si>
  <si>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</si>
  <si>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</si>
  <si>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</si>
  <si>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</si>
  <si>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</si>
  <si>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</si>
  <si>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</si>
  <si>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</si>
  <si>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</si>
  <si>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</si>
  <si>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</si>
  <si>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</si>
  <si>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</si>
  <si>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</si>
  <si>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</si>
  <si>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</si>
  <si>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</si>
  <si>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</si>
  <si>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</si>
  <si>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</si>
  <si>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</si>
  <si>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</si>
  <si>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</si>
  <si>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</si>
  <si>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</si>
  <si>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</si>
  <si>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</si>
  <si>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</si>
  <si>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</si>
  <si>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</si>
  <si>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</si>
  <si>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</si>
  <si>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</si>
  <si>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</si>
  <si>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</si>
  <si>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</si>
  <si>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</si>
  <si>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</si>
  <si>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</si>
  <si>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</si>
  <si>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</si>
  <si>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</si>
  <si>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</si>
  <si>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</si>
  <si>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</si>
  <si>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</si>
  <si>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</si>
  <si>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</si>
  <si>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</si>
  <si>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</si>
  <si>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</si>
  <si>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</si>
  <si>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</si>
  <si>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</si>
  <si>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</si>
  <si>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</si>
  <si>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</si>
  <si>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</si>
  <si>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</si>
  <si>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</si>
  <si>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</si>
  <si>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</si>
  <si>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</si>
  <si>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</si>
  <si>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</si>
  <si>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</si>
  <si>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</si>
  <si>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</si>
  <si>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</si>
  <si>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</si>
  <si>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</si>
  <si>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</si>
  <si>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</si>
  <si>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</si>
  <si>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</si>
  <si>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</si>
  <si>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</si>
  <si>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</si>
  <si>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</si>
  <si>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</si>
  <si>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</si>
  <si>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</si>
  <si>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</si>
  <si>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</si>
  <si>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</si>
  <si>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</si>
  <si>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</si>
  <si>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</si>
  <si>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</si>
  <si>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</si>
  <si>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</si>
  <si>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</si>
  <si>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</si>
  <si>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</si>
  <si>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</si>
  <si>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</si>
  <si>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</si>
  <si>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</si>
  <si>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</si>
  <si>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</si>
  <si>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</si>
  <si>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</si>
  <si>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</si>
  <si>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</si>
  <si>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</si>
  <si>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</si>
  <si>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</si>
  <si>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</si>
  <si>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</si>
  <si>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</si>
  <si>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</si>
  <si>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</si>
  <si>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</si>
  <si>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</si>
  <si>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</si>
  <si>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</si>
  <si>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</si>
  <si>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</si>
  <si>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</si>
  <si>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</si>
  <si>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</si>
  <si>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</si>
  <si>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</si>
  <si>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</si>
  <si>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</si>
  <si>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</si>
  <si>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</si>
  <si>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</si>
  <si>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</si>
  <si>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</si>
  <si>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</si>
  <si>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</si>
  <si>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</si>
  <si>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</si>
  <si>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</si>
  <si>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</si>
  <si>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</si>
  <si>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</si>
  <si>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</si>
  <si>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</si>
  <si>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</si>
  <si>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</si>
  <si>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</si>
  <si>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</si>
  <si>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</si>
  <si>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</si>
  <si>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</si>
  <si>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</si>
  <si>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</si>
  <si>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</si>
  <si>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</si>
  <si>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</si>
  <si>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</si>
  <si>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</si>
  <si>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</si>
  <si>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</si>
  <si>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</si>
  <si>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</si>
  <si>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</si>
  <si>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</si>
  <si>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</si>
  <si>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</si>
  <si>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</si>
  <si>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</si>
  <si>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</si>
  <si>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</si>
  <si>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</si>
  <si>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</si>
  <si>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</si>
  <si>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</si>
  <si>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</si>
  <si>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</si>
  <si>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</si>
  <si>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</si>
  <si>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</si>
  <si>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</si>
  <si>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</si>
  <si>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</si>
  <si>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</si>
  <si>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</si>
  <si>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</si>
  <si>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</si>
  <si>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</si>
  <si>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</si>
  <si>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</si>
  <si>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</si>
  <si>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</si>
  <si>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</si>
  <si>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</si>
  <si>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</si>
  <si>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</si>
  <si>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</si>
  <si>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</si>
  <si>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</si>
  <si>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</si>
  <si>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</si>
  <si>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</si>
  <si>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</si>
  <si>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</si>
  <si>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</si>
  <si>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</si>
  <si>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</si>
  <si>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</si>
  <si>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</si>
  <si>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</si>
  <si>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</si>
  <si>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</si>
  <si>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</si>
  <si>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</si>
  <si>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</si>
  <si>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</si>
  <si>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</si>
  <si>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</si>
  <si>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</si>
  <si>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</si>
  <si>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</si>
  <si>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</si>
  <si>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</si>
  <si>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</si>
  <si>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</si>
  <si>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</si>
  <si>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</si>
  <si>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</si>
  <si>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</si>
  <si>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</si>
  <si>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</si>
  <si>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</si>
  <si>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</si>
  <si>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</si>
  <si>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</si>
  <si>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</si>
  <si>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</si>
  <si>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</si>
  <si>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</si>
  <si>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</si>
  <si>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</si>
  <si>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</si>
  <si>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</si>
  <si>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</si>
  <si>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</si>
  <si>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</si>
  <si>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</si>
  <si>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</si>
  <si>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</si>
  <si>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</si>
  <si>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</si>
  <si>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</si>
  <si>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</si>
  <si>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</si>
  <si>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</si>
  <si>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</si>
  <si>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</si>
  <si>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</si>
  <si>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</si>
  <si>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</si>
  <si>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</si>
  <si>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</si>
  <si>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</si>
  <si>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</si>
  <si>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</si>
  <si>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</si>
  <si>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</si>
  <si>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</si>
  <si>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</si>
  <si>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</si>
  <si>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</si>
  <si>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</si>
  <si>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</si>
  <si>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</si>
  <si>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</si>
  <si>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</si>
  <si>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</si>
  <si>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</si>
  <si>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</si>
  <si>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</si>
  <si>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</si>
  <si>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</si>
  <si>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</si>
  <si>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</si>
  <si>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</si>
  <si>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</si>
  <si>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</si>
  <si>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</si>
  <si>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</si>
  <si>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</si>
  <si>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</si>
  <si>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</si>
  <si>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</si>
  <si>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</si>
  <si>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</si>
  <si>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</si>
  <si>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</si>
  <si>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</si>
  <si>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</si>
  <si>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</si>
  <si>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</si>
  <si>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</si>
  <si>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</si>
  <si>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</si>
  <si>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</si>
  <si>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</si>
  <si>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</si>
  <si>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</si>
  <si>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</si>
  <si>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</si>
  <si>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</si>
  <si>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</si>
  <si>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</si>
  <si>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</si>
  <si>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</si>
  <si>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</si>
  <si>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</si>
  <si>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</si>
  <si>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</si>
  <si>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</si>
  <si>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</si>
  <si>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</si>
  <si>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</si>
  <si>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</si>
  <si>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</si>
  <si>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</si>
  <si>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</si>
  <si>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</si>
  <si>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</si>
  <si>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</si>
  <si>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</si>
  <si>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</si>
  <si>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</si>
  <si>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</si>
  <si>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</si>
  <si>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</si>
  <si>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</si>
  <si>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</si>
  <si>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</si>
  <si>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</si>
  <si>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</si>
  <si>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</si>
  <si>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</si>
  <si>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</si>
  <si>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</si>
  <si>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</si>
  <si>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</si>
  <si>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</si>
  <si>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</si>
  <si>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</si>
  <si>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</si>
  <si>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</si>
  <si>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</si>
  <si>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</si>
  <si>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</si>
  <si>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</si>
  <si>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</si>
  <si>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</si>
  <si>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</si>
  <si>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</si>
  <si>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</si>
  <si>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</si>
  <si>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</si>
  <si>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</si>
  <si>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</si>
  <si>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</si>
  <si>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</si>
  <si>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</si>
  <si>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</si>
  <si>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</si>
  <si>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</si>
  <si>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</si>
  <si>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</si>
  <si>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</si>
  <si>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</si>
  <si>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</si>
  <si>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</si>
  <si>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</si>
  <si>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</si>
  <si>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</si>
  <si>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</si>
  <si>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</si>
  <si>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</si>
  <si>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</si>
  <si>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</si>
  <si>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</si>
  <si>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</si>
  <si>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</si>
  <si>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</si>
  <si>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</si>
  <si>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</si>
  <si>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</si>
  <si>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</si>
  <si>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</si>
  <si>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</si>
  <si>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</si>
  <si>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</si>
  <si>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</si>
  <si>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</si>
  <si>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</si>
  <si>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</si>
  <si>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</si>
  <si>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</si>
  <si>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</si>
  <si>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</si>
  <si>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</si>
  <si>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</si>
  <si>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</si>
  <si>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</si>
  <si>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</si>
  <si>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</si>
  <si>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</si>
  <si>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</si>
  <si>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</si>
  <si>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</si>
  <si>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</si>
  <si>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</si>
  <si>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</si>
  <si>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</si>
  <si>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</si>
  <si>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</si>
  <si>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</si>
  <si>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</si>
  <si>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</si>
  <si>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</si>
  <si>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</si>
  <si>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</si>
  <si>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</si>
  <si>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</si>
  <si>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</si>
  <si>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</si>
  <si>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</si>
  <si>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</si>
  <si>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</si>
  <si>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</si>
  <si>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</si>
  <si>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</si>
  <si>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</si>
  <si>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</si>
  <si>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</si>
  <si>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</si>
  <si>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</si>
  <si>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</si>
  <si>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</si>
  <si>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</si>
  <si>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</si>
  <si>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</si>
  <si>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</si>
  <si>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</si>
  <si>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</si>
  <si>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</si>
  <si>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</si>
  <si>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</si>
  <si>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</si>
  <si>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</si>
  <si>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</si>
  <si>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</si>
  <si>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</si>
  <si>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</si>
  <si>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</si>
  <si>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</si>
  <si>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</si>
  <si>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</si>
  <si>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</si>
  <si>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</si>
  <si>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</si>
  <si>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</si>
  <si>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</si>
  <si>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</si>
  <si>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</si>
  <si>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</si>
  <si>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</si>
  <si>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</si>
  <si>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</si>
  <si>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</si>
  <si>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</si>
  <si>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</si>
  <si>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</si>
  <si>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</si>
  <si>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</si>
  <si>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</si>
  <si>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</si>
  <si>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</si>
  <si>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</si>
  <si>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</si>
  <si>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</si>
  <si>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</si>
  <si>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</si>
  <si>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</si>
  <si>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</si>
  <si>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</si>
  <si>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</si>
  <si>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</si>
  <si>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</si>
  <si>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</si>
  <si>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</si>
  <si>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</si>
  <si>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</si>
  <si>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</si>
  <si>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</si>
  <si>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</si>
  <si>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</si>
  <si>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</si>
  <si>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</si>
  <si>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</si>
  <si>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</si>
  <si>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</si>
  <si>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</si>
  <si>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</si>
  <si>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</si>
  <si>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</si>
  <si>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</si>
  <si>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</si>
  <si>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</si>
  <si>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</si>
  <si>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</si>
  <si>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</si>
  <si>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</si>
  <si>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</si>
  <si>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</si>
  <si>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</si>
  <si>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</si>
  <si>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</si>
  <si>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</si>
  <si>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</si>
  <si>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</si>
  <si>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</si>
  <si>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</si>
  <si>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</si>
  <si>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</si>
  <si>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</si>
  <si>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</si>
  <si>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</si>
  <si>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</si>
  <si>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</si>
  <si>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</si>
  <si>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</si>
  <si>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</si>
  <si>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</si>
  <si>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</si>
  <si>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</si>
  <si>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</si>
  <si>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</si>
  <si>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</si>
  <si>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</si>
  <si>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</si>
  <si>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</si>
  <si>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</si>
  <si>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</si>
  <si>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</si>
  <si>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</si>
  <si>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</si>
  <si>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</si>
  <si>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</si>
  <si>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</si>
  <si>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</si>
  <si>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</si>
  <si>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</si>
  <si>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</si>
  <si>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</si>
  <si>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</si>
  <si>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</si>
  <si>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</si>
  <si>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</si>
  <si>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</si>
  <si>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</si>
  <si>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</si>
  <si>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</si>
  <si>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</si>
  <si>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</si>
  <si>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</si>
  <si>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</si>
  <si>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</si>
  <si>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</si>
  <si>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</si>
  <si>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</si>
  <si>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</si>
  <si>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</si>
  <si>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</si>
  <si>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</si>
  <si>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</si>
  <si>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</si>
  <si>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</si>
  <si>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</si>
  <si>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</si>
  <si>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</si>
  <si>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</si>
  <si>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</si>
  <si>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</si>
  <si>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</si>
  <si>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</si>
  <si>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</si>
  <si>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</si>
  <si>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</si>
  <si>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</si>
  <si>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</si>
  <si>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</si>
  <si>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</si>
  <si>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</si>
  <si>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</si>
  <si>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</si>
  <si>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</si>
  <si>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</si>
  <si>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</si>
  <si>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</si>
  <si>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</si>
  <si>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</si>
  <si>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</si>
  <si>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</si>
  <si>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</si>
  <si>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</si>
  <si>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</si>
  <si>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</si>
  <si>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</si>
  <si>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</si>
  <si>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</si>
  <si>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</si>
  <si>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</si>
  <si>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</si>
  <si>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</si>
  <si>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</si>
  <si>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</si>
  <si>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</si>
  <si>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</si>
  <si>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</si>
  <si>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</si>
  <si>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</si>
  <si>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</si>
  <si>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</si>
  <si>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</si>
  <si>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</si>
  <si>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</si>
  <si>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</si>
  <si>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</si>
  <si>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</si>
  <si>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</si>
  <si>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</si>
  <si>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</si>
  <si>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</si>
  <si>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</si>
  <si>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</si>
  <si>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</si>
  <si>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</si>
  <si>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</si>
  <si>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</si>
  <si>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</si>
  <si>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</si>
  <si>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</si>
  <si>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</si>
  <si>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</si>
  <si>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</si>
  <si>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</si>
  <si>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</si>
  <si>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</si>
  <si>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</si>
  <si>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</si>
  <si>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</si>
  <si>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</si>
  <si>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</si>
  <si>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</si>
  <si>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</si>
  <si>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</si>
  <si>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</si>
  <si>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</si>
  <si>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</si>
  <si>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</si>
  <si>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</si>
  <si>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</si>
  <si>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</si>
  <si>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</si>
  <si>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</si>
  <si>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</si>
  <si>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</si>
  <si>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</si>
  <si>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</si>
  <si>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</si>
  <si>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</si>
  <si>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</si>
  <si>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</si>
  <si>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</si>
  <si>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</si>
  <si>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</si>
  <si>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</si>
  <si>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</si>
  <si>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</si>
  <si>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</si>
  <si>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</si>
  <si>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</si>
  <si>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</si>
  <si>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</si>
  <si>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</si>
  <si>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</si>
  <si>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</si>
  <si>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</si>
  <si>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</si>
  <si>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</si>
  <si>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</si>
  <si>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</si>
  <si>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</si>
  <si>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</si>
  <si>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</si>
  <si>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</si>
  <si>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</si>
  <si>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</si>
  <si>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</si>
  <si>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</si>
  <si>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</si>
  <si>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</si>
  <si>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</si>
  <si>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</si>
  <si>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</si>
  <si>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</si>
  <si>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</si>
  <si>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</si>
  <si>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</si>
  <si>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</si>
  <si>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</si>
  <si>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</si>
  <si>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</si>
  <si>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</si>
  <si>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</si>
  <si>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</si>
  <si>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</si>
  <si>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</si>
  <si>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</si>
  <si>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</si>
  <si>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</si>
  <si>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</si>
  <si>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</si>
  <si>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</si>
  <si>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</si>
  <si>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</si>
  <si>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</si>
  <si>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</si>
  <si>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</si>
  <si>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</si>
  <si>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</si>
  <si>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</si>
  <si>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</si>
  <si>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</si>
  <si>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</si>
  <si>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</si>
  <si>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</si>
  <si>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</si>
  <si>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</si>
  <si>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</si>
  <si>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</si>
  <si>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</si>
  <si>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</si>
  <si>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</si>
  <si>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</si>
  <si>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</si>
  <si>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</si>
  <si>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</si>
  <si>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</si>
  <si>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</si>
  <si>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</si>
  <si>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</si>
  <si>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</si>
  <si>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</si>
  <si>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</si>
  <si>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</si>
  <si>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</si>
  <si>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</si>
  <si>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</si>
  <si>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</si>
  <si>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</si>
  <si>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</si>
  <si>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</si>
  <si>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</si>
  <si>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</si>
  <si>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</si>
  <si>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</si>
  <si>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</si>
  <si>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</si>
  <si>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</si>
  <si>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</si>
  <si>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</si>
  <si>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</si>
  <si>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</si>
  <si>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</si>
  <si>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</si>
  <si>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</si>
  <si>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</si>
  <si>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</si>
  <si>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</si>
  <si>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</si>
  <si>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</si>
  <si>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</si>
  <si>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</si>
  <si>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</si>
  <si>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</si>
  <si>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</si>
  <si>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</si>
  <si>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</si>
  <si>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</si>
  <si>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</si>
  <si>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</si>
  <si>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</si>
  <si>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</si>
  <si>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</si>
  <si>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</si>
  <si>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</si>
  <si>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</si>
  <si>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</si>
  <si>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</si>
  <si>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</si>
  <si>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</si>
  <si>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</si>
  <si>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</si>
  <si>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</si>
  <si>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</si>
  <si>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</si>
  <si>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</si>
  <si>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</si>
  <si>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</si>
  <si>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</si>
  <si>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</si>
  <si>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</si>
  <si>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</si>
  <si>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</si>
  <si>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</si>
  <si>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</si>
  <si>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</si>
  <si>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</si>
  <si>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</si>
  <si>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</si>
  <si>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</si>
  <si>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</si>
  <si>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</si>
  <si>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</si>
  <si>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</si>
  <si>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</si>
  <si>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</si>
  <si>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</si>
  <si>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</si>
  <si>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</si>
  <si>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</si>
  <si>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</si>
  <si>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</si>
  <si>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</si>
  <si>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</si>
  <si>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</si>
  <si>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</si>
  <si>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</si>
  <si>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</si>
  <si>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</si>
  <si>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</si>
  <si>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</si>
  <si>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</si>
  <si>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</si>
  <si>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</si>
  <si>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</si>
  <si>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</si>
  <si>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</si>
  <si>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</si>
  <si>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</si>
  <si>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</si>
  <si>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</si>
  <si>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</si>
  <si>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</si>
  <si>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</si>
  <si>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</si>
  <si>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</si>
  <si>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</si>
  <si>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</si>
  <si>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</si>
  <si>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</si>
  <si>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</si>
  <si>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</si>
  <si>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</si>
  <si>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</si>
  <si>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</si>
  <si>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</si>
  <si>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</si>
  <si>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</si>
  <si>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</si>
  <si>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</si>
  <si>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</si>
  <si>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</si>
  <si>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</si>
  <si>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</si>
  <si>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</si>
  <si>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</si>
  <si>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</si>
  <si>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</si>
  <si>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</si>
  <si>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</si>
  <si>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</si>
  <si>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</si>
  <si>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</si>
  <si>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</si>
  <si>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</si>
  <si>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</si>
  <si>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</si>
  <si>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</si>
  <si>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</si>
  <si>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</si>
  <si>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</si>
  <si>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</si>
  <si>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</si>
  <si>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</si>
  <si>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</si>
  <si>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</si>
  <si>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</si>
  <si>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</si>
  <si>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</si>
  <si>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</si>
  <si>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</si>
  <si>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</si>
  <si>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</si>
  <si>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</si>
  <si>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</si>
  <si>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</si>
  <si>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</si>
  <si>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</si>
  <si>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</si>
  <si>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</si>
  <si>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</si>
  <si>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</si>
  <si>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</si>
  <si>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</si>
  <si>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</si>
  <si>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</si>
  <si>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</si>
  <si>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</si>
  <si>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</si>
  <si>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</si>
  <si>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</si>
  <si>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</si>
  <si>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</si>
  <si>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</si>
  <si>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</si>
  <si>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</si>
  <si>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</si>
  <si>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</si>
  <si>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</si>
  <si>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</si>
  <si>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</si>
  <si>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</si>
  <si>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</si>
  <si>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</si>
  <si>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</si>
  <si>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</si>
  <si>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</si>
  <si>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</si>
  <si>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</si>
  <si>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</si>
  <si>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</si>
  <si>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</si>
  <si>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</si>
  <si>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</si>
  <si>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</si>
  <si>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</si>
  <si>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</si>
  <si>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</si>
  <si>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</si>
  <si>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</si>
  <si>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</si>
  <si>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</si>
  <si>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</si>
  <si>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</si>
  <si>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</si>
  <si>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</si>
  <si>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</si>
  <si>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</si>
  <si>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</si>
  <si>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</si>
  <si>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</si>
  <si>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</si>
  <si>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</si>
  <si>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</si>
  <si>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</si>
  <si>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</si>
  <si>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</si>
  <si>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</si>
  <si>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</si>
  <si>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</si>
  <si>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</si>
  <si>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</si>
  <si>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</si>
  <si>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</si>
  <si>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</si>
  <si>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</si>
  <si>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</si>
  <si>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</si>
  <si>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</si>
  <si>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</si>
  <si>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</si>
  <si>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</si>
  <si>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</si>
  <si>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</si>
  <si>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</si>
  <si>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</si>
  <si>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</si>
  <si>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</si>
  <si>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</si>
  <si>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</si>
  <si>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</si>
  <si>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</si>
  <si>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</si>
  <si>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</si>
  <si>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</si>
  <si>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</si>
  <si>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</si>
  <si>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</si>
  <si>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</si>
  <si>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</si>
  <si>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</si>
  <si>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</si>
  <si>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</si>
  <si>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</si>
  <si>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</si>
  <si>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</si>
  <si>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</si>
  <si>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</si>
  <si>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</si>
  <si>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</si>
  <si>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</si>
  <si>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</si>
  <si>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</si>
  <si>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</si>
  <si>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</si>
  <si>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</si>
  <si>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</si>
  <si>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</si>
  <si>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</si>
  <si>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</si>
  <si>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</si>
  <si>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</si>
  <si>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</si>
  <si>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</si>
  <si>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</si>
  <si>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</si>
  <si>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</si>
  <si>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</si>
  <si>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</si>
  <si>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</si>
  <si>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</si>
  <si>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</si>
  <si>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</si>
  <si>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</si>
  <si>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</si>
  <si>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</si>
  <si>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</si>
  <si>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</si>
  <si>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</si>
  <si>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</si>
  <si>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</si>
  <si>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</si>
  <si>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</si>
  <si>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</si>
  <si>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</si>
  <si>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</si>
  <si>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</si>
  <si>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</si>
  <si>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</si>
  <si>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</si>
  <si>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</si>
  <si>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</si>
  <si>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</si>
  <si>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</si>
  <si>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</si>
  <si>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</si>
  <si>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</si>
  <si>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</si>
  <si>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</si>
  <si>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</si>
  <si>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</si>
  <si>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</si>
  <si>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</si>
  <si>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</si>
  <si>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</si>
  <si>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</si>
  <si>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</si>
  <si>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</si>
  <si>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</si>
  <si>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</si>
  <si>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</si>
  <si>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</si>
  <si>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</si>
  <si>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</si>
  <si>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</si>
  <si>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</si>
  <si>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</si>
  <si>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</si>
  <si>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</si>
  <si>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</si>
  <si>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</si>
  <si>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</si>
  <si>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</si>
  <si>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</si>
  <si>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</si>
  <si>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</si>
  <si>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</si>
  <si>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</si>
  <si>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</si>
  <si>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</si>
  <si>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</si>
  <si>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</si>
  <si>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</si>
  <si>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</si>
  <si>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</si>
  <si>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</si>
  <si>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</si>
  <si>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</si>
  <si>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</si>
  <si>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</si>
  <si>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</si>
  <si>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</si>
  <si>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</si>
  <si>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</si>
  <si>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</si>
  <si>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</si>
  <si>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</si>
  <si>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</si>
  <si>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</si>
  <si>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</si>
  <si>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</si>
  <si>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</si>
  <si>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</si>
  <si>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</si>
  <si>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</si>
  <si>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</si>
  <si>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</si>
  <si>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</si>
  <si>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</si>
  <si>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</si>
  <si>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</si>
  <si>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</si>
  <si>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</si>
  <si>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</si>
  <si>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</si>
  <si>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</si>
  <si>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</si>
  <si>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</si>
  <si>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</si>
  <si>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</si>
  <si>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</si>
  <si>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</si>
  <si>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</si>
  <si>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</si>
  <si>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</si>
  <si>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</si>
  <si>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</si>
  <si>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</si>
  <si>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</si>
  <si>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</si>
  <si>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</si>
  <si>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</si>
  <si>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</si>
  <si>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</si>
  <si>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</si>
  <si>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</si>
  <si>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</si>
  <si>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</si>
  <si>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</si>
  <si>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</si>
  <si>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</si>
  <si>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</si>
  <si>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</si>
  <si>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</si>
  <si>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</si>
  <si>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</si>
  <si>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</si>
  <si>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</si>
  <si>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</si>
  <si>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</si>
  <si>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</si>
  <si>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</si>
  <si>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</si>
  <si>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</si>
  <si>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</si>
  <si>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</si>
  <si>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</si>
  <si>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</si>
  <si>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</si>
  <si>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</si>
  <si>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</si>
  <si>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</si>
  <si>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</si>
  <si>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</si>
  <si>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</si>
  <si>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</si>
  <si>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</si>
  <si>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</si>
  <si>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</si>
  <si>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</si>
  <si>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</si>
  <si>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</si>
  <si>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</si>
  <si>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</si>
  <si>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</si>
  <si>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</si>
  <si>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</si>
  <si>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</si>
  <si>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</si>
  <si>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</si>
  <si>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</si>
  <si>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</si>
  <si>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</si>
  <si>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</si>
  <si>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</si>
  <si>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</si>
  <si>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</si>
  <si>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</si>
  <si>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</si>
  <si>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</si>
  <si>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</si>
  <si>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</si>
  <si>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</si>
  <si>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</si>
  <si>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</si>
  <si>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</si>
  <si>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</si>
  <si>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</si>
  <si>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</si>
  <si>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</si>
  <si>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</si>
  <si>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</si>
  <si>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</si>
  <si>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</si>
  <si>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</si>
  <si>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</si>
  <si>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</si>
  <si>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</si>
  <si>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</si>
  <si>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</si>
  <si>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</si>
  <si>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</si>
  <si>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</si>
  <si>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</si>
  <si>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</si>
  <si>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</si>
  <si>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</si>
  <si>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</si>
  <si>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</si>
  <si>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</si>
  <si>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</si>
  <si>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</si>
  <si>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</si>
  <si>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</si>
  <si>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</si>
  <si>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</si>
  <si>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</si>
  <si>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</si>
  <si>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</si>
  <si>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</si>
  <si>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</si>
  <si>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</si>
  <si>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</si>
  <si>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</si>
  <si>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</si>
  <si>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</si>
  <si>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</si>
  <si>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</si>
  <si>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</si>
  <si>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</si>
  <si>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</si>
  <si>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</si>
  <si>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</si>
  <si>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</si>
  <si>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</si>
  <si>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</si>
  <si>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</si>
  <si>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</si>
  <si>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</si>
  <si>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</si>
  <si>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</si>
  <si>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</si>
  <si>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</si>
  <si>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</si>
  <si>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</si>
  <si>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</si>
  <si>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</si>
  <si>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</si>
  <si>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</si>
  <si>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</si>
  <si>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</si>
  <si>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</si>
  <si>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</si>
  <si>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</si>
  <si>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</si>
  <si>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</si>
  <si>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</si>
  <si>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</si>
  <si>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</si>
  <si>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</si>
  <si>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</si>
  <si>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</si>
  <si>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</si>
  <si>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</si>
  <si>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</si>
  <si>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</si>
  <si>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</si>
  <si>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</si>
  <si>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</si>
  <si>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</si>
  <si>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</si>
  <si>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</si>
  <si>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</si>
  <si>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</si>
  <si>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</si>
  <si>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</si>
  <si>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</si>
  <si>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</si>
  <si>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</si>
  <si>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</si>
  <si>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</si>
  <si>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</si>
  <si>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</si>
  <si>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</si>
  <si>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</si>
  <si>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</si>
  <si>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</si>
  <si>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</si>
  <si>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</si>
  <si>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</si>
  <si>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</si>
  <si>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</si>
  <si>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</si>
  <si>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</si>
  <si>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</si>
  <si>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</si>
  <si>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</si>
  <si>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</si>
  <si>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</si>
  <si>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</si>
  <si>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</si>
  <si>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</si>
  <si>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</si>
  <si>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</si>
  <si>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</si>
  <si>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</si>
  <si>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</si>
  <si>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</si>
  <si>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</si>
  <si>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</si>
  <si>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</si>
  <si>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</si>
  <si>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</si>
  <si>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</si>
  <si>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</si>
  <si>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</si>
  <si>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</si>
  <si>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</si>
  <si>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</si>
  <si>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</si>
  <si>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</si>
  <si>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</si>
  <si>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</si>
  <si>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</si>
  <si>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</si>
  <si>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</si>
  <si>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</si>
  <si>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</si>
  <si>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</si>
  <si>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</si>
  <si>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</si>
  <si>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</si>
  <si>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</si>
  <si>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</si>
  <si>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</si>
  <si>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</si>
  <si>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</si>
  <si>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</si>
  <si>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</si>
  <si>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</si>
  <si>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</si>
  <si>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</si>
  <si>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</si>
  <si>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</si>
  <si>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</si>
  <si>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</si>
  <si>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</si>
  <si>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</si>
  <si>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</si>
  <si>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</si>
  <si>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</si>
  <si>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</si>
  <si>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</si>
  <si>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</si>
  <si>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</si>
  <si>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</si>
  <si>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</si>
  <si>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</si>
  <si>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</si>
  <si>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</si>
  <si>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</si>
  <si>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</si>
  <si>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</si>
  <si>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</si>
  <si>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</si>
  <si>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</si>
  <si>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</si>
  <si>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</si>
  <si>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</si>
  <si>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</si>
  <si>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</si>
  <si>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</si>
  <si>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</si>
  <si>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</si>
  <si>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</si>
  <si>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</si>
  <si>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</si>
  <si>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</si>
  <si>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</si>
  <si>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</si>
  <si>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</si>
  <si>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</si>
  <si>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</si>
  <si>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</si>
  <si>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</si>
  <si>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</si>
  <si>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</si>
  <si>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</si>
  <si>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</si>
  <si>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</si>
  <si>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</si>
  <si>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</si>
  <si>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</si>
  <si>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</si>
  <si>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</si>
  <si>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</si>
  <si>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</si>
  <si>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</si>
  <si>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</si>
  <si>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</si>
  <si>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</si>
  <si>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</si>
  <si>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</si>
  <si>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</si>
  <si>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</si>
  <si>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</si>
  <si>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</si>
  <si>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</si>
  <si>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</si>
  <si>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</si>
  <si>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</si>
  <si>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</si>
  <si>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</si>
  <si>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</si>
  <si>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</si>
  <si>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</si>
  <si>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</si>
  <si>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</si>
  <si>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</si>
  <si>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</si>
  <si>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</si>
  <si>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</si>
  <si>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</si>
  <si>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</si>
  <si>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</si>
  <si>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</si>
  <si>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</si>
  <si>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</si>
  <si>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</si>
  <si>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</si>
  <si>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</si>
  <si>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</si>
  <si>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</si>
  <si>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</si>
  <si>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</si>
  <si>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</si>
  <si>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</si>
  <si>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</si>
  <si>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</si>
  <si>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</si>
  <si>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</si>
  <si>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</si>
  <si>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</si>
  <si>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</si>
  <si>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</si>
  <si>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</si>
  <si>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</si>
  <si>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</si>
  <si>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</si>
  <si>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</si>
  <si>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</si>
  <si>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</si>
  <si>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</si>
  <si>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</si>
  <si>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</si>
  <si>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</si>
  <si>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</si>
  <si>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</si>
  <si>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</si>
  <si>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</si>
  <si>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</si>
  <si>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</si>
  <si>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</si>
  <si>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</si>
  <si>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</si>
  <si>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</si>
  <si>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</si>
  <si>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</si>
  <si>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</si>
  <si>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</si>
  <si>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</si>
  <si>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</si>
  <si>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</si>
  <si>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</si>
  <si>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</si>
  <si>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</si>
  <si>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</si>
  <si>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</si>
  <si>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</si>
  <si>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</si>
  <si>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</si>
  <si>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</si>
  <si>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</si>
  <si>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</si>
  <si>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</si>
  <si>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</si>
  <si>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</si>
  <si>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</si>
  <si>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</si>
  <si>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</si>
  <si>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</si>
  <si>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</si>
  <si>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</si>
  <si>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</si>
  <si>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</si>
  <si>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</si>
  <si>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</si>
  <si>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</si>
  <si>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</si>
  <si>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</si>
  <si>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</si>
  <si>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</si>
  <si>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</si>
  <si>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</si>
  <si>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</si>
  <si>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</si>
  <si>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</si>
  <si>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</si>
  <si>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</si>
  <si>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</si>
  <si>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</si>
  <si>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</si>
  <si>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</si>
  <si>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</si>
  <si>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</si>
  <si>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</si>
  <si>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</si>
  <si>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</si>
  <si>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</si>
  <si>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</si>
  <si>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</si>
  <si>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</si>
  <si>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</si>
  <si>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</si>
  <si>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</si>
  <si>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</si>
  <si>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</si>
  <si>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</si>
  <si>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</si>
  <si>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</si>
  <si>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</si>
  <si>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</si>
  <si>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</si>
  <si>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</si>
  <si>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</si>
  <si>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</si>
  <si>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</si>
  <si>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</si>
  <si>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</si>
  <si>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</si>
  <si>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</si>
  <si>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</si>
  <si>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</si>
  <si>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</si>
  <si>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</si>
  <si>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</si>
  <si>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</si>
  <si>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</si>
  <si>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</si>
  <si>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</si>
  <si>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</si>
  <si>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</si>
  <si>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</si>
  <si>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</si>
  <si>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</si>
  <si>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</si>
  <si>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</si>
  <si>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</si>
  <si>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</si>
  <si>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</si>
  <si>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</si>
  <si>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</si>
  <si>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</si>
  <si>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</si>
  <si>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</si>
  <si>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</si>
  <si>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</si>
  <si>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</si>
  <si>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</si>
  <si>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</si>
  <si>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</si>
  <si>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</si>
  <si>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</si>
  <si>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</si>
  <si>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</si>
  <si>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</si>
  <si>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</si>
  <si>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</si>
  <si>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</si>
  <si>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</si>
  <si>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</si>
  <si>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</si>
  <si>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</si>
  <si>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</si>
  <si>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</si>
  <si>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</si>
  <si>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</si>
  <si>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</si>
  <si>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</si>
  <si>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</si>
  <si>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</si>
  <si>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</si>
  <si>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</si>
  <si>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</si>
  <si>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</si>
  <si>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</si>
  <si>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</si>
  <si>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</si>
  <si>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</si>
  <si>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</si>
  <si>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</si>
  <si>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</si>
  <si>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</si>
  <si>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</si>
  <si>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</si>
  <si>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</si>
  <si>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</si>
  <si>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</si>
  <si>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</si>
  <si>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</si>
  <si>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</si>
  <si>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</si>
  <si>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</si>
  <si>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</si>
  <si>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</si>
  <si>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</si>
  <si>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</si>
  <si>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</si>
  <si>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</si>
  <si>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</si>
  <si>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</si>
  <si>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</si>
  <si>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</si>
  <si>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</si>
  <si>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</si>
  <si>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</si>
  <si>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</si>
  <si>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</si>
  <si>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</si>
  <si>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</si>
  <si>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</si>
  <si>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</si>
  <si>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</si>
  <si>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</si>
  <si>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</si>
  <si>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</si>
  <si>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</si>
  <si>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</si>
  <si>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</si>
  <si>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</si>
  <si>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</si>
  <si>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</si>
  <si>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</si>
  <si>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</si>
  <si>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</si>
  <si>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</si>
  <si>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</si>
  <si>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</si>
  <si>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</si>
  <si>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</si>
  <si>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</si>
  <si>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</si>
  <si>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</si>
  <si>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</si>
  <si>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</si>
  <si>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</si>
  <si>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</si>
  <si>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</si>
  <si>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</si>
  <si>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</si>
  <si>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</si>
  <si>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</si>
  <si>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</si>
  <si>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</si>
  <si>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</si>
  <si>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</si>
  <si>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</si>
  <si>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</si>
  <si>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</si>
  <si>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</si>
  <si>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</si>
  <si>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</si>
  <si>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</si>
  <si>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</si>
  <si>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</si>
  <si>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</si>
  <si>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</si>
  <si>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</si>
  <si>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</si>
  <si>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</si>
  <si>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</si>
  <si>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</si>
  <si>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</si>
  <si>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</si>
  <si>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</si>
  <si>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</si>
  <si>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</si>
  <si>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</si>
  <si>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</si>
  <si>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</si>
  <si>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</si>
  <si>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</si>
  <si>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</si>
  <si>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</si>
  <si>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</si>
  <si>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</si>
  <si>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</si>
  <si>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</si>
  <si>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</si>
  <si>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</si>
  <si>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</si>
  <si>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</si>
  <si>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</si>
  <si>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</si>
  <si>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</si>
  <si>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</si>
  <si>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</si>
  <si>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</si>
  <si>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</si>
  <si>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</si>
  <si>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</si>
  <si>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</si>
  <si>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</si>
  <si>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</si>
  <si>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</si>
  <si>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</si>
  <si>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</si>
  <si>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</si>
  <si>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</si>
  <si>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</si>
  <si>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</si>
  <si>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</si>
  <si>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</si>
  <si>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</si>
  <si>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</si>
  <si>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</si>
  <si>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</si>
  <si>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</si>
  <si>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</si>
  <si>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</si>
  <si>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</si>
  <si>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</si>
  <si>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</si>
  <si>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</si>
  <si>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</si>
  <si>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</si>
  <si>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</si>
  <si>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</si>
  <si>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</si>
  <si>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</si>
  <si>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</si>
  <si>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</si>
  <si>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</si>
  <si>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</si>
  <si>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</si>
  <si>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</si>
  <si>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</si>
  <si>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</si>
  <si>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</si>
  <si>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</si>
  <si>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</si>
  <si>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</si>
  <si>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</si>
  <si>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</si>
  <si>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</si>
  <si>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</si>
  <si>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</si>
  <si>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</si>
  <si>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</si>
  <si>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</si>
  <si>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</si>
  <si>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</si>
  <si>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</si>
  <si>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</si>
  <si>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</si>
  <si>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</si>
  <si>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</si>
  <si>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</si>
  <si>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</si>
  <si>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</si>
  <si>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</si>
  <si>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</si>
  <si>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</si>
  <si>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</si>
  <si>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</si>
  <si>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</si>
  <si>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</si>
  <si>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</si>
  <si>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</si>
  <si>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</si>
  <si>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</si>
  <si>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</si>
  <si>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</si>
  <si>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</si>
  <si>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</si>
  <si>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</si>
  <si>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</si>
  <si>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</si>
  <si>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</si>
  <si>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</si>
  <si>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</si>
  <si>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</si>
  <si>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</si>
  <si>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</si>
  <si>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</si>
  <si>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</si>
  <si>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</si>
  <si>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</si>
  <si>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</si>
  <si>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</si>
  <si>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</si>
  <si>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</si>
  <si>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</si>
  <si>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</si>
  <si>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</si>
  <si>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</si>
  <si>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</si>
  <si>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</si>
  <si>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</si>
  <si>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</si>
  <si>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</si>
  <si>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</si>
  <si>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</si>
  <si>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</si>
  <si>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</si>
  <si>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</si>
  <si>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</si>
  <si>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</si>
  <si>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</si>
  <si>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</si>
  <si>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</si>
  <si>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</si>
  <si>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</si>
  <si>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</si>
  <si>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</si>
  <si>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</si>
  <si>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</si>
  <si>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</si>
  <si>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</si>
  <si>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</si>
  <si>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</si>
  <si>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</si>
  <si>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</si>
  <si>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</si>
  <si>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</si>
  <si>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</si>
  <si>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</si>
  <si>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</si>
  <si>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</si>
  <si>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</si>
  <si>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</si>
  <si>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</si>
  <si>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</si>
  <si>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</si>
  <si>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</si>
  <si>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</si>
  <si>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</si>
  <si>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</si>
  <si>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</si>
  <si>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</si>
  <si>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</si>
  <si>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</si>
  <si>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</si>
  <si>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</si>
  <si>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</si>
  <si>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</si>
  <si>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</si>
  <si>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</si>
  <si>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</si>
  <si>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</si>
  <si>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</si>
  <si>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</si>
  <si>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</si>
  <si>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</si>
  <si>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</si>
  <si>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</si>
  <si>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</si>
  <si>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</si>
  <si>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</si>
  <si>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</si>
  <si>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</si>
  <si>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</si>
  <si>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</si>
  <si>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</si>
  <si>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</si>
  <si>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</si>
  <si>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</si>
  <si>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</si>
  <si>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</si>
  <si>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</si>
  <si>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</si>
  <si>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</si>
  <si>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</si>
  <si>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</si>
  <si>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</si>
  <si>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</si>
  <si>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</si>
  <si>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</si>
  <si>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</si>
  <si>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</si>
  <si>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</si>
  <si>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</si>
  <si>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</si>
  <si>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</si>
  <si>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</si>
  <si>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</si>
  <si>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</si>
  <si>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</si>
  <si>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</si>
  <si>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</si>
  <si>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</si>
  <si>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</si>
  <si>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</si>
  <si>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</si>
  <si>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</si>
  <si>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</si>
  <si>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</si>
  <si>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</si>
  <si>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</si>
  <si>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</si>
  <si>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</si>
  <si>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</si>
  <si>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</si>
  <si>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</si>
  <si>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</si>
  <si>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</si>
  <si>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</si>
  <si>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</si>
  <si>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</si>
  <si>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</si>
  <si>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</si>
  <si>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</si>
  <si>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</si>
  <si>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</si>
  <si>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</si>
  <si>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</si>
  <si>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</si>
  <si>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</si>
  <si>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</si>
  <si>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</si>
  <si>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</si>
  <si>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</si>
  <si>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</si>
  <si>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</si>
  <si>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</si>
  <si>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</si>
  <si>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</si>
  <si>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</si>
  <si>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</si>
  <si>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</si>
  <si>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</si>
  <si>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</si>
  <si>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</si>
  <si>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</si>
  <si>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</si>
  <si>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</si>
  <si>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</si>
  <si>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</si>
  <si>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</si>
  <si>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</si>
  <si>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</si>
  <si>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</si>
  <si>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</si>
  <si>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</si>
  <si>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</si>
  <si>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</si>
  <si>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</si>
  <si>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</si>
  <si>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</si>
  <si>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</si>
  <si>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</si>
  <si>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</si>
  <si>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</si>
  <si>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</si>
  <si>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</si>
  <si>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</si>
  <si>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</si>
  <si>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</si>
  <si>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</si>
  <si>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</si>
  <si>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</si>
  <si>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</si>
  <si>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</si>
  <si>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</si>
  <si>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</si>
  <si>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</si>
  <si>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</si>
  <si>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</si>
  <si>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</si>
  <si>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</si>
  <si>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</si>
  <si>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</si>
  <si>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</si>
  <si>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</si>
  <si>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</si>
  <si>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一致</t>
  </si>
  <si>
    <t>符合</t>
  </si>
  <si>
    <t>地上</t>
  </si>
  <si>
    <t>平层住宅</t>
  </si>
  <si>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</si>
  <si>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</si>
  <si>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</si>
  <si>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</si>
  <si>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</si>
  <si>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</si>
  <si>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</si>
  <si>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</si>
  <si>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</si>
  <si>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</si>
  <si>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</si>
  <si>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</si>
  <si>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</si>
  <si>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</si>
  <si>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综合用地(含住宅)</t>
  </si>
  <si>
    <t>挂牌</t>
  </si>
  <si>
    <t>4星</t>
  </si>
  <si>
    <t>住宅用地</t>
  </si>
  <si>
    <t>3星</t>
  </si>
  <si>
    <t>售价</t>
  </si>
  <si>
    <t>津榆公路西侧</t>
    <phoneticPr fontId="3" type="noConversion"/>
  </si>
  <si>
    <t>宁河区</t>
    <phoneticPr fontId="3" type="noConversion"/>
  </si>
  <si>
    <t>洋房</t>
  </si>
  <si>
    <t>叠拼</t>
  </si>
  <si>
    <t>高层</t>
  </si>
  <si>
    <t>楼面地价</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</si>
  <si>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</si>
  <si>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</si>
  <si>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</si>
  <si>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</si>
  <si>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</si>
  <si>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</si>
  <si>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</si>
  <si>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</si>
  <si>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</si>
  <si>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</si>
  <si>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</si>
  <si>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</si>
  <si>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</si>
  <si>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</si>
  <si>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适宜</t>
    <phoneticPr fontId="26" type="noConversion"/>
  </si>
  <si>
    <t>较适宜</t>
  </si>
  <si>
    <t>较适宜</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</si>
  <si>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</si>
  <si>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</si>
  <si>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</si>
  <si>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</si>
  <si>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</si>
  <si>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较不适宜</t>
    <phoneticPr fontId="26" type="noConversion"/>
  </si>
  <si>
    <t>不适宜</t>
    <phoneticPr fontId="26" type="noConversion"/>
  </si>
  <si>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</si>
  <si>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</si>
  <si>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</si>
  <si>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</si>
  <si>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</si>
  <si>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</si>
  <si>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</si>
  <si>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</si>
  <si>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单面临街</t>
  </si>
  <si>
    <t>较好</t>
    <phoneticPr fontId="3" type="noConversion"/>
  </si>
  <si>
    <t>次干道</t>
    <phoneticPr fontId="21" type="noConversion"/>
  </si>
  <si>
    <t>七通</t>
    <phoneticPr fontId="3" type="noConversion"/>
  </si>
  <si>
    <t>较好</t>
    <phoneticPr fontId="21" type="noConversion"/>
  </si>
  <si>
    <t>住宅</t>
    <phoneticPr fontId="21" type="noConversion"/>
  </si>
  <si>
    <t>60-70（含）</t>
  </si>
  <si>
    <t>洋房</t>
    <phoneticPr fontId="21" type="noConversion"/>
  </si>
  <si>
    <t>叠拼</t>
    <phoneticPr fontId="21" type="noConversion"/>
  </si>
  <si>
    <t>钢混</t>
  </si>
  <si>
    <t>钢混</t>
    <phoneticPr fontId="21" type="noConversion"/>
  </si>
  <si>
    <t>较好</t>
    <phoneticPr fontId="21" type="noConversion"/>
  </si>
  <si>
    <t>精装修</t>
  </si>
  <si>
    <t>精装修</t>
    <phoneticPr fontId="21" type="noConversion"/>
  </si>
  <si>
    <t>较好</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</si>
  <si>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</si>
  <si>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</si>
  <si>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</si>
  <si>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</si>
  <si>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</si>
  <si>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</si>
  <si>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正常</t>
  </si>
  <si>
    <t>新城悦隽公馆</t>
    <phoneticPr fontId="3" type="noConversion"/>
  </si>
  <si>
    <t>保利天汇</t>
    <phoneticPr fontId="3" type="noConversion"/>
  </si>
  <si>
    <t>朝阳花园</t>
    <phoneticPr fontId="3" type="noConversion"/>
  </si>
  <si>
    <t>小高层</t>
    <phoneticPr fontId="21" type="noConversion"/>
  </si>
  <si>
    <t>高层</t>
    <phoneticPr fontId="21" type="noConversion"/>
  </si>
  <si>
    <t>滨江国际</t>
    <phoneticPr fontId="3" type="noConversion"/>
  </si>
  <si>
    <t>已部分缴纳</t>
  </si>
  <si>
    <t>剩余法-待开发</t>
  </si>
  <si>
    <t>比较法-住宅、综合</t>
  </si>
  <si>
    <t>陕西省西安市</t>
    <phoneticPr fontId="6" type="noConversion"/>
  </si>
  <si>
    <t>电子城街道办事处北沈家桥</t>
    <phoneticPr fontId="6" type="noConversion"/>
  </si>
  <si>
    <t>商业</t>
  </si>
  <si>
    <t>通路</t>
  </si>
  <si>
    <t>通电</t>
  </si>
  <si>
    <t>通讯</t>
  </si>
  <si>
    <t>通上水</t>
  </si>
  <si>
    <t>通下水</t>
  </si>
  <si>
    <t>燃气</t>
  </si>
  <si>
    <t>底商</t>
  </si>
  <si>
    <t>车库</t>
  </si>
  <si>
    <t>地下</t>
  </si>
  <si>
    <t>住宅</t>
    <phoneticPr fontId="7" type="noConversion"/>
  </si>
  <si>
    <t>商业</t>
    <phoneticPr fontId="7" type="noConversion"/>
  </si>
  <si>
    <t>地下车库</t>
    <phoneticPr fontId="7"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</si>
  <si>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</si>
  <si>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</si>
  <si>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</si>
  <si>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</si>
  <si>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</si>
  <si>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</si>
  <si>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</si>
  <si>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</si>
  <si>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</si>
  <si>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</si>
  <si>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</si>
  <si>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</si>
  <si>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</si>
  <si>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</si>
  <si>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</si>
  <si>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</si>
  <si>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</si>
  <si>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</si>
  <si>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</si>
  <si>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</si>
  <si>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</si>
  <si>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</si>
  <si>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</si>
  <si>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</si>
  <si>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</si>
  <si>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</si>
  <si>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</si>
  <si>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</si>
  <si>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</si>
  <si>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</si>
  <si>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</si>
  <si>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雁塔区大寨西路以南,富源二路以西,富裕一路以北</t>
  </si>
  <si>
    <t>西安市</t>
  </si>
  <si>
    <t>雁塔区</t>
  </si>
  <si>
    <t>拍卖</t>
  </si>
  <si>
    <t>YT1-17-2/YT1-17-3</t>
  </si>
  <si>
    <t>住宅,商业</t>
  </si>
  <si>
    <t>≤3.046</t>
  </si>
  <si>
    <t>见公告</t>
  </si>
  <si>
    <t>限地价,竞配建</t>
  </si>
  <si>
    <t>未开工</t>
  </si>
  <si>
    <t>2019-01-08</t>
  </si>
  <si>
    <t>2019-01-29</t>
  </si>
  <si>
    <t>2019-08-20</t>
  </si>
  <si>
    <t>西土出告字〔2019〕3号</t>
  </si>
  <si>
    <t>已成交</t>
  </si>
  <si>
    <t>陕西卓越华悦置业有限公司</t>
  </si>
  <si>
    <t>住宅用地土地使用年期为七十年,商服用地土地使用年期为四十年</t>
  </si>
  <si>
    <t>5星</t>
  </si>
  <si>
    <t>雁塔区东仪路以西、丈八东路以南</t>
  </si>
  <si>
    <t>YT4-19-53-1</t>
  </si>
  <si>
    <t>≥1.2,≤3.37</t>
  </si>
  <si>
    <t>≤39.6%</t>
  </si>
  <si>
    <t>2019-04-27</t>
  </si>
  <si>
    <t>2019-05-17</t>
  </si>
  <si>
    <t>西土出告字〔2019〕50号</t>
  </si>
  <si>
    <t>荣安地产股份有限公司</t>
  </si>
  <si>
    <t>住宅用地出让70年、商服用地出让40年</t>
  </si>
  <si>
    <t>雁塔区南三环与子午大道交汇处东南角</t>
  </si>
  <si>
    <t>YT2-26-11-1</t>
  </si>
  <si>
    <t>居住、商业金融用地</t>
  </si>
  <si>
    <t>≥1,≤3.98</t>
  </si>
  <si>
    <t>≤20%</t>
  </si>
  <si>
    <t>2019-03-20</t>
  </si>
  <si>
    <t>2019-04-09</t>
  </si>
  <si>
    <t>西土出告字〔2019〕42号</t>
  </si>
  <si>
    <t>西安奥宏置业有限公司</t>
  </si>
  <si>
    <t>住宅70年,商业40年</t>
  </si>
  <si>
    <t>雁塔区清凉寺北路以南、东仪路以东、长兴路以西、西部大道以北</t>
  </si>
  <si>
    <t>YT4-22-52</t>
  </si>
  <si>
    <t>住宅、商服</t>
  </si>
  <si>
    <t>≥1.2,≤2.8</t>
  </si>
  <si>
    <t>≤25%</t>
  </si>
  <si>
    <t>公共租赁房,</t>
  </si>
  <si>
    <t>开工中</t>
  </si>
  <si>
    <t>2018-12-02</t>
  </si>
  <si>
    <t>2018-12-24</t>
  </si>
  <si>
    <t>西土出告字〔2018〕115号</t>
  </si>
  <si>
    <t>西安建工胜航置业有限责任公司</t>
  </si>
  <si>
    <t>70年,40年</t>
  </si>
  <si>
    <t>雁塔区西延路以东、青龙路以南</t>
  </si>
  <si>
    <t>YT5-8-34</t>
  </si>
  <si>
    <t>住宅,商服</t>
  </si>
  <si>
    <t>≥1.2,≤5.35</t>
  </si>
  <si>
    <t>2.4%</t>
  </si>
  <si>
    <t>≤22.8%</t>
  </si>
  <si>
    <t>2018-11-28</t>
  </si>
  <si>
    <t>2018-12-19</t>
  </si>
  <si>
    <t>西土出告字〔2018〕114号</t>
  </si>
  <si>
    <t>陕西恒志置业有限公司</t>
  </si>
  <si>
    <t>住宅用地出让年限70年,商服出让年限40年</t>
  </si>
  <si>
    <t>雁塔区雁翔路以东,青龙寺路以南</t>
  </si>
  <si>
    <t>YT6-1-85-1/YT6-1-86-1</t>
  </si>
  <si>
    <t>≥0.94,≤2.609</t>
  </si>
  <si>
    <t>≤24.4%</t>
  </si>
  <si>
    <t>限地价,竞配建,含人才住房</t>
  </si>
  <si>
    <t>含人才住房</t>
  </si>
  <si>
    <t>2018-10-18</t>
  </si>
  <si>
    <t>2018-11-07</t>
  </si>
  <si>
    <t>西土出告字〔2018〕87号-1</t>
  </si>
  <si>
    <t>陕西金泰恒业房地产有限公司</t>
  </si>
  <si>
    <t>雁塔区新安东街以西,青龙寺路以南</t>
  </si>
  <si>
    <t>YT6-1-90</t>
  </si>
  <si>
    <t>≥1.2,≤2.5</t>
  </si>
  <si>
    <t>西土出告字〔2018〕87号-2</t>
  </si>
  <si>
    <t>东至朱雀路南延伸线、西至东姜村、南至长安区、北至北寨子村</t>
  </si>
  <si>
    <t>YT4-22-43-1</t>
  </si>
  <si>
    <t>其他普通商品住房用地</t>
  </si>
  <si>
    <t>＞1且≤3.36</t>
  </si>
  <si>
    <t>≤28%</t>
  </si>
  <si>
    <t>2018-01-22</t>
  </si>
  <si>
    <t>2018-02-13</t>
  </si>
  <si>
    <t>西土出告字[2018]6号</t>
  </si>
  <si>
    <t>西安龙湖地产发展有限公司</t>
  </si>
  <si>
    <t>70年</t>
  </si>
  <si>
    <t>YT4-22-42-2</t>
  </si>
  <si>
    <t>2018-02-06</t>
  </si>
  <si>
    <t>西安南湖锦腾置业有限公司</t>
  </si>
  <si>
    <t>YT4-22-41-2</t>
  </si>
  <si>
    <t>＞1且≤2.88</t>
  </si>
  <si>
    <t>≤22%</t>
  </si>
  <si>
    <t>西安旭晟置业有限公司</t>
  </si>
  <si>
    <t>YT4-22-43-2</t>
  </si>
  <si>
    <t>雁塔区丈八北路以西、科技路以北</t>
  </si>
  <si>
    <t>YT1-7-354,YT1-7-355</t>
  </si>
  <si>
    <t>＞1且≤4.62</t>
  </si>
  <si>
    <t>≤24.8</t>
  </si>
  <si>
    <t>2017-06-22</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</si>
  <si>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</si>
  <si>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</si>
  <si>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</si>
  <si>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</si>
  <si>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</si>
  <si>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</si>
  <si>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</si>
  <si>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</si>
  <si>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</si>
  <si>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</si>
  <si>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</si>
  <si>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</si>
  <si>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</si>
  <si>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</si>
  <si>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</si>
  <si>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住宅、商业</t>
  </si>
  <si>
    <t>＞1且≤3.374</t>
  </si>
  <si>
    <t>≤26.5</t>
  </si>
  <si>
    <t>廉租房,</t>
  </si>
  <si>
    <t>限地价,含保障房用地</t>
  </si>
  <si>
    <t>含保障房用地</t>
  </si>
  <si>
    <t>2017-02-06</t>
  </si>
  <si>
    <t>2017-03-15</t>
  </si>
  <si>
    <t>2017-03-28</t>
  </si>
  <si>
    <t>西土出告字[2017]6号-2</t>
  </si>
  <si>
    <t>西安国谊置业发展有限公司</t>
  </si>
  <si>
    <t>住宅70年商业40年</t>
  </si>
  <si>
    <t>YT2-25-55-3</t>
  </si>
  <si>
    <t>＞1且≤3.355</t>
  </si>
  <si>
    <t>≤28.5</t>
  </si>
  <si>
    <t>西土出告字[2017]6号-1</t>
  </si>
  <si>
    <t>雁塔区</t>
    <phoneticPr fontId="3" type="noConversion"/>
  </si>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</sst>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77" fontId="11" fillId="0" borderId="2" xfId="0" applyNumberFormat="1" applyFont="1" applyBorder="1" applyAlignment="1" applyProtection="1">
      <alignment vertical="center" wrapText="1"/>
    </xf>
    <xf numFmtId="0" fontId="147" fillId="0" borderId="0" xfId="0" applyFont="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203261</xdr:colOff>
      <xdr:row>46</xdr:row>
      <xdr:rowOff>76280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4457143" cy="8323809"/>
        </a:xfrm>
        <a:prstGeom prst="rect">
          <a:avLst/>
        </a:prstGeom>
      </xdr:spPr>
    </xdr:pic>
    <xdr:clientData/>
  </xdr:twoCellAnchor>
  <xdr:twoCellAnchor editAs="oneCell">
    <xdr:from>
      <xdr:col>22</xdr:col>
      <xdr:colOff>0</xdr:colOff>
      <xdr:row>0</xdr:row>
      <xdr:rowOff>0</xdr:rowOff>
    </xdr:from>
    <xdr:to>
      <xdr:col>41</xdr:col>
      <xdr:colOff>208076</xdr:colOff>
      <xdr:row>31</xdr:row>
      <xdr:rowOff>148943</xdr:rowOff>
    </xdr:to>
    <xdr:pic>
      <xdr:nvPicPr>
        <xdr:cNvPr id="6" name="图片 5"/>
        <xdr:cNvPicPr>
          <a:picLocks noChangeAspect="1"/>
        </xdr:cNvPicPr>
      </xdr:nvPicPr>
      <xdr:blipFill>
        <a:blip xmlns:r="http://schemas.openxmlformats.org/officeDocument/2006/relationships" r:embed="rId2"/>
        <a:stretch>
          <a:fillRect/>
        </a:stretch>
      </xdr:blipFill>
      <xdr:spPr>
        <a:xfrm>
          <a:off x="14859000" y="0"/>
          <a:ext cx="11790476" cy="58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2656</v>
      </c>
      <c r="B1" s="2845" t="s">
        <v>2753</v>
      </c>
    </row>
    <row r="2" spans="1:55" s="2849" customFormat="1" ht="16.2" thickTop="1">
      <c r="A2" s="2847" t="s">
        <v>2660</v>
      </c>
      <c r="B2" s="2848" t="str">
        <f>'预评函-封皮'!B37</f>
        <v>陕西省西安市电子城街道办事处北沈家桥出让国有建设用地使用权抵押价格预评估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王鹏、郑燚</v>
      </c>
      <c r="N4" s="2833" t="str">
        <f>'预评函-1'!A28</f>
        <v/>
      </c>
    </row>
    <row r="5" spans="1:55" s="2846" customFormat="1" ht="16.2" thickBot="1">
      <c r="A5" s="2853" t="s">
        <v>2663</v>
      </c>
      <c r="B5" s="2854" t="str">
        <f>'预评函-封皮'!B49</f>
        <v>康正预评字号</v>
      </c>
    </row>
    <row r="6" spans="1:55" s="2855" customFormat="1" ht="16.2" thickTop="1">
      <c r="A6" s="2847" t="s">
        <v>2705</v>
      </c>
      <c r="B6" s="2848" t="str">
        <f>'预评函-1'!A4</f>
        <v>受贵公司委托，我公司对陕西省西安市电子城街道办事处北沈家桥出让国有建设用地使用权抵押价格进行了预评估。</v>
      </c>
      <c r="AM6" s="2856"/>
    </row>
    <row r="7" spans="1:55" s="2830" customFormat="1">
      <c r="A7" s="2831" t="s">
        <v>2657</v>
      </c>
      <c r="B7" s="2832" t="str">
        <f>'预评函-1'!A6</f>
        <v>估价对象为使用的、位于陕西省西安市电子城街道办事处北沈家桥出让国有建设用地使用权。根据《国有土地使用证》[]，估价对象（分摊）出让国有建设用地使用权面积为44066.5平方米。根据《建设工程规划许可证》[]、《出让合同》[]，估价对象规划建筑面积为205689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0拟使用陕西省西安市电子城街道办事处北沈家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2019年11月7日（评估专业人员勘察现场之日）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根据委托估价方介绍及评估专业人员现场勘查，本次评估估价对象实际土地开发程度为红线外市政基础设施达“七通”（即通路、通电、通讯、通上水、通下水、燃气、）、宗地红线内场地平整。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根据《国有土地使用证》[]，估价对象（分摊）出让国有建设用地使用权面积为44066.5平方米。根据《建设工程规划许可证》[]、《出让合同》[]，估价对象规划建筑面积为205689平方米。</v>
      </c>
    </row>
    <row r="16" spans="1:55" s="2830" customFormat="1">
      <c r="A16" s="2831" t="s">
        <v>2669</v>
      </c>
      <c r="B16" s="2832" t="str">
        <f>'预评函-1'!A22</f>
        <v>本次估价对象为出让国有建设用地使用权，《国有土地使用证》[]证载土地终止日期为住宅2085年8月23日、商业2055年8月23日。截至估价期日，出让国有建设用地使用权剩余土地使用年限为。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7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2674</v>
      </c>
      <c r="B21" s="2854" t="str">
        <f>'预评函-1'!A28</f>
        <v/>
      </c>
    </row>
    <row r="22" spans="1:48" ht="16.2"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估价期日：2019年11月7日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44066.5</v>
      </c>
    </row>
    <row r="44" spans="1:2">
      <c r="A44" s="2831" t="s">
        <v>2740</v>
      </c>
      <c r="B44" s="2832" t="str">
        <f>'预评函-2'!O3</f>
        <v>规划建筑面积/㎡</v>
      </c>
    </row>
    <row r="45" spans="1:2">
      <c r="A45" s="2831" t="s">
        <v>2722</v>
      </c>
      <c r="B45" s="2832">
        <f>'预评函-2'!O5</f>
        <v>205689</v>
      </c>
    </row>
    <row r="46" spans="1:2">
      <c r="A46" s="2831" t="s">
        <v>2723</v>
      </c>
      <c r="B46" s="2832">
        <f ca="1">'预评函-2'!P5</f>
        <v>26997</v>
      </c>
    </row>
    <row r="47" spans="1:2">
      <c r="A47" s="2831" t="s">
        <v>2724</v>
      </c>
      <c r="B47" s="2832">
        <f ca="1">'预评函-2'!Q5</f>
        <v>5784</v>
      </c>
    </row>
    <row r="48" spans="1:2">
      <c r="A48" s="2831" t="s">
        <v>2725</v>
      </c>
      <c r="B48" s="2832">
        <f ca="1">'预评函-2'!R5</f>
        <v>118966</v>
      </c>
    </row>
    <row r="49" spans="1:2">
      <c r="A49" s="2831" t="s">
        <v>2741</v>
      </c>
      <c r="B49" s="2832" t="str">
        <f>'预评函-2'!A6</f>
        <v>抵押价格</v>
      </c>
    </row>
    <row r="50" spans="1:2">
      <c r="A50" s="2831" t="s">
        <v>2726</v>
      </c>
      <c r="B50" s="2832">
        <f ca="1">'预评函-2'!R6</f>
        <v>118966</v>
      </c>
    </row>
    <row r="51" spans="1:2">
      <c r="A51" s="2831" t="s">
        <v>2742</v>
      </c>
      <c r="B51" s="2832" t="str">
        <f>'预评函-2'!A7</f>
        <v>——</v>
      </c>
    </row>
    <row r="52" spans="1:2">
      <c r="A52" s="2831" t="s">
        <v>2727</v>
      </c>
      <c r="B52" s="2832" t="str">
        <f>'预评函-2'!R7</f>
        <v>——</v>
      </c>
    </row>
    <row r="53" spans="1:2">
      <c r="A53" s="2831" t="s">
        <v>2743</v>
      </c>
      <c r="B53" s="2832" t="str">
        <f>'预评函-2'!A8</f>
        <v>——</v>
      </c>
    </row>
    <row r="54" spans="1:2" s="2846" customFormat="1" ht="16.2" thickBot="1">
      <c r="A54" s="2853" t="s">
        <v>2728</v>
      </c>
      <c r="B54" s="2854" t="str">
        <f>'预评函-2'!R8</f>
        <v>——</v>
      </c>
    </row>
    <row r="55" spans="1:2" ht="16.2"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6.2" thickBot="1">
      <c r="A58" s="2853" t="s">
        <v>2729</v>
      </c>
      <c r="B58" s="2854" t="str">
        <f>'预评函-3'!A5</f>
        <v>4.影响价格的其他限定条件：无。</v>
      </c>
    </row>
    <row r="59" spans="1:2" ht="16.2"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2692</v>
      </c>
      <c r="B68" s="2857">
        <f>'预评函-3'!D30</f>
        <v>42558</v>
      </c>
    </row>
    <row r="69" spans="1:2" ht="16.2" thickTop="1">
      <c r="A69" s="2842" t="s">
        <v>2690</v>
      </c>
      <c r="B69" s="2843" t="str">
        <f>'预评函-3'!A20</f>
        <v>王鹏</v>
      </c>
    </row>
    <row r="70" spans="1:2">
      <c r="A70" s="2831" t="s">
        <v>2690</v>
      </c>
      <c r="B70" s="2838">
        <f ca="1">'预评函-3'!B20</f>
        <v>2002110030</v>
      </c>
    </row>
    <row r="71" spans="1:2">
      <c r="A71" s="2831" t="s">
        <v>2691</v>
      </c>
      <c r="B71" s="2832" t="str">
        <f>'预评函-3'!A21</f>
        <v>郑燚</v>
      </c>
    </row>
    <row r="72" spans="1:2" s="2846" customFormat="1" ht="16.2" thickBot="1">
      <c r="A72" s="2853" t="s">
        <v>2691</v>
      </c>
      <c r="B72" s="2859">
        <f ca="1">'预评函-3'!B21</f>
        <v>2014110011</v>
      </c>
    </row>
    <row r="73" spans="1:2" ht="16.2"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4" sqref="H44"/>
    </sheetView>
  </sheetViews>
  <sheetFormatPr defaultColWidth="10" defaultRowHeight="15.6"/>
  <cols>
    <col min="1" max="1" width="15.33203125" style="1673" customWidth="1"/>
    <col min="2" max="2" width="11.33203125" style="1673" customWidth="1"/>
    <col min="3" max="3" width="12.6640625" style="1673" customWidth="1"/>
    <col min="4" max="4" width="14"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6" t="str">
        <f>IF(B10="北京市","北京市",C10)&amp;F10&amp;B16&amp;"国有建设用地使用权"&amp;B9&amp;"预评估"</f>
        <v>陕西省西安市电子城街道办事处北沈家桥出让国有建设用地使用权抵押价格预评估</v>
      </c>
      <c r="C1" s="3237"/>
      <c r="D1" s="3237"/>
      <c r="E1" s="3237"/>
      <c r="F1" s="3237"/>
      <c r="G1" s="3237"/>
      <c r="H1" s="3237"/>
      <c r="I1" s="3238"/>
      <c r="J1" s="1676"/>
      <c r="K1" s="2417" t="str">
        <f>IF(B10="北京市","北京市",C10)&amp;F10&amp;B16&amp;"国有建设用地使用权"&amp;B9</f>
        <v>陕西省西安市电子城街道办事处北沈家桥出让国有建设用地使用权抵押价格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陕西省西安市电子城街道办事处北沈家桥出让国有建设用地使用权</v>
      </c>
      <c r="L2" s="1705"/>
      <c r="M2" s="1705"/>
      <c r="N2" s="1676"/>
      <c r="O2" s="1677"/>
      <c r="P2" s="1676"/>
      <c r="Q2" s="1676"/>
      <c r="R2" s="1676"/>
      <c r="S2" s="1676"/>
      <c r="T2" s="1676"/>
      <c r="U2" s="1676"/>
    </row>
    <row r="3" spans="1:21">
      <c r="A3" s="1643" t="s">
        <v>1939</v>
      </c>
      <c r="B3" s="1644">
        <v>43776</v>
      </c>
      <c r="C3" s="1645" t="s">
        <v>1995</v>
      </c>
      <c r="D3" s="1644">
        <f>B3</f>
        <v>43776</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2994</v>
      </c>
      <c r="C4" s="1828">
        <f ca="1">SUMIF(土地估价师,B4,估价师及机构信息!E3:E24)</f>
        <v>2002110030</v>
      </c>
      <c r="D4" s="1825" t="s">
        <v>2995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6.2"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2706</v>
      </c>
      <c r="B6" s="1771"/>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2707</v>
      </c>
      <c r="B7" s="1771">
        <f>B5</f>
        <v>0</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242" t="s">
        <v>1944</v>
      </c>
      <c r="E8" s="1826" t="s">
        <v>2996</v>
      </c>
      <c r="F8" s="1654"/>
      <c r="G8" s="1642"/>
      <c r="H8" s="1642"/>
      <c r="I8" s="1689"/>
      <c r="J8" s="1676"/>
      <c r="K8" s="1756"/>
      <c r="L8" s="1705"/>
      <c r="M8" s="1705"/>
      <c r="N8" s="1676"/>
      <c r="O8" s="1677"/>
      <c r="P8" s="1676"/>
      <c r="Q8" s="1676"/>
      <c r="R8" s="1676"/>
      <c r="S8" s="1676"/>
      <c r="T8" s="1676"/>
      <c r="U8" s="1676"/>
    </row>
    <row r="9" spans="1:21" ht="16.2" thickBot="1">
      <c r="A9" s="1655" t="s">
        <v>1943</v>
      </c>
      <c r="B9" s="1656" t="s">
        <v>2996</v>
      </c>
      <c r="C9" s="1657"/>
      <c r="D9" s="3243"/>
      <c r="E9" s="1656" t="s">
        <v>952</v>
      </c>
      <c r="F9" s="1729"/>
      <c r="G9" s="1724"/>
      <c r="H9" s="1724"/>
      <c r="I9" s="1725"/>
      <c r="J9" s="1676"/>
      <c r="K9" s="1756"/>
      <c r="L9" s="1705"/>
      <c r="M9" s="1705"/>
      <c r="N9" s="1676"/>
      <c r="O9" s="1677"/>
      <c r="P9" s="1676"/>
      <c r="Q9" s="1676"/>
      <c r="R9" s="1676"/>
      <c r="S9" s="1676"/>
      <c r="T9" s="1676"/>
      <c r="U9" s="1676"/>
    </row>
    <row r="10" spans="1:21" ht="31.8" thickTop="1">
      <c r="A10" s="1726" t="s">
        <v>1999</v>
      </c>
      <c r="B10" s="1701" t="s">
        <v>2997</v>
      </c>
      <c r="C10" s="1658" t="s">
        <v>3092</v>
      </c>
      <c r="D10" s="1649"/>
      <c r="E10" s="1659" t="s">
        <v>1946</v>
      </c>
      <c r="F10" s="1660" t="s">
        <v>3093</v>
      </c>
      <c r="G10" s="1727"/>
      <c r="H10" s="1728"/>
      <c r="I10" s="1649"/>
      <c r="J10" s="1676"/>
      <c r="K10" s="1756"/>
      <c r="L10" s="1705"/>
      <c r="M10" s="1705"/>
      <c r="N10" s="1676"/>
      <c r="O10" s="1677"/>
      <c r="P10" s="1676"/>
      <c r="Q10" s="1676"/>
      <c r="R10" s="1676"/>
      <c r="S10" s="1676"/>
      <c r="T10" s="1676"/>
      <c r="U10" s="1676"/>
    </row>
    <row r="11" spans="1:21">
      <c r="A11" s="1679" t="s">
        <v>2000</v>
      </c>
      <c r="B11" s="1680" t="s">
        <v>2998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39"/>
      <c r="C12" s="3240"/>
      <c r="D12" s="3241"/>
      <c r="E12" s="1681" t="s">
        <v>2061</v>
      </c>
      <c r="F12" s="3257" t="s">
        <v>2889</v>
      </c>
      <c r="G12" s="3258"/>
      <c r="H12" s="3258"/>
      <c r="I12" s="3259"/>
      <c r="J12" s="1676"/>
      <c r="K12" s="1756"/>
      <c r="L12" s="1705"/>
      <c r="M12" s="1705"/>
      <c r="N12" s="1676"/>
      <c r="O12" s="1677"/>
      <c r="P12" s="1676"/>
      <c r="Q12" s="1676"/>
      <c r="R12" s="1676"/>
      <c r="S12" s="1676"/>
      <c r="T12" s="1676"/>
      <c r="U12" s="1676"/>
    </row>
    <row r="13" spans="1:21">
      <c r="A13" s="1669" t="s">
        <v>2059</v>
      </c>
      <c r="B13" s="3239"/>
      <c r="C13" s="3240"/>
      <c r="D13" s="3241"/>
      <c r="E13" s="1681" t="s">
        <v>2061</v>
      </c>
      <c r="F13" s="3257" t="s">
        <v>2890</v>
      </c>
      <c r="G13" s="3258"/>
      <c r="H13" s="3258"/>
      <c r="I13" s="3259"/>
      <c r="J13" s="1676"/>
      <c r="K13" s="1756"/>
      <c r="L13" s="1705"/>
      <c r="M13" s="1705"/>
      <c r="N13" s="1676"/>
      <c r="O13" s="1677"/>
      <c r="P13" s="1676"/>
      <c r="Q13" s="1676"/>
      <c r="R13" s="1676"/>
      <c r="S13" s="1676"/>
      <c r="T13" s="1676"/>
      <c r="U13" s="1676"/>
    </row>
    <row r="14" spans="1:21">
      <c r="A14" s="1643" t="s">
        <v>2062</v>
      </c>
      <c r="B14" s="1681"/>
      <c r="C14" s="1827" t="s">
        <v>2999</v>
      </c>
      <c r="D14" s="1715" t="str">
        <f>IF(C14="不一致","是否符合证载地类范围","")</f>
        <v/>
      </c>
      <c r="E14" s="1681"/>
      <c r="F14" s="1772" t="s">
        <v>3000</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2986</v>
      </c>
      <c r="C16" s="1681" t="s">
        <v>1948</v>
      </c>
      <c r="D16" s="2608" t="s">
        <v>1949</v>
      </c>
      <c r="E16" s="1704" t="s">
        <v>3094</v>
      </c>
      <c r="F16" s="1704"/>
      <c r="G16" s="1704"/>
      <c r="H16" s="1704"/>
      <c r="I16" s="1668" t="s">
        <v>1954</v>
      </c>
      <c r="J16" s="1676"/>
      <c r="K16" s="2418" t="str">
        <f>IF(D17="","",D16&amp;TEXT(D17,"yyyy年m月d日;;"))</f>
        <v>住宅2085年8月23日</v>
      </c>
      <c r="L16" s="1681" t="str">
        <f>IF(OR(K16="",M16=""),"","、")</f>
        <v>、</v>
      </c>
      <c r="M16" s="2418" t="str">
        <f>IF(E17="","",E16&amp;TEXT(E17,"yyyy年m月d日;;"))</f>
        <v>商业2055年8月23日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67807</v>
      </c>
      <c r="E17" s="1682">
        <v>56849</v>
      </c>
      <c r="F17" s="1682"/>
      <c r="G17" s="1682"/>
      <c r="H17" s="1682"/>
      <c r="I17" s="1682"/>
      <c r="J17" s="1676"/>
      <c r="K17" s="2417" t="str">
        <f>CONCATENATE(K16,L16,M16,N16,O16,P16,Q16,R16,S16,T16,,U16)</f>
        <v>住宅2085年8月23日、商业2055年8月23日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65.83</v>
      </c>
      <c r="E19" s="1667">
        <f>IF(B16="出让",IF(E17="","",ROUNDDOWN(MIN((E17-$D$3)/365,E18),2)),E18)</f>
        <v>35.81</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54"/>
      <c r="E20" s="3255"/>
      <c r="F20" s="3255"/>
      <c r="G20" s="3255"/>
      <c r="H20" s="3255"/>
      <c r="I20" s="3256"/>
      <c r="J20" s="1676"/>
      <c r="K20" s="1756"/>
      <c r="L20" s="1705"/>
      <c r="M20" s="1705"/>
      <c r="N20" s="1676"/>
      <c r="O20" s="1677"/>
      <c r="P20" s="1676"/>
      <c r="Q20" s="1676"/>
      <c r="R20" s="1676"/>
      <c r="S20" s="1676"/>
      <c r="T20" s="1676"/>
      <c r="U20" s="1676"/>
    </row>
    <row r="21" spans="1:21">
      <c r="A21" s="1745" t="s">
        <v>1958</v>
      </c>
      <c r="B21" s="1746" t="s">
        <v>1959</v>
      </c>
      <c r="C21" s="1741">
        <f>'数据-汇总表'!E3</f>
        <v>205689</v>
      </c>
      <c r="D21" s="1742" t="s">
        <v>1960</v>
      </c>
      <c r="E21" s="3244" t="s">
        <v>1998</v>
      </c>
      <c r="F21" s="3245"/>
      <c r="G21" s="3245"/>
      <c r="H21" s="3245"/>
      <c r="I21" s="3246"/>
      <c r="J21" s="1676"/>
      <c r="K21" s="1756"/>
      <c r="L21" s="1705"/>
      <c r="M21" s="1705"/>
      <c r="N21" s="1676"/>
      <c r="O21" s="1677"/>
      <c r="P21" s="1676"/>
      <c r="Q21" s="1676"/>
      <c r="R21" s="1676"/>
      <c r="S21" s="1676"/>
      <c r="T21" s="1676"/>
      <c r="U21" s="1676"/>
    </row>
    <row r="22" spans="1:21">
      <c r="A22" s="3090" t="s">
        <v>952</v>
      </c>
      <c r="B22" s="1643" t="s">
        <v>1961</v>
      </c>
      <c r="C22" s="1668">
        <f>'数据-汇总表'!D3</f>
        <v>44066.5</v>
      </c>
      <c r="D22" s="1669" t="s">
        <v>1960</v>
      </c>
      <c r="E22" s="3244" t="s">
        <v>2891</v>
      </c>
      <c r="F22" s="3245"/>
      <c r="G22" s="3245"/>
      <c r="H22" s="3245"/>
      <c r="I22" s="3246"/>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7" t="s">
        <v>1966</v>
      </c>
      <c r="C24" s="3248"/>
      <c r="D24" s="3249" t="s">
        <v>1967</v>
      </c>
      <c r="E24" s="3250"/>
      <c r="F24" s="1690" t="s">
        <v>1968</v>
      </c>
      <c r="G24" s="1676"/>
      <c r="H24" s="1676"/>
      <c r="I24" s="1689"/>
      <c r="J24" s="1676"/>
      <c r="K24" s="3235"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23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2326</v>
      </c>
      <c r="D26" s="1642"/>
      <c r="E26" s="1642"/>
      <c r="F26" s="1670"/>
      <c r="G26" s="1676"/>
      <c r="H26" s="1676"/>
      <c r="I26" s="1689"/>
      <c r="J26" s="1676"/>
      <c r="K26" s="323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221" t="s">
        <v>2001</v>
      </c>
      <c r="B31" s="1746" t="s">
        <v>2002</v>
      </c>
      <c r="C31" s="3260"/>
      <c r="D31" s="3261"/>
      <c r="E31" s="1676"/>
      <c r="F31" s="1676"/>
      <c r="G31" s="1676"/>
      <c r="H31" s="1676"/>
      <c r="I31" s="1689"/>
      <c r="J31" s="1676"/>
      <c r="K31" s="2420"/>
      <c r="L31" s="1676"/>
      <c r="M31" s="1676"/>
      <c r="N31" s="1676"/>
      <c r="O31" s="1676"/>
      <c r="P31" s="1676"/>
      <c r="Q31" s="1676"/>
      <c r="R31" s="1676"/>
      <c r="S31" s="1676"/>
      <c r="T31" s="1676"/>
      <c r="U31" s="1676"/>
    </row>
    <row r="32" spans="1:21">
      <c r="A32" s="3221"/>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21"/>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22"/>
      <c r="B34" s="1643" t="s">
        <v>2005</v>
      </c>
      <c r="C34" s="3223"/>
      <c r="D34" s="3224"/>
      <c r="E34" s="1676"/>
      <c r="F34" s="1676"/>
      <c r="G34" s="1676"/>
      <c r="H34" s="1676"/>
      <c r="I34" s="1689"/>
      <c r="J34" s="1676"/>
      <c r="K34" s="2420"/>
      <c r="L34" s="1676"/>
      <c r="M34" s="1676"/>
      <c r="N34" s="1676"/>
      <c r="O34" s="1676"/>
      <c r="P34" s="1676"/>
      <c r="Q34" s="1676"/>
      <c r="R34" s="1676"/>
      <c r="S34" s="1676"/>
      <c r="T34" s="1676"/>
      <c r="U34" s="1676"/>
    </row>
    <row r="35" spans="1:21">
      <c r="A35" s="3225" t="s">
        <v>847</v>
      </c>
      <c r="B35" s="1704"/>
      <c r="C35" s="1758" t="str">
        <f>IF(B35="场地平整","——","具体情况：")</f>
        <v>具体情况：</v>
      </c>
      <c r="D35" s="3227"/>
      <c r="E35" s="3228"/>
      <c r="F35" s="3228"/>
      <c r="G35" s="3228"/>
      <c r="H35" s="3228"/>
      <c r="I35" s="3229"/>
      <c r="J35" s="1676"/>
      <c r="K35" s="1757"/>
      <c r="L35" s="1705"/>
      <c r="M35" s="1705"/>
      <c r="N35" s="1676"/>
      <c r="O35" s="1677"/>
      <c r="P35" s="1676"/>
      <c r="Q35" s="1676"/>
      <c r="R35" s="1676"/>
      <c r="S35" s="1676"/>
      <c r="T35" s="1676"/>
      <c r="U35" s="1676"/>
    </row>
    <row r="36" spans="1:21">
      <c r="A36" s="3221"/>
      <c r="B36" s="3230" t="s">
        <v>2054</v>
      </c>
      <c r="C36" s="3231"/>
      <c r="D36" s="1774"/>
      <c r="E36" s="3232"/>
      <c r="F36" s="3232"/>
      <c r="G36" s="1669" t="str">
        <f>IF(B35="场地未平整","估价结果处理","")</f>
        <v/>
      </c>
      <c r="H36" s="3233"/>
      <c r="I36" s="3233"/>
      <c r="J36" s="1676"/>
      <c r="K36" s="1757"/>
      <c r="L36" s="1705"/>
      <c r="M36" s="1705"/>
      <c r="N36" s="1676"/>
      <c r="O36" s="1677"/>
      <c r="P36" s="1676"/>
      <c r="Q36" s="1676"/>
      <c r="R36" s="1676"/>
      <c r="S36" s="1676"/>
      <c r="T36" s="1676"/>
      <c r="U36" s="1676"/>
    </row>
    <row r="37" spans="1:21" ht="31.2">
      <c r="A37" s="3221"/>
      <c r="B37" s="325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21"/>
      <c r="B38" s="3252"/>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22"/>
      <c r="B39" s="325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3095</v>
      </c>
      <c r="C40" s="1672" t="s">
        <v>3096</v>
      </c>
      <c r="D40" s="1672" t="s">
        <v>3097</v>
      </c>
      <c r="E40" s="1672" t="s">
        <v>3098</v>
      </c>
      <c r="F40" s="1672" t="s">
        <v>3099</v>
      </c>
      <c r="G40" s="1672" t="s">
        <v>3100</v>
      </c>
      <c r="H40" s="1672"/>
      <c r="I40" s="1689"/>
      <c r="J40" s="1676"/>
      <c r="K40" s="1712">
        <f>COUNTIF(B40:H40,"——")</f>
        <v>0</v>
      </c>
      <c r="L40" s="1681" t="s">
        <v>1978</v>
      </c>
      <c r="M40" s="1678" t="s">
        <v>1979</v>
      </c>
      <c r="N40" s="1678" t="s">
        <v>1980</v>
      </c>
      <c r="O40" s="1678" t="s">
        <v>1981</v>
      </c>
      <c r="P40" s="1678" t="s">
        <v>1982</v>
      </c>
      <c r="Q40" s="1678" t="s">
        <v>1983</v>
      </c>
      <c r="R40" s="1678" t="s">
        <v>1984</v>
      </c>
      <c r="S40" s="3234" t="s">
        <v>1985</v>
      </c>
      <c r="T40" s="1713" t="str">
        <f>NUMBERSTRING(7-K40,1)&amp;"通"</f>
        <v>七通</v>
      </c>
      <c r="U40" s="1676"/>
    </row>
    <row r="41" spans="1:21">
      <c r="A41" s="1645"/>
      <c r="B41" s="3226" t="s">
        <v>1721</v>
      </c>
      <c r="C41" s="3226"/>
      <c r="D41" s="3226"/>
      <c r="E41" s="3226"/>
      <c r="F41" s="1714" t="str">
        <f>C10</f>
        <v>陕西省西安市</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34"/>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B23" sqref="B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7" width="12.88671875" style="15" customWidth="1"/>
    <col min="8" max="8" width="11.21875"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customWidth="1"/>
    <col min="30" max="30" width="10" style="15" customWidth="1"/>
    <col min="31" max="31" width="9.77734375" style="15" customWidth="1"/>
    <col min="32" max="39" width="9.44140625" style="15" customWidth="1"/>
    <col min="40" max="40" width="11.1093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44066.5</v>
      </c>
      <c r="B3" s="22">
        <f>IF(C3="否",G5-AT5,G5)</f>
        <v>205689</v>
      </c>
      <c r="C3" s="23" t="s">
        <v>3003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211604</v>
      </c>
      <c r="H5" s="27">
        <f t="shared" ref="H5:AT5" si="0">SUM(H13:H641)</f>
        <v>203051</v>
      </c>
      <c r="I5" s="27">
        <f t="shared" si="0"/>
        <v>135005</v>
      </c>
      <c r="J5" s="27">
        <f t="shared" si="0"/>
        <v>0</v>
      </c>
      <c r="K5" s="27">
        <f t="shared" si="0"/>
        <v>23737</v>
      </c>
      <c r="L5" s="27">
        <f t="shared" si="0"/>
        <v>0</v>
      </c>
      <c r="M5" s="27">
        <f t="shared" si="0"/>
        <v>44309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2638</v>
      </c>
      <c r="AD5" s="27">
        <f t="shared" si="0"/>
        <v>2638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5915</v>
      </c>
      <c r="AU5" s="987"/>
      <c r="AV5" s="26" t="s">
        <v>168</v>
      </c>
      <c r="AW5" s="988"/>
      <c r="AX5" s="988"/>
      <c r="AY5" s="28" t="s">
        <v>3</v>
      </c>
      <c r="AZ5" s="29">
        <f t="shared" ref="AZ5:BT5" si="1">SUM(AZ13:AZ641)</f>
        <v>205689</v>
      </c>
      <c r="BA5" s="29">
        <f t="shared" si="1"/>
        <v>203051</v>
      </c>
      <c r="BB5" s="29">
        <f t="shared" si="1"/>
        <v>135005</v>
      </c>
      <c r="BC5" s="29">
        <f t="shared" si="1"/>
        <v>23737</v>
      </c>
      <c r="BD5" s="29">
        <f t="shared" si="1"/>
        <v>44309</v>
      </c>
      <c r="BE5" s="29">
        <f t="shared" si="1"/>
        <v>0</v>
      </c>
      <c r="BF5" s="29">
        <f t="shared" si="1"/>
        <v>0</v>
      </c>
      <c r="BG5" s="29">
        <f t="shared" si="1"/>
        <v>0</v>
      </c>
      <c r="BH5" s="29">
        <f t="shared" si="1"/>
        <v>0</v>
      </c>
      <c r="BI5" s="29">
        <f t="shared" si="1"/>
        <v>0</v>
      </c>
      <c r="BJ5" s="29">
        <f t="shared" si="1"/>
        <v>0</v>
      </c>
      <c r="BK5" s="29">
        <f t="shared" si="1"/>
        <v>0</v>
      </c>
      <c r="BL5" s="29">
        <f t="shared" si="1"/>
        <v>2638</v>
      </c>
      <c r="BM5" s="29">
        <f t="shared" si="1"/>
        <v>2638</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44066.500000000007</v>
      </c>
      <c r="F6" s="27" t="s">
        <v>1</v>
      </c>
      <c r="G6" s="27" t="s">
        <v>2</v>
      </c>
      <c r="H6" s="33">
        <f>SUMIF(I$12:AB$12,"总值",I6:AB6)</f>
        <v>43501.340000000004</v>
      </c>
      <c r="I6" s="27">
        <f t="shared" ref="I6:AB6" si="2">ROUND($A$3*I5/$B$3,2)</f>
        <v>28923.27</v>
      </c>
      <c r="J6" s="27">
        <f t="shared" si="2"/>
        <v>0</v>
      </c>
      <c r="K6" s="27">
        <f t="shared" si="2"/>
        <v>5085.38</v>
      </c>
      <c r="L6" s="27">
        <f t="shared" si="2"/>
        <v>0</v>
      </c>
      <c r="M6" s="27">
        <f t="shared" si="2"/>
        <v>9492.69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565.16</v>
      </c>
      <c r="AD6" s="27">
        <f t="shared" ref="AD6:AS6" si="3">ROUND($A$3*AD5/$B$3,2)</f>
        <v>565.16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44066.5</v>
      </c>
      <c r="AZ6" s="27" t="s">
        <v>3</v>
      </c>
      <c r="BA6" s="27">
        <f>ROUND($AY$6*BA5/$AZ$5,2)</f>
        <v>43501.34</v>
      </c>
      <c r="BB6" s="27">
        <f>ROUND($AY$6*BB5/$AZ$5,2)</f>
        <v>28923.27</v>
      </c>
      <c r="BC6" s="27">
        <f t="shared" ref="BC6:BH6" si="4">ROUND($AY$6*BC5/$AZ$5,2)</f>
        <v>5085.38</v>
      </c>
      <c r="BD6" s="27">
        <f t="shared" si="4"/>
        <v>9492.69</v>
      </c>
      <c r="BE6" s="27">
        <f t="shared" si="4"/>
        <v>0</v>
      </c>
      <c r="BF6" s="27">
        <f t="shared" si="4"/>
        <v>0</v>
      </c>
      <c r="BG6" s="27">
        <f t="shared" si="4"/>
        <v>0</v>
      </c>
      <c r="BH6" s="27">
        <f t="shared" si="4"/>
        <v>0</v>
      </c>
      <c r="BI6" s="27">
        <f t="shared" ref="BI6:BT6" si="5">ROUND($AY$6*BI5/$AZ$5,2)</f>
        <v>0</v>
      </c>
      <c r="BJ6" s="27">
        <f t="shared" si="5"/>
        <v>0</v>
      </c>
      <c r="BK6" s="27">
        <f t="shared" si="5"/>
        <v>0</v>
      </c>
      <c r="BL6" s="27">
        <f t="shared" si="5"/>
        <v>565.16</v>
      </c>
      <c r="BM6" s="27">
        <f t="shared" si="5"/>
        <v>565.16</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3001</v>
      </c>
      <c r="J9" s="51"/>
      <c r="K9" s="2967" t="s">
        <v>3001</v>
      </c>
      <c r="L9" s="51"/>
      <c r="M9" s="2967" t="s">
        <v>3103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923</v>
      </c>
      <c r="J10" s="51"/>
      <c r="K10" s="2969" t="s">
        <v>3094</v>
      </c>
      <c r="L10" s="51"/>
      <c r="M10" s="2969" t="s">
        <v>3102</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3002</v>
      </c>
      <c r="J11" s="71"/>
      <c r="K11" s="2968" t="s">
        <v>3101</v>
      </c>
      <c r="L11" s="71"/>
      <c r="M11" s="70" t="s">
        <v>3102</v>
      </c>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c r="A13" s="84"/>
      <c r="B13" s="2964"/>
      <c r="C13" s="2964"/>
      <c r="D13" s="2965" t="s">
        <v>1678</v>
      </c>
      <c r="E13" s="27">
        <f t="shared" ref="E13:E20" si="6">IF($C$3="是",ROUND($A$3*G13/$B$3,2),ROUND($A$3*(G13-AT13)/$B$3,2))</f>
        <v>44066.5</v>
      </c>
      <c r="F13" s="81"/>
      <c r="G13" s="82">
        <f t="shared" ref="G13:G20" si="7">H13+AC13+AT13</f>
        <v>211604</v>
      </c>
      <c r="H13" s="33">
        <f t="shared" ref="H13:H20" si="8">SUMIF(I$12:AB$12,"总值",I13:AB13)</f>
        <v>203051</v>
      </c>
      <c r="I13" s="2966">
        <v>135005</v>
      </c>
      <c r="J13" s="2966"/>
      <c r="K13" s="2966">
        <f>26375-AD13</f>
        <v>23737</v>
      </c>
      <c r="L13" s="2966"/>
      <c r="M13" s="2966">
        <v>44309</v>
      </c>
      <c r="N13" s="83"/>
      <c r="O13" s="83"/>
      <c r="P13" s="83"/>
      <c r="Q13" s="83"/>
      <c r="R13" s="83"/>
      <c r="S13" s="83"/>
      <c r="T13" s="83"/>
      <c r="U13" s="83"/>
      <c r="V13" s="83"/>
      <c r="W13" s="83"/>
      <c r="X13" s="83"/>
      <c r="Y13" s="83"/>
      <c r="Z13" s="83"/>
      <c r="AA13" s="83"/>
      <c r="AB13" s="83"/>
      <c r="AC13" s="27">
        <f t="shared" ref="AC13:AC20" si="9">SUMIF(AD$12:AS$12,"总值",AD13:AS13)</f>
        <v>2638</v>
      </c>
      <c r="AD13" s="2970">
        <f>ROUND(26375*0.1,0)</f>
        <v>2638</v>
      </c>
      <c r="AE13" s="2970"/>
      <c r="AF13" s="2970"/>
      <c r="AG13" s="2970"/>
      <c r="AH13" s="2970"/>
      <c r="AI13" s="2970"/>
      <c r="AJ13" s="2970"/>
      <c r="AK13" s="2970"/>
      <c r="AL13" s="2970"/>
      <c r="AM13" s="2970"/>
      <c r="AN13" s="2966"/>
      <c r="AO13" s="2970"/>
      <c r="AP13" s="2970"/>
      <c r="AQ13" s="2970"/>
      <c r="AR13" s="2970"/>
      <c r="AS13" s="2970"/>
      <c r="AT13" s="2971">
        <v>5915</v>
      </c>
      <c r="AU13" s="2972"/>
      <c r="AV13" s="17">
        <f t="shared" ref="AV13:AX20" si="10">A13</f>
        <v>0</v>
      </c>
      <c r="AW13" s="17">
        <f t="shared" si="10"/>
        <v>0</v>
      </c>
      <c r="AX13" s="17">
        <f t="shared" si="10"/>
        <v>0</v>
      </c>
      <c r="AY13" s="995">
        <f t="shared" ref="AY13:AY20" si="11">ROUND($AY$6*AZ13/$AZ$5,2)</f>
        <v>44066.5</v>
      </c>
      <c r="AZ13" s="27">
        <f t="shared" ref="AZ13:AZ20" si="12">BA13+BL13</f>
        <v>205689</v>
      </c>
      <c r="BA13" s="27">
        <f t="shared" ref="BA13:BA20" si="13">SUM(BB13:BK13)</f>
        <v>203051</v>
      </c>
      <c r="BB13" s="27">
        <f t="shared" ref="BB13:BB20" si="14">IF($D13="是",I13-J13,0)</f>
        <v>135005</v>
      </c>
      <c r="BC13" s="27">
        <f t="shared" ref="BC13:BC20" si="15">IF($D13="是",K13-L13,0)</f>
        <v>23737</v>
      </c>
      <c r="BD13" s="27">
        <f t="shared" ref="BD13:BD20" si="16">IF($D13="是",M13-N13,0)</f>
        <v>44309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2638</v>
      </c>
      <c r="BM13" s="27">
        <f t="shared" ref="BM13:BM20" si="25">IF($D13="是",AD13-AE13,0)</f>
        <v>2638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4"/>
      <c r="D14" s="2965"/>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66"/>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4"/>
      <c r="D15" s="2965"/>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66"/>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4"/>
      <c r="D16" s="2965"/>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66"/>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4"/>
      <c r="D17" s="2965"/>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66"/>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64"/>
      <c r="D18" s="2965"/>
      <c r="E18" s="87">
        <f t="shared" si="6"/>
        <v>0</v>
      </c>
      <c r="F18" s="88"/>
      <c r="G18" s="89">
        <f t="shared" si="7"/>
        <v>0</v>
      </c>
      <c r="H18" s="90">
        <f t="shared" si="8"/>
        <v>0</v>
      </c>
      <c r="I18" s="2966"/>
      <c r="J18" s="2966"/>
      <c r="K18" s="2966"/>
      <c r="L18" s="2966"/>
      <c r="M18" s="2966"/>
      <c r="N18" s="2966"/>
      <c r="O18" s="2966"/>
      <c r="P18" s="2966"/>
      <c r="Q18" s="2966"/>
      <c r="R18" s="2966"/>
      <c r="S18" s="2966"/>
      <c r="T18" s="2966"/>
      <c r="U18" s="2966"/>
      <c r="V18" s="2966"/>
      <c r="W18" s="2966"/>
      <c r="X18" s="2966"/>
      <c r="Y18" s="2966"/>
      <c r="Z18" s="2966"/>
      <c r="AA18" s="2966"/>
      <c r="AB18" s="2966"/>
      <c r="AC18" s="3184">
        <f t="shared" si="9"/>
        <v>0</v>
      </c>
      <c r="AD18" s="2966"/>
      <c r="AE18" s="2966"/>
      <c r="AF18" s="2966"/>
      <c r="AG18" s="2966"/>
      <c r="AH18" s="2966"/>
      <c r="AI18" s="2966"/>
      <c r="AJ18" s="2966"/>
      <c r="AK18" s="2966"/>
      <c r="AL18" s="2966"/>
      <c r="AM18" s="2966"/>
      <c r="AN18" s="296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4">
      <c r="A19" s="84"/>
      <c r="B19" s="1389"/>
      <c r="C19" s="2964"/>
      <c r="D19" s="2965"/>
      <c r="E19" s="87">
        <f t="shared" si="6"/>
        <v>0</v>
      </c>
      <c r="F19" s="88"/>
      <c r="G19" s="89">
        <f t="shared" si="7"/>
        <v>0</v>
      </c>
      <c r="H19" s="90">
        <f t="shared" si="8"/>
        <v>0</v>
      </c>
      <c r="I19" s="2966"/>
      <c r="J19" s="2966"/>
      <c r="K19" s="2966"/>
      <c r="L19" s="2966"/>
      <c r="M19" s="2966"/>
      <c r="N19" s="2966"/>
      <c r="O19" s="2966"/>
      <c r="P19" s="2966"/>
      <c r="Q19" s="2966"/>
      <c r="R19" s="2966"/>
      <c r="S19" s="2966"/>
      <c r="T19" s="2966"/>
      <c r="U19" s="2966"/>
      <c r="V19" s="2966"/>
      <c r="W19" s="2966"/>
      <c r="X19" s="2966"/>
      <c r="Y19" s="2966"/>
      <c r="Z19" s="2966"/>
      <c r="AA19" s="2966"/>
      <c r="AB19" s="2966"/>
      <c r="AC19" s="3184">
        <f t="shared" si="9"/>
        <v>0</v>
      </c>
      <c r="AD19" s="2966"/>
      <c r="AE19" s="2966"/>
      <c r="AF19" s="2966"/>
      <c r="AG19" s="2966"/>
      <c r="AH19" s="2966"/>
      <c r="AI19" s="2966"/>
      <c r="AJ19" s="2966"/>
      <c r="AK19" s="2966"/>
      <c r="AL19" s="2966"/>
      <c r="AM19" s="2966"/>
      <c r="AN19" s="296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4.4">
      <c r="A20" s="84"/>
      <c r="B20" s="1389"/>
      <c r="C20" s="2964"/>
      <c r="D20" s="2965"/>
      <c r="E20" s="87">
        <f t="shared" si="6"/>
        <v>0</v>
      </c>
      <c r="F20" s="88"/>
      <c r="G20" s="89">
        <f t="shared" si="7"/>
        <v>0</v>
      </c>
      <c r="H20" s="90">
        <f t="shared" si="8"/>
        <v>0</v>
      </c>
      <c r="I20" s="2966"/>
      <c r="J20" s="2966"/>
      <c r="K20" s="2966"/>
      <c r="L20" s="2966"/>
      <c r="M20" s="2966"/>
      <c r="N20" s="2966"/>
      <c r="O20" s="2966"/>
      <c r="P20" s="2966"/>
      <c r="Q20" s="2966"/>
      <c r="R20" s="2966"/>
      <c r="S20" s="2966"/>
      <c r="T20" s="2966"/>
      <c r="U20" s="2966"/>
      <c r="V20" s="2966"/>
      <c r="W20" s="2966"/>
      <c r="X20" s="2966"/>
      <c r="Y20" s="2966"/>
      <c r="Z20" s="2966"/>
      <c r="AA20" s="2966"/>
      <c r="AB20" s="2966"/>
      <c r="AC20" s="3184">
        <f t="shared" si="9"/>
        <v>0</v>
      </c>
      <c r="AD20" s="2966"/>
      <c r="AE20" s="2966"/>
      <c r="AF20" s="2966"/>
      <c r="AG20" s="2966"/>
      <c r="AH20" s="2966"/>
      <c r="AI20" s="2966"/>
      <c r="AJ20" s="2966"/>
      <c r="AK20" s="2966"/>
      <c r="AL20" s="2966"/>
      <c r="AM20" s="2966"/>
      <c r="AN20" s="296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4.4">
      <c r="A21" s="84"/>
      <c r="B21" s="1389"/>
      <c r="C21" s="2964"/>
      <c r="D21" s="2965"/>
      <c r="E21" s="87">
        <f t="shared" ref="E21:E112" si="33">IF($C$3="是",ROUND($A$3*G21/$B$3,2),ROUND($A$3*(G21-AT21)/$B$3,2))</f>
        <v>0</v>
      </c>
      <c r="F21" s="88"/>
      <c r="G21" s="89">
        <f t="shared" ref="G21:G109" si="34">H21+AC21+AT21</f>
        <v>0</v>
      </c>
      <c r="H21" s="90">
        <f t="shared" ref="H21:H109" si="35">SUMIF(I$12:AB$12,"总值",I21:AB21)</f>
        <v>0</v>
      </c>
      <c r="I21" s="2966"/>
      <c r="J21" s="2966"/>
      <c r="K21" s="2966"/>
      <c r="L21" s="2966"/>
      <c r="M21" s="2966"/>
      <c r="N21" s="2966"/>
      <c r="O21" s="2966"/>
      <c r="P21" s="2966"/>
      <c r="Q21" s="2966"/>
      <c r="R21" s="2966"/>
      <c r="S21" s="2966"/>
      <c r="T21" s="2966"/>
      <c r="U21" s="2966"/>
      <c r="V21" s="2966"/>
      <c r="W21" s="2966"/>
      <c r="X21" s="2966"/>
      <c r="Y21" s="2966"/>
      <c r="Z21" s="2966"/>
      <c r="AA21" s="2966"/>
      <c r="AB21" s="2966"/>
      <c r="AC21" s="3184">
        <f t="shared" ref="AC21:AC109" si="36">SUMIF(AD$12:AS$12,"总值",AD21:AS21)</f>
        <v>0</v>
      </c>
      <c r="AD21" s="2966"/>
      <c r="AE21" s="2966"/>
      <c r="AF21" s="2966"/>
      <c r="AG21" s="2966"/>
      <c r="AH21" s="2966"/>
      <c r="AI21" s="2966"/>
      <c r="AJ21" s="2966"/>
      <c r="AK21" s="2966"/>
      <c r="AL21" s="2966"/>
      <c r="AM21" s="2966"/>
      <c r="AN21" s="2966"/>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4.4">
      <c r="A22" s="84"/>
      <c r="B22" s="1389"/>
      <c r="C22" s="2964"/>
      <c r="D22" s="2965"/>
      <c r="E22" s="87">
        <f t="shared" si="33"/>
        <v>0</v>
      </c>
      <c r="F22" s="88"/>
      <c r="G22" s="89">
        <f t="shared" si="34"/>
        <v>0</v>
      </c>
      <c r="H22" s="90">
        <f t="shared" si="35"/>
        <v>0</v>
      </c>
      <c r="I22" s="2966"/>
      <c r="J22" s="2966"/>
      <c r="K22" s="2966"/>
      <c r="L22" s="2966"/>
      <c r="M22" s="2966"/>
      <c r="N22" s="2966"/>
      <c r="O22" s="2966"/>
      <c r="P22" s="2966"/>
      <c r="Q22" s="2966"/>
      <c r="R22" s="2966"/>
      <c r="S22" s="2966"/>
      <c r="T22" s="2966"/>
      <c r="U22" s="2966"/>
      <c r="V22" s="2966"/>
      <c r="W22" s="2966"/>
      <c r="X22" s="2966"/>
      <c r="Y22" s="2966"/>
      <c r="Z22" s="2966"/>
      <c r="AA22" s="2966"/>
      <c r="AB22" s="2966"/>
      <c r="AC22" s="3184">
        <f t="shared" si="36"/>
        <v>0</v>
      </c>
      <c r="AD22" s="2966"/>
      <c r="AE22" s="2966"/>
      <c r="AF22" s="2966"/>
      <c r="AG22" s="2966"/>
      <c r="AH22" s="2966"/>
      <c r="AI22" s="2966"/>
      <c r="AJ22" s="2966"/>
      <c r="AK22" s="2966"/>
      <c r="AL22" s="2966"/>
      <c r="AM22" s="2966"/>
      <c r="AN22" s="2966"/>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4.4">
      <c r="A23" s="84"/>
      <c r="B23" s="1389"/>
      <c r="C23" s="2964"/>
      <c r="D23" s="2965"/>
      <c r="E23" s="87">
        <f t="shared" si="33"/>
        <v>0</v>
      </c>
      <c r="F23" s="88"/>
      <c r="G23" s="89">
        <f t="shared" si="34"/>
        <v>0</v>
      </c>
      <c r="H23" s="90">
        <f t="shared" si="35"/>
        <v>0</v>
      </c>
      <c r="I23" s="2966"/>
      <c r="J23" s="2966"/>
      <c r="K23" s="2966"/>
      <c r="L23" s="2966"/>
      <c r="M23" s="2966"/>
      <c r="N23" s="2966"/>
      <c r="O23" s="2966"/>
      <c r="P23" s="2966"/>
      <c r="Q23" s="2966"/>
      <c r="R23" s="2966"/>
      <c r="S23" s="2966"/>
      <c r="T23" s="2966"/>
      <c r="U23" s="2966"/>
      <c r="V23" s="2966"/>
      <c r="W23" s="2966"/>
      <c r="X23" s="2966"/>
      <c r="Y23" s="2966"/>
      <c r="Z23" s="2966"/>
      <c r="AA23" s="2966"/>
      <c r="AB23" s="2966"/>
      <c r="AC23" s="3184">
        <f t="shared" si="36"/>
        <v>0</v>
      </c>
      <c r="AD23" s="2966"/>
      <c r="AE23" s="2966"/>
      <c r="AF23" s="2966"/>
      <c r="AG23" s="2966"/>
      <c r="AH23" s="2966"/>
      <c r="AI23" s="2966"/>
      <c r="AJ23" s="2966"/>
      <c r="AK23" s="2966"/>
      <c r="AL23" s="2966"/>
      <c r="AM23" s="2966"/>
      <c r="AN23" s="2966"/>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4.4">
      <c r="A24" s="84"/>
      <c r="B24" s="1389"/>
      <c r="C24" s="2964"/>
      <c r="D24" s="2965"/>
      <c r="E24" s="87">
        <f t="shared" si="33"/>
        <v>0</v>
      </c>
      <c r="F24" s="88"/>
      <c r="G24" s="89">
        <f t="shared" si="34"/>
        <v>0</v>
      </c>
      <c r="H24" s="90">
        <f t="shared" si="35"/>
        <v>0</v>
      </c>
      <c r="I24" s="2966"/>
      <c r="J24" s="2966"/>
      <c r="K24" s="2966"/>
      <c r="L24" s="2966"/>
      <c r="M24" s="2966"/>
      <c r="N24" s="2966"/>
      <c r="O24" s="2966"/>
      <c r="P24" s="2966"/>
      <c r="Q24" s="2966"/>
      <c r="R24" s="2966"/>
      <c r="S24" s="2966"/>
      <c r="T24" s="2966"/>
      <c r="U24" s="2966"/>
      <c r="V24" s="2966"/>
      <c r="W24" s="2966"/>
      <c r="X24" s="2966"/>
      <c r="Y24" s="2966"/>
      <c r="Z24" s="2966"/>
      <c r="AA24" s="2966"/>
      <c r="AB24" s="2966"/>
      <c r="AC24" s="3184">
        <f t="shared" si="36"/>
        <v>0</v>
      </c>
      <c r="AD24" s="2966"/>
      <c r="AE24" s="2966"/>
      <c r="AF24" s="2966"/>
      <c r="AG24" s="2966"/>
      <c r="AH24" s="2966"/>
      <c r="AI24" s="2966"/>
      <c r="AJ24" s="2966"/>
      <c r="AK24" s="2966"/>
      <c r="AL24" s="2966"/>
      <c r="AM24" s="2966"/>
      <c r="AN24" s="2966"/>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4.4">
      <c r="A25" s="84"/>
      <c r="B25" s="1389"/>
      <c r="C25" s="2964"/>
      <c r="D25" s="2965"/>
      <c r="E25" s="87">
        <f t="shared" si="33"/>
        <v>0</v>
      </c>
      <c r="F25" s="88"/>
      <c r="G25" s="89">
        <f t="shared" si="34"/>
        <v>0</v>
      </c>
      <c r="H25" s="90">
        <f t="shared" si="35"/>
        <v>0</v>
      </c>
      <c r="I25" s="2966"/>
      <c r="J25" s="2966"/>
      <c r="K25" s="2966"/>
      <c r="L25" s="2966"/>
      <c r="M25" s="2966"/>
      <c r="N25" s="2966"/>
      <c r="O25" s="2966"/>
      <c r="P25" s="2966"/>
      <c r="Q25" s="2966"/>
      <c r="R25" s="2966"/>
      <c r="S25" s="2966"/>
      <c r="T25" s="2966"/>
      <c r="U25" s="2966"/>
      <c r="V25" s="2966"/>
      <c r="W25" s="2966"/>
      <c r="X25" s="2966"/>
      <c r="Y25" s="2966"/>
      <c r="Z25" s="2966"/>
      <c r="AA25" s="2966"/>
      <c r="AB25" s="2966"/>
      <c r="AC25" s="3184">
        <f t="shared" si="36"/>
        <v>0</v>
      </c>
      <c r="AD25" s="2966"/>
      <c r="AE25" s="2966"/>
      <c r="AF25" s="2966"/>
      <c r="AG25" s="2966"/>
      <c r="AH25" s="2966"/>
      <c r="AI25" s="2966"/>
      <c r="AJ25" s="2966"/>
      <c r="AK25" s="2966"/>
      <c r="AL25" s="2966"/>
      <c r="AM25" s="2966"/>
      <c r="AN25" s="2966"/>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4.4">
      <c r="A26" s="84"/>
      <c r="B26" s="1389"/>
      <c r="C26" s="2964"/>
      <c r="D26" s="2965"/>
      <c r="E26" s="87">
        <f t="shared" si="33"/>
        <v>0</v>
      </c>
      <c r="F26" s="88"/>
      <c r="G26" s="89">
        <f t="shared" si="34"/>
        <v>0</v>
      </c>
      <c r="H26" s="90">
        <f t="shared" si="35"/>
        <v>0</v>
      </c>
      <c r="I26" s="2966"/>
      <c r="J26" s="2966"/>
      <c r="K26" s="2966"/>
      <c r="L26" s="2966"/>
      <c r="M26" s="2966"/>
      <c r="N26" s="2966"/>
      <c r="O26" s="2966"/>
      <c r="P26" s="2966"/>
      <c r="Q26" s="2966"/>
      <c r="R26" s="2966"/>
      <c r="S26" s="2966"/>
      <c r="T26" s="2966"/>
      <c r="U26" s="2966"/>
      <c r="V26" s="2966"/>
      <c r="W26" s="2966"/>
      <c r="X26" s="2966"/>
      <c r="Y26" s="2966"/>
      <c r="Z26" s="2966"/>
      <c r="AA26" s="2966"/>
      <c r="AB26" s="2966"/>
      <c r="AC26" s="3184">
        <f t="shared" si="36"/>
        <v>0</v>
      </c>
      <c r="AD26" s="2966"/>
      <c r="AE26" s="2966"/>
      <c r="AF26" s="2966"/>
      <c r="AG26" s="2966"/>
      <c r="AH26" s="2966"/>
      <c r="AI26" s="2966"/>
      <c r="AJ26" s="2966"/>
      <c r="AK26" s="2966"/>
      <c r="AL26" s="2966"/>
      <c r="AM26" s="2966"/>
      <c r="AN26" s="2966"/>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2966"/>
      <c r="J27" s="2966"/>
      <c r="K27" s="2966"/>
      <c r="L27" s="2966"/>
      <c r="M27" s="2966"/>
      <c r="N27" s="2966"/>
      <c r="O27" s="2966"/>
      <c r="P27" s="2966"/>
      <c r="Q27" s="2966"/>
      <c r="R27" s="2966"/>
      <c r="S27" s="2966"/>
      <c r="T27" s="2966"/>
      <c r="U27" s="2966"/>
      <c r="V27" s="2966"/>
      <c r="W27" s="2966"/>
      <c r="X27" s="2966"/>
      <c r="Y27" s="2966"/>
      <c r="Z27" s="2966"/>
      <c r="AA27" s="2966"/>
      <c r="AB27" s="2966"/>
      <c r="AC27" s="3184">
        <f t="shared" si="36"/>
        <v>0</v>
      </c>
      <c r="AD27" s="2966"/>
      <c r="AE27" s="2966"/>
      <c r="AF27" s="2966"/>
      <c r="AG27" s="2966"/>
      <c r="AH27" s="2966"/>
      <c r="AI27" s="2966"/>
      <c r="AJ27" s="2966"/>
      <c r="AK27" s="2966"/>
      <c r="AL27" s="2966"/>
      <c r="AM27" s="2966"/>
      <c r="AN27" s="2966"/>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46.8">
      <c r="A3" s="3262"/>
      <c r="B3" s="3262"/>
      <c r="C3" s="3262"/>
      <c r="D3" s="3263"/>
      <c r="E3" s="326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4" sqref="G24"/>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3" t="s">
        <v>203</v>
      </c>
      <c r="B2" s="3273"/>
      <c r="C2" s="3273"/>
      <c r="D2" s="1958" t="s">
        <v>204</v>
      </c>
      <c r="E2" s="106" t="s">
        <v>205</v>
      </c>
      <c r="F2" s="1967"/>
      <c r="G2" s="1193"/>
      <c r="H2" s="1194"/>
      <c r="I2" s="1195" t="s">
        <v>857</v>
      </c>
      <c r="J2" s="1967"/>
      <c r="K2" s="1967"/>
      <c r="L2" s="1967"/>
    </row>
    <row r="3" spans="1:16" ht="15" thickBot="1">
      <c r="A3" s="3274" t="s">
        <v>206</v>
      </c>
      <c r="B3" s="3274"/>
      <c r="C3" s="3274"/>
      <c r="D3" s="107">
        <f>'数据-基础表'!AY6</f>
        <v>44066.5</v>
      </c>
      <c r="E3" s="107">
        <f>'数据-基础表'!AZ5</f>
        <v>205689</v>
      </c>
      <c r="F3" s="1967"/>
      <c r="G3" s="280" t="s">
        <v>858</v>
      </c>
      <c r="H3" s="275" t="s">
        <v>859</v>
      </c>
      <c r="I3" s="1959">
        <f>ROUND('数据-基础表'!B3/'数据-基础表'!A3,2)</f>
        <v>4.67</v>
      </c>
      <c r="J3" s="1967"/>
      <c r="K3" s="1967"/>
      <c r="L3" s="1967"/>
    </row>
    <row r="4" spans="1:16" ht="14.4">
      <c r="A4" s="3275"/>
      <c r="B4" s="3276"/>
      <c r="C4" s="3277"/>
      <c r="D4" s="108" t="s">
        <v>204</v>
      </c>
      <c r="E4" s="109" t="s">
        <v>205</v>
      </c>
      <c r="F4" s="1967"/>
      <c r="G4" s="1196"/>
      <c r="H4" s="275" t="s">
        <v>860</v>
      </c>
      <c r="I4" s="1959">
        <f>ROUND(SUMIF('数据-基础表'!I9:AS9,"地上",'数据-基础表'!I5:AS5)/'数据-基础表'!A3,2)</f>
        <v>3.66</v>
      </c>
      <c r="J4" s="1967"/>
      <c r="K4" s="1967"/>
      <c r="L4" s="1967"/>
    </row>
    <row r="5" spans="1:16" ht="14.4">
      <c r="A5" s="110" t="s">
        <v>207</v>
      </c>
      <c r="B5" s="3278" t="s">
        <v>230</v>
      </c>
      <c r="C5" s="3278"/>
      <c r="D5" s="111">
        <f>ROUND($D$3*E5/$E$3,2)</f>
        <v>28923.27</v>
      </c>
      <c r="E5" s="112">
        <f>SUMIF('数据-基础表'!$11:$11,"住宅",'数据-基础表'!$5:$5)</f>
        <v>135005</v>
      </c>
      <c r="F5" s="1967"/>
      <c r="G5" s="280" t="s">
        <v>861</v>
      </c>
      <c r="H5" s="275" t="s">
        <v>859</v>
      </c>
      <c r="I5" s="1959">
        <f>ROUND(E31/D31,2)</f>
        <v>4.67</v>
      </c>
      <c r="J5" s="1967"/>
      <c r="K5" s="1967"/>
      <c r="L5" s="1967"/>
    </row>
    <row r="6" spans="1:16" ht="15" thickBot="1">
      <c r="A6" s="113"/>
      <c r="B6" s="3278" t="s">
        <v>208</v>
      </c>
      <c r="C6" s="3278"/>
      <c r="D6" s="111">
        <f>ROUND($D$3*E6/$E$3,2)</f>
        <v>15143.23</v>
      </c>
      <c r="E6" s="112">
        <f>E3-E5</f>
        <v>70684</v>
      </c>
      <c r="F6" s="1967"/>
      <c r="G6" s="1196"/>
      <c r="H6" s="275" t="s">
        <v>860</v>
      </c>
      <c r="I6" s="1959">
        <f>ROUND(F31/D31,2)</f>
        <v>3.66</v>
      </c>
      <c r="J6" s="1967"/>
      <c r="K6" s="1967"/>
      <c r="L6" s="1967"/>
    </row>
    <row r="7" spans="1:16" ht="14.4">
      <c r="A7" s="3270"/>
      <c r="B7" s="3271"/>
      <c r="C7" s="3272"/>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34008.65</v>
      </c>
      <c r="E8" s="116">
        <f>SUMIF('数据-基础表'!BB10:BK10,"地上",'数据-基础表'!BB5:BK5)</f>
        <v>158742</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2334</v>
      </c>
      <c r="D13" s="111">
        <f t="shared" si="0"/>
        <v>9492.69</v>
      </c>
      <c r="E13" s="116">
        <f>SUMPRODUCT(('数据-基础表'!BB10:BK10="地下")*('数据-基础表'!BB11:BK11="车库")*('数据-基础表'!BB5:BK5))</f>
        <v>44309</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43501.340000000004</v>
      </c>
      <c r="E16" s="120">
        <f>SUM(E8:E15)</f>
        <v>203051</v>
      </c>
      <c r="F16" s="1967"/>
      <c r="G16" s="1969"/>
      <c r="H16" s="967" t="s">
        <v>219</v>
      </c>
      <c r="I16" s="968"/>
      <c r="J16" s="1967"/>
      <c r="K16" s="3264" t="s">
        <v>2566</v>
      </c>
      <c r="L16" s="3265"/>
      <c r="M16" s="3265"/>
      <c r="N16" s="3265"/>
      <c r="O16" s="3265"/>
      <c r="P16" s="3266"/>
    </row>
    <row r="17" spans="1:19" ht="14.4">
      <c r="A17" s="121" t="s">
        <v>216</v>
      </c>
      <c r="B17" s="122" t="s">
        <v>217</v>
      </c>
      <c r="C17" s="2281" t="s">
        <v>2313</v>
      </c>
      <c r="D17" s="108" t="s">
        <v>204</v>
      </c>
      <c r="E17" s="124" t="s">
        <v>205</v>
      </c>
      <c r="F17" s="125"/>
      <c r="G17" s="1361"/>
      <c r="H17" s="969" t="s">
        <v>218</v>
      </c>
      <c r="I17" s="970" t="s">
        <v>2312</v>
      </c>
      <c r="J17" s="1967"/>
      <c r="K17" s="3267" t="s">
        <v>2567</v>
      </c>
      <c r="L17" s="3268"/>
      <c r="M17" s="3269"/>
      <c r="N17" s="3267" t="s">
        <v>2568</v>
      </c>
      <c r="O17" s="3268"/>
      <c r="P17" s="3269"/>
      <c r="R17" s="2282" t="s">
        <v>2311</v>
      </c>
      <c r="S17" s="144"/>
    </row>
    <row r="18" spans="1:19" ht="14.4">
      <c r="A18" s="117"/>
      <c r="B18" s="128"/>
      <c r="C18" s="129"/>
      <c r="D18" s="2604"/>
      <c r="E18" s="130" t="s">
        <v>220</v>
      </c>
      <c r="F18" s="131" t="s">
        <v>221</v>
      </c>
      <c r="G18" s="1362"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ht="14.4">
      <c r="A19" s="133"/>
      <c r="B19" s="115" t="s">
        <v>225</v>
      </c>
      <c r="C19" s="2973" t="s">
        <v>3104</v>
      </c>
      <c r="D19" s="111">
        <f t="shared" ref="D19:D26" si="1">ROUND($D$3*E19/$E$3,2)</f>
        <v>28923.27</v>
      </c>
      <c r="E19" s="134">
        <f t="shared" ref="E19:E26" si="2">SUM(F19:G19)</f>
        <v>135005</v>
      </c>
      <c r="F19" s="135">
        <f>'数据-基础表'!I5</f>
        <v>135005</v>
      </c>
      <c r="G19" s="1363"/>
      <c r="H19" s="973">
        <f>ROUND($D$3*I19/$E$3,2)</f>
        <v>565.16</v>
      </c>
      <c r="I19" s="116">
        <f>IF($I$17="自定义",P19,M19)</f>
        <v>2638</v>
      </c>
      <c r="J19" s="1967"/>
      <c r="K19" s="2570">
        <f t="shared" ref="K19:K26" si="3">ROUND(E$28*E19/E$27,2)</f>
        <v>0</v>
      </c>
      <c r="L19" s="275">
        <f t="shared" ref="L19:L26" si="4">ROUND(IF(COUNTIF(C19,"*住宅*")&gt;0,E$29*E19/E$32,0),2)</f>
        <v>2638</v>
      </c>
      <c r="M19" s="2571">
        <f>K19+L19</f>
        <v>2638</v>
      </c>
      <c r="N19" s="2572"/>
      <c r="O19" s="2573"/>
      <c r="P19" s="2574">
        <f>N19+O19</f>
        <v>0</v>
      </c>
      <c r="R19" s="275">
        <f t="shared" ref="R19:S26" si="5">D19+H19</f>
        <v>29488.43</v>
      </c>
      <c r="S19" s="2284">
        <f t="shared" si="5"/>
        <v>137643</v>
      </c>
    </row>
    <row r="20" spans="1:19" ht="14.4">
      <c r="A20" s="138"/>
      <c r="B20" s="115" t="s">
        <v>226</v>
      </c>
      <c r="C20" s="2973" t="s">
        <v>3105</v>
      </c>
      <c r="D20" s="111">
        <f t="shared" si="1"/>
        <v>5085.38</v>
      </c>
      <c r="E20" s="134">
        <f t="shared" si="2"/>
        <v>23737</v>
      </c>
      <c r="F20" s="135">
        <f>'数据-基础表'!K5</f>
        <v>23737</v>
      </c>
      <c r="G20" s="1363"/>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5085.38</v>
      </c>
      <c r="S20" s="2284">
        <f t="shared" si="5"/>
        <v>23737</v>
      </c>
    </row>
    <row r="21" spans="1:19" ht="14.4">
      <c r="A21" s="138"/>
      <c r="B21" s="115" t="s">
        <v>226</v>
      </c>
      <c r="C21" s="2973" t="s">
        <v>3106</v>
      </c>
      <c r="D21" s="111">
        <f t="shared" si="1"/>
        <v>9492.69</v>
      </c>
      <c r="E21" s="134">
        <f t="shared" si="2"/>
        <v>44309</v>
      </c>
      <c r="F21" s="135"/>
      <c r="G21" s="1363">
        <f>'数据-基础表'!M5</f>
        <v>44309</v>
      </c>
      <c r="H21" s="973">
        <f t="shared" si="6"/>
        <v>0</v>
      </c>
      <c r="I21" s="116">
        <f t="shared" si="7"/>
        <v>0</v>
      </c>
      <c r="J21" s="1967"/>
      <c r="K21" s="2570">
        <f t="shared" si="3"/>
        <v>0</v>
      </c>
      <c r="L21" s="275">
        <f t="shared" si="4"/>
        <v>0</v>
      </c>
      <c r="M21" s="2571">
        <f t="shared" si="8"/>
        <v>0</v>
      </c>
      <c r="N21" s="2572"/>
      <c r="O21" s="2573"/>
      <c r="P21" s="2574">
        <f t="shared" si="9"/>
        <v>0</v>
      </c>
      <c r="R21" s="275">
        <f t="shared" si="5"/>
        <v>9492.69</v>
      </c>
      <c r="S21" s="2284">
        <f t="shared" si="5"/>
        <v>44309</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2" thickBot="1">
      <c r="A27" s="138"/>
      <c r="B27" s="111"/>
      <c r="C27" s="127" t="s">
        <v>215</v>
      </c>
      <c r="D27" s="134">
        <f>SUM(D19:D26)</f>
        <v>43501.340000000004</v>
      </c>
      <c r="E27" s="143">
        <f>IF(SUM(E19:E26)='数据-基础表'!BA5,SUM(E19:E26),IF(F27="地上面积有误","面积有误","地下面积有误"))</f>
        <v>203051</v>
      </c>
      <c r="F27" s="134">
        <f>IF(SUM(F19:F26)=E8,SUM(F19:F26),"地上面积有误")</f>
        <v>158742</v>
      </c>
      <c r="G27" s="112">
        <f>SUM(G19:G26)</f>
        <v>44309</v>
      </c>
      <c r="H27" s="974">
        <f>SUM(H19:H26)</f>
        <v>565.16</v>
      </c>
      <c r="I27" s="975">
        <f>SUM(I19:I26)</f>
        <v>2638</v>
      </c>
      <c r="J27" s="1967"/>
      <c r="K27" s="2579">
        <f>SUM(K19:K26)</f>
        <v>0</v>
      </c>
      <c r="L27" s="2580">
        <f>SUM(L19:L26)</f>
        <v>2638</v>
      </c>
      <c r="M27" s="2581">
        <f>SUM(M19:M26)</f>
        <v>2638</v>
      </c>
      <c r="N27" s="2579">
        <f t="shared" ref="N27:O27" si="10">SUM(N19:N26)</f>
        <v>0</v>
      </c>
      <c r="O27" s="2580">
        <f t="shared" si="10"/>
        <v>0</v>
      </c>
      <c r="P27" s="2582">
        <f>SUM(P19:P26)</f>
        <v>0</v>
      </c>
      <c r="R27" s="2288">
        <f>IF(SUM(R19:R26)=$D$3,SUM(R19:R26),SUM(R19:R26)&amp;"误差"&amp;ROUND(SUM(R19:R26)-$D$3,2))</f>
        <v>44066.5</v>
      </c>
      <c r="S27" s="275">
        <f>IF(SUM(S19:S26)=$E$3,SUM(S19:S26),SUM(S19:S26)&amp;"误差"&amp;ROUND(SUM(S19:S26)-E3,2))</f>
        <v>205689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2320</v>
      </c>
      <c r="D29" s="111">
        <f>ROUND($D$3*E29/$E$3,2)</f>
        <v>565.16</v>
      </c>
      <c r="E29" s="134">
        <f>SUM(F29:G29)</f>
        <v>2638</v>
      </c>
      <c r="F29" s="144">
        <f>'数据-基础表'!BM5+'数据-基础表'!BO5</f>
        <v>2638</v>
      </c>
      <c r="G29" s="146">
        <f>'数据-基础表'!BN5+'数据-基础表'!BP5</f>
        <v>0</v>
      </c>
      <c r="H29" s="1967"/>
      <c r="I29" s="1967"/>
      <c r="J29" s="1967"/>
      <c r="K29" s="1967"/>
      <c r="L29" s="1967"/>
    </row>
    <row r="30" spans="1:19" ht="14.4">
      <c r="A30" s="138"/>
      <c r="B30" s="111"/>
      <c r="C30" s="147" t="s">
        <v>215</v>
      </c>
      <c r="D30" s="134">
        <f>SUM(D28:D29)</f>
        <v>565.16</v>
      </c>
      <c r="E30" s="134">
        <f>SUM(E28:E29)</f>
        <v>2638</v>
      </c>
      <c r="F30" s="134">
        <f>SUM(F28:F29)</f>
        <v>2638</v>
      </c>
      <c r="G30" s="112">
        <f>SUM(G28:G29)</f>
        <v>0</v>
      </c>
      <c r="H30" s="1967"/>
      <c r="I30" s="1967"/>
      <c r="J30" s="1967"/>
      <c r="K30" s="1967"/>
      <c r="L30" s="1967"/>
    </row>
    <row r="31" spans="1:19" ht="32.25" customHeight="1" thickBot="1">
      <c r="A31" s="1365"/>
      <c r="B31" s="1366" t="s">
        <v>229</v>
      </c>
      <c r="C31" s="2313" t="s">
        <v>2322</v>
      </c>
      <c r="D31" s="1367">
        <f>D27+D30</f>
        <v>44066.500000000007</v>
      </c>
      <c r="E31" s="1367">
        <f>E27+E30</f>
        <v>205689</v>
      </c>
      <c r="F31" s="1368">
        <f>F27+F30</f>
        <v>161380</v>
      </c>
      <c r="G31" s="1369">
        <f>G27+G30</f>
        <v>44309</v>
      </c>
      <c r="H31" s="1967"/>
      <c r="I31" s="1967"/>
      <c r="J31" s="1967"/>
      <c r="K31" s="1967"/>
      <c r="L31" s="1967"/>
    </row>
    <row r="32" spans="1:19" ht="14.4">
      <c r="A32" s="1967"/>
      <c r="B32" s="2325" t="s">
        <v>2321</v>
      </c>
      <c r="C32" s="2609"/>
      <c r="D32" s="1196"/>
      <c r="E32" s="1196">
        <f>SUMIF(C19:C26,"*住宅*",E19:E26)</f>
        <v>135005</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Q11" sqref="Q11"/>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43776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住宅</v>
      </c>
      <c r="B6" s="2320" t="str">
        <f>IF(A6=0,"","经营性")</f>
        <v>经营性</v>
      </c>
      <c r="C6" s="173" t="s">
        <v>923</v>
      </c>
      <c r="D6" s="2291">
        <f>SUMIF(项目基本情况!D$15:I$15,C6,项目基本情况!D$18:I$18)</f>
        <v>70</v>
      </c>
      <c r="E6" s="2292">
        <f>IF(B6="","",SUMIF(项目基本情况!D$15:I$15,C6,项目基本情况!D$17:I$17))</f>
        <v>67807</v>
      </c>
      <c r="F6" s="174">
        <f>SUMIF(项目基本情况!D$15:I$15,C6,项目基本情况!D$19:I$19)</f>
        <v>65.83</v>
      </c>
      <c r="G6" s="175">
        <f>IF(ISERROR(ROUND(POWER(1+H6,D6-F6)*(POWER(1+H6,F6)-1)/(POWER(1+H6,D6)-1),3)),0,ROUND(POWER(1+H6,D6-F6)*(POWER(1+H6,F6)-1)/(POWER(1+H6,D6)-1),3))</f>
        <v>0.98799999999999999</v>
      </c>
      <c r="H6" s="2974">
        <v>0.04</v>
      </c>
      <c r="I6" s="2974">
        <v>4.4999999999999998E-2</v>
      </c>
      <c r="J6" s="176">
        <v>8.5000000000000006E-2</v>
      </c>
      <c r="K6" s="179">
        <f>SUMIF('数据-汇总表'!C$19:C$33,'数据-取费表'!A6,'数据-汇总表'!E$19:E$33)</f>
        <v>135005</v>
      </c>
      <c r="L6" s="2975">
        <v>3000</v>
      </c>
      <c r="M6" s="177">
        <f t="shared" ref="M6:M14" si="0">ROUND(K6*L6/10000,0)</f>
        <v>40502</v>
      </c>
      <c r="N6" s="2976">
        <v>0</v>
      </c>
      <c r="O6" s="177">
        <f>IF($N$5="成新度","——",ROUND(M6*N6,0))</f>
        <v>0</v>
      </c>
      <c r="P6" s="178">
        <f>IF($N$5="成新度","——",M6-O6)</f>
        <v>40502</v>
      </c>
      <c r="Q6" s="2977">
        <v>0.15</v>
      </c>
      <c r="R6" s="179">
        <f>SUMIF('数据-汇总表'!C$19:C$33,A6,'数据-汇总表'!R$19:R$33)</f>
        <v>29488.43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8"/>
      <c r="AN6" s="2354"/>
      <c r="AO6" s="1983"/>
      <c r="AP6" s="1199">
        <f>ROUND(1-1/(1+H6)^F6,3)</f>
        <v>0.92400000000000004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商业</v>
      </c>
      <c r="B7" s="2320" t="str">
        <f t="shared" ref="B7:B13" si="1">IF(A7=0,"","经营性")</f>
        <v>经营性</v>
      </c>
      <c r="C7" s="173" t="s">
        <v>3094</v>
      </c>
      <c r="D7" s="2291">
        <f>SUMIF(项目基本情况!D$15:I$15,C7,项目基本情况!D$18:I$18)</f>
        <v>40</v>
      </c>
      <c r="E7" s="2292">
        <f>IF(B7="","",SUMIF(项目基本情况!D$15:I$15,C7,项目基本情况!D$17:I$17))</f>
        <v>56849</v>
      </c>
      <c r="F7" s="174">
        <f>SUMIF(项目基本情况!D$15:I$15,C7,项目基本情况!D$19:I$19)</f>
        <v>35.81</v>
      </c>
      <c r="G7" s="175">
        <f t="shared" ref="G7:G11" si="2">IF(ISERROR(ROUND(POWER(1+H7,D7-F7)*(POWER(1+H7,F7)-1)/(POWER(1+H7,D7)-1),3)),0,ROUND(POWER(1+H7,D7-F7)*(POWER(1+H7,F7)-1)/(POWER(1+H7,D7)-1),3))</f>
        <v>0.96199999999999997</v>
      </c>
      <c r="H7" s="2974">
        <v>0.05</v>
      </c>
      <c r="I7" s="2974">
        <v>5.5E-2</v>
      </c>
      <c r="J7" s="176">
        <v>8.5000000000000006E-2</v>
      </c>
      <c r="K7" s="179">
        <f>SUMIF('数据-汇总表'!C$19:C$33,'数据-取费表'!A7,'数据-汇总表'!E$19:E$33)</f>
        <v>23737</v>
      </c>
      <c r="L7" s="2975">
        <v>3000</v>
      </c>
      <c r="M7" s="177">
        <f t="shared" si="0"/>
        <v>7121</v>
      </c>
      <c r="N7" s="2976">
        <v>0</v>
      </c>
      <c r="O7" s="177">
        <f t="shared" ref="O7:O14" si="3">IF($N$5="成新度","——",ROUND(M7*N7,0))</f>
        <v>0</v>
      </c>
      <c r="P7" s="178">
        <f t="shared" ref="P7:P14" si="4">IF($N$5="成新度","——",M7-O7)</f>
        <v>7121</v>
      </c>
      <c r="Q7" s="2977">
        <v>0.2</v>
      </c>
      <c r="R7" s="179">
        <f>SUMIF('数据-汇总表'!C$19:C$33,A7,'数据-汇总表'!R$19:R$33)</f>
        <v>5085.38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0.82599999999999996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地下车库</v>
      </c>
      <c r="B8" s="2320" t="str">
        <f t="shared" si="1"/>
        <v>经营性</v>
      </c>
      <c r="C8" s="173" t="s">
        <v>3102</v>
      </c>
      <c r="D8" s="2291">
        <f>SUMIF(项目基本情况!D$15:I$15,C8,项目基本情况!D$18:I$18)</f>
        <v>0</v>
      </c>
      <c r="E8" s="2292">
        <f>IF(B8="","",SUMIF(项目基本情况!D$15:I$15,C8,项目基本情况!D$17:I$17))</f>
        <v>0</v>
      </c>
      <c r="F8" s="174">
        <f>SUMIF(项目基本情况!D$15:I$15,C8,项目基本情况!D$19:I$19)</f>
        <v>0</v>
      </c>
      <c r="G8" s="175">
        <f t="shared" si="2"/>
        <v>0</v>
      </c>
      <c r="H8" s="2974">
        <v>4.4999999999999998E-2</v>
      </c>
      <c r="I8" s="2974">
        <v>0.05</v>
      </c>
      <c r="J8" s="176">
        <v>8.5000000000000006E-2</v>
      </c>
      <c r="K8" s="179">
        <f>SUMIF('数据-汇总表'!C$19:C$33,'数据-取费表'!A8,'数据-汇总表'!E$19:E$33)</f>
        <v>44309</v>
      </c>
      <c r="L8" s="2975">
        <v>3000</v>
      </c>
      <c r="M8" s="177">
        <f>ROUND(K8*L8/10000,0)</f>
        <v>13293</v>
      </c>
      <c r="N8" s="2976">
        <v>0</v>
      </c>
      <c r="O8" s="177">
        <f t="shared" si="3"/>
        <v>0</v>
      </c>
      <c r="P8" s="178">
        <f t="shared" si="4"/>
        <v>13293</v>
      </c>
      <c r="Q8" s="2977">
        <v>0.05</v>
      </c>
      <c r="R8" s="179">
        <f>SUMIF('数据-汇总表'!C$19:C$33,A8,'数据-汇总表'!R$19:R$33)</f>
        <v>9492.69</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2314</v>
      </c>
      <c r="B14" s="2289" t="s">
        <v>1679</v>
      </c>
      <c r="C14" s="2290" t="s">
        <v>2314</v>
      </c>
      <c r="D14" s="2291"/>
      <c r="E14" s="2292"/>
      <c r="F14" s="174"/>
      <c r="G14" s="175"/>
      <c r="H14" s="2293"/>
      <c r="I14" s="2293"/>
      <c r="J14" s="2293"/>
      <c r="K14" s="179">
        <f>SUMIF('数据-汇总表'!C$19:C$33,'数据-取费表'!A14,'数据-汇总表'!E$19:E$33)</f>
        <v>0</v>
      </c>
      <c r="L14" s="193">
        <f>L6</f>
        <v>3000</v>
      </c>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2316</v>
      </c>
      <c r="B15" s="2289" t="s">
        <v>1679</v>
      </c>
      <c r="C15" s="2290" t="s">
        <v>2315</v>
      </c>
      <c r="D15" s="2291"/>
      <c r="E15" s="2292"/>
      <c r="F15" s="174"/>
      <c r="G15" s="175"/>
      <c r="H15" s="2293"/>
      <c r="I15" s="2293"/>
      <c r="J15" s="2293"/>
      <c r="K15" s="179">
        <f>SUMIF('数据-汇总表'!C$19:C$33,'数据-取费表'!A15,'数据-汇总表'!E$19:E$33)</f>
        <v>2638</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0.98399999999999999</v>
      </c>
      <c r="H16" s="203">
        <f>ROUND(SUMPRODUCT(H6:H13,K6:K13)/SUMPRODUCT((H6:H13&gt;0)*(K6:K13)),3)</f>
        <v>4.2000000000000003E-2</v>
      </c>
      <c r="I16" s="204"/>
      <c r="J16" s="204"/>
      <c r="K16" s="205">
        <f>SUM(K6:K15)</f>
        <v>205689</v>
      </c>
      <c r="L16" s="206">
        <f>ROUND(M16*10000/SUM(K6:K14),0)</f>
        <v>3000</v>
      </c>
      <c r="M16" s="206">
        <f>SUM(M6:M14)</f>
        <v>60916</v>
      </c>
      <c r="N16" s="207">
        <f>ROUND(SUMPRODUCT(M6:M14,N6:N14)/M16,3)</f>
        <v>0</v>
      </c>
      <c r="O16" s="206">
        <f>SUM(O6:O14)</f>
        <v>0</v>
      </c>
      <c r="P16" s="206">
        <f>SUM(P6:P14)</f>
        <v>60916</v>
      </c>
      <c r="Q16" s="208">
        <f>ROUND(SUMPRODUCT(Q6:Q13,K6:K13)/SUMPRODUCT((Q6:Q13&gt;0)*(K6:K13)),2)</f>
        <v>0.13</v>
      </c>
      <c r="R16" s="2294">
        <f>SUM(R6:R13)</f>
        <v>44066.5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0.90900000000000003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2338</v>
      </c>
      <c r="B27" s="227">
        <v>240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2339</v>
      </c>
      <c r="B28" s="229">
        <v>240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2337</v>
      </c>
      <c r="B29" s="232">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3">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2893</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2894</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2895</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2896</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2897</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2897</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5.6500000000000002E-2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5">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6.5000000000000006E-3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2898</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2899</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2900</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5.0000000000000001E-4</v>
      </c>
      <c r="C47" s="3022" t="s">
        <v>2901</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3" t="s">
        <v>2902</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3" t="s">
        <v>2903</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1155</v>
      </c>
      <c r="C53" s="3024" t="s">
        <v>2904</v>
      </c>
      <c r="D53" s="3025" t="s">
        <v>2905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7" t="s">
        <v>2906</v>
      </c>
      <c r="B54" s="186">
        <v>25</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7" t="s">
        <v>2907</v>
      </c>
      <c r="B55" s="186">
        <v>20</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7" t="s">
        <v>2908</v>
      </c>
      <c r="B56" s="186">
        <v>15</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7" t="s">
        <v>2909</v>
      </c>
      <c r="B57" s="186">
        <v>10</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7" t="s">
        <v>2910</v>
      </c>
      <c r="B58" s="186">
        <v>5</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7" t="s">
        <v>2911</v>
      </c>
      <c r="B59" s="186">
        <v>1.5</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7" t="s">
        <v>2912</v>
      </c>
      <c r="B60" s="186">
        <v>1</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7" t="s">
        <v>2913</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7" t="s">
        <v>2914</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2915</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9" sqref="K1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79" t="s">
        <v>1663</v>
      </c>
      <c r="B1" s="3280"/>
      <c r="C1" s="3280"/>
      <c r="D1" s="3280"/>
      <c r="E1" s="3280"/>
      <c r="F1" s="3280"/>
      <c r="G1" s="3280"/>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43.8" thickBot="1">
      <c r="A3" s="1222" t="s">
        <v>1666</v>
      </c>
      <c r="B3" s="1223" t="s">
        <v>1653</v>
      </c>
      <c r="C3" s="3189" t="s">
        <v>3062</v>
      </c>
      <c r="D3" s="1992"/>
      <c r="E3" s="1224" t="s">
        <v>1666</v>
      </c>
      <c r="F3" s="1225" t="s">
        <v>1654</v>
      </c>
      <c r="G3" s="3030" t="s">
        <v>2920</v>
      </c>
      <c r="H3" s="1991"/>
      <c r="I3" s="1991"/>
      <c r="J3" s="1991"/>
      <c r="K3" s="1991"/>
      <c r="L3" s="1991"/>
      <c r="M3" s="1991"/>
      <c r="N3" s="1991"/>
      <c r="O3" s="1991"/>
      <c r="P3" s="1991"/>
      <c r="Q3" s="1991"/>
      <c r="R3" s="1991"/>
    </row>
    <row r="4" spans="1:18" ht="43.8" thickBot="1">
      <c r="A4" s="1224"/>
      <c r="B4" s="1226" t="s">
        <v>1667</v>
      </c>
      <c r="C4" s="3189" t="s">
        <v>3062</v>
      </c>
      <c r="D4" s="1992"/>
      <c r="E4" s="1227"/>
      <c r="F4" s="1228" t="s">
        <v>1668</v>
      </c>
      <c r="G4" s="3029" t="s">
        <v>2917</v>
      </c>
      <c r="H4" s="1991"/>
      <c r="I4" s="1991"/>
      <c r="J4" s="1991"/>
      <c r="K4" s="1991"/>
      <c r="L4" s="1991"/>
      <c r="M4" s="1991"/>
      <c r="N4" s="1991"/>
      <c r="O4" s="1991"/>
      <c r="P4" s="1991"/>
      <c r="Q4" s="1991"/>
      <c r="R4" s="1991"/>
    </row>
    <row r="5" spans="1:18" ht="29.4" thickBot="1">
      <c r="A5" s="1224"/>
      <c r="B5" s="1226" t="s">
        <v>1669</v>
      </c>
      <c r="C5" s="3189" t="s">
        <v>3062</v>
      </c>
      <c r="D5" s="1992"/>
      <c r="E5" s="1227"/>
      <c r="F5" s="1226" t="s">
        <v>2546</v>
      </c>
      <c r="G5" s="3029" t="s">
        <v>2918</v>
      </c>
      <c r="H5" s="1991"/>
      <c r="I5" s="1991"/>
      <c r="J5" s="1991"/>
      <c r="K5" s="1991"/>
      <c r="L5" s="1991"/>
      <c r="M5" s="1991"/>
      <c r="N5" s="1991"/>
      <c r="O5" s="1991"/>
      <c r="P5" s="1991"/>
      <c r="Q5" s="1991"/>
      <c r="R5" s="1991"/>
    </row>
    <row r="6" spans="1:18" ht="29.4" thickBot="1">
      <c r="A6" s="1224"/>
      <c r="B6" s="1226" t="s">
        <v>1655</v>
      </c>
      <c r="C6" s="3189" t="s">
        <v>3062</v>
      </c>
      <c r="D6" s="1992"/>
      <c r="E6" s="1227"/>
      <c r="F6" s="1226" t="s">
        <v>2547</v>
      </c>
      <c r="G6" s="3029" t="s">
        <v>2916</v>
      </c>
      <c r="H6" s="1991"/>
      <c r="I6" s="1991"/>
      <c r="J6" s="1991"/>
      <c r="K6" s="1991"/>
      <c r="L6" s="1991"/>
      <c r="M6" s="1991"/>
      <c r="N6" s="1991"/>
      <c r="O6" s="1991"/>
      <c r="P6" s="1991"/>
      <c r="Q6" s="1991"/>
      <c r="R6" s="1991"/>
    </row>
    <row r="7" spans="1:18" ht="43.8" thickBot="1">
      <c r="A7" s="1224"/>
      <c r="B7" s="1226" t="s">
        <v>2546</v>
      </c>
      <c r="C7" s="3189" t="s">
        <v>3062</v>
      </c>
      <c r="D7" s="1993"/>
      <c r="E7" s="1229"/>
      <c r="F7" s="1230" t="s">
        <v>1670</v>
      </c>
      <c r="G7" s="3031" t="s">
        <v>2919</v>
      </c>
      <c r="H7" s="1991"/>
      <c r="I7" s="1991"/>
      <c r="J7" s="1991"/>
      <c r="K7" s="1991"/>
      <c r="L7" s="1991"/>
      <c r="M7" s="1991"/>
      <c r="N7" s="1991"/>
      <c r="O7" s="1991"/>
      <c r="P7" s="1991"/>
      <c r="Q7" s="1991"/>
      <c r="R7" s="1991"/>
    </row>
    <row r="8" spans="1:18" ht="15" thickBot="1">
      <c r="A8" s="1224"/>
      <c r="B8" s="1226" t="s">
        <v>2547</v>
      </c>
      <c r="C8" s="3189" t="s">
        <v>3064</v>
      </c>
      <c r="D8" s="1993"/>
      <c r="E8" s="1993"/>
      <c r="F8" s="1538"/>
      <c r="G8" s="1538"/>
      <c r="H8" s="1991"/>
      <c r="I8" s="1991"/>
      <c r="J8" s="1991"/>
      <c r="K8" s="1991"/>
      <c r="L8" s="1991"/>
      <c r="M8" s="1991"/>
      <c r="N8" s="1991"/>
      <c r="O8" s="1991"/>
      <c r="P8" s="1991"/>
      <c r="Q8" s="1991"/>
      <c r="R8" s="1991"/>
    </row>
    <row r="9" spans="1:18">
      <c r="A9" s="1224"/>
      <c r="B9" s="1226" t="s">
        <v>1656</v>
      </c>
      <c r="C9" s="3189" t="s">
        <v>3062</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190" t="s">
        <v>3063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43.2">
      <c r="A15" s="2550" t="s">
        <v>1657</v>
      </c>
      <c r="B15" s="1237" t="s">
        <v>1653</v>
      </c>
      <c r="C15" s="1238" t="str">
        <f>C3</f>
        <v>较好</v>
      </c>
      <c r="D15" s="1992"/>
      <c r="E15" s="2547" t="s">
        <v>1658</v>
      </c>
      <c r="F15" s="1237" t="s">
        <v>1673</v>
      </c>
      <c r="G15" s="1239" t="str">
        <f>G3</f>
        <v>估价对象位于XX开发区，园区建设成熟度XX，产业集聚程度XX</v>
      </c>
    </row>
    <row r="16" spans="1:18" ht="43.2">
      <c r="A16" s="2551"/>
      <c r="B16" s="1240" t="s">
        <v>1667</v>
      </c>
      <c r="C16" s="1241" t="str">
        <f>C4</f>
        <v>较好</v>
      </c>
      <c r="D16" s="1992"/>
      <c r="E16" s="2548"/>
      <c r="F16" s="1242" t="s">
        <v>1668</v>
      </c>
      <c r="G16" s="1004" t="str">
        <f>G4</f>
        <v>估价对象周边道路状况、公共交通通达情况、停车便捷程度，综合评价交通便捷度较好</v>
      </c>
    </row>
    <row r="17" spans="1:7">
      <c r="A17" s="2551"/>
      <c r="B17" s="1240" t="s">
        <v>1669</v>
      </c>
      <c r="C17" s="1241" t="str">
        <f>C5</f>
        <v>较好</v>
      </c>
      <c r="D17" s="1993"/>
      <c r="E17" s="2548"/>
      <c r="F17" s="1242" t="s">
        <v>1674</v>
      </c>
      <c r="G17" s="2748"/>
    </row>
    <row r="18" spans="1:7" ht="43.2">
      <c r="A18" s="2551"/>
      <c r="B18" s="1242" t="s">
        <v>1655</v>
      </c>
      <c r="C18" s="1004" t="str">
        <f>C6</f>
        <v>较好</v>
      </c>
      <c r="D18" s="1993"/>
      <c r="E18" s="2548"/>
      <c r="F18" s="1242" t="s">
        <v>1670</v>
      </c>
      <c r="G18" s="1004" t="str">
        <f>G7</f>
        <v>该园区内是否有污染型企业，绿化情况，卫生条件，整体环境状况判断</v>
      </c>
    </row>
    <row r="19" spans="1:7" ht="28.8">
      <c r="A19" s="2551"/>
      <c r="B19" s="1242" t="s">
        <v>1659</v>
      </c>
      <c r="C19" s="3191" t="s">
        <v>3065</v>
      </c>
      <c r="D19" s="1992"/>
      <c r="E19" s="2548"/>
      <c r="F19" s="1226" t="s">
        <v>2546</v>
      </c>
      <c r="G19" s="1004" t="str">
        <f>G5</f>
        <v>估价对象所在区域公共配套设施齐备情况</v>
      </c>
    </row>
    <row r="20" spans="1:7" ht="28.8">
      <c r="A20" s="2551"/>
      <c r="B20" s="1242" t="s">
        <v>1660</v>
      </c>
      <c r="C20" s="1241" t="str">
        <f>C9</f>
        <v>较好</v>
      </c>
      <c r="D20" s="1993"/>
      <c r="E20" s="2548"/>
      <c r="F20" s="1226" t="s">
        <v>2547</v>
      </c>
      <c r="G20" s="1004" t="str">
        <f>G6</f>
        <v>估价对象所在区域基础设施水平</v>
      </c>
    </row>
    <row r="21" spans="1:7">
      <c r="A21" s="2551"/>
      <c r="B21" s="1226" t="s">
        <v>2546</v>
      </c>
      <c r="C21" s="1004" t="str">
        <f>C7</f>
        <v>较好</v>
      </c>
      <c r="D21" s="1992"/>
      <c r="E21" s="2548"/>
      <c r="F21" s="1242" t="s">
        <v>1661</v>
      </c>
      <c r="G21" s="3032"/>
    </row>
    <row r="22" spans="1:7">
      <c r="A22" s="2551"/>
      <c r="B22" s="1226" t="s">
        <v>2547</v>
      </c>
      <c r="C22" s="1004" t="str">
        <f>C8</f>
        <v>七通</v>
      </c>
      <c r="D22" s="1992"/>
      <c r="E22" s="2548"/>
      <c r="F22" s="1242" t="s">
        <v>1671</v>
      </c>
      <c r="G22" s="2748"/>
    </row>
    <row r="23" spans="1:7" ht="15" thickBot="1">
      <c r="A23" s="2551"/>
      <c r="B23" s="1242" t="s">
        <v>1661</v>
      </c>
      <c r="C23" s="3032"/>
      <c r="E23" s="2549"/>
      <c r="F23" s="1243" t="s">
        <v>1675</v>
      </c>
      <c r="G23" s="3033"/>
    </row>
    <row r="24" spans="1:7" ht="15" thickBot="1">
      <c r="A24" s="2552"/>
      <c r="B24" s="1243" t="s">
        <v>1662</v>
      </c>
      <c r="C24" s="1244" t="str">
        <f>C10</f>
        <v>次干道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2844</v>
      </c>
      <c r="B1" s="2993">
        <f>SUM(B14:B23)</f>
        <v>205689</v>
      </c>
      <c r="C1" s="2994"/>
      <c r="D1" s="2994"/>
      <c r="E1" s="2994"/>
      <c r="F1" s="2994"/>
    </row>
    <row r="2" spans="1:9" ht="15.6">
      <c r="A2" s="2993" t="s">
        <v>2845</v>
      </c>
      <c r="B2" s="2993">
        <f>SUM(C14:C23)</f>
        <v>44066.5</v>
      </c>
      <c r="C2" s="2994"/>
      <c r="D2" s="2994"/>
      <c r="E2" s="2994"/>
      <c r="F2" s="2994"/>
    </row>
    <row r="3" spans="1:9" ht="15.6">
      <c r="A3" s="2993" t="s">
        <v>2846</v>
      </c>
      <c r="B3" s="2995">
        <f>项目基本情况!D3</f>
        <v>43776</v>
      </c>
      <c r="C3" s="2994"/>
      <c r="D3" s="2994"/>
      <c r="E3" s="2994"/>
      <c r="F3" s="2994"/>
    </row>
    <row r="4" spans="1:9" ht="31.2">
      <c r="A4" s="2993" t="s">
        <v>2847</v>
      </c>
      <c r="B4" s="2993" t="s">
        <v>2848</v>
      </c>
      <c r="C4" s="2993" t="s">
        <v>2849</v>
      </c>
      <c r="D4" s="2993" t="s">
        <v>2850</v>
      </c>
      <c r="E4" s="2994"/>
      <c r="F4" s="2994"/>
    </row>
    <row r="5" spans="1:9" ht="15.6">
      <c r="A5" s="2993" t="s">
        <v>2851</v>
      </c>
      <c r="B5" s="2993">
        <f ca="1">SUM(D14:D23)</f>
        <v>118966</v>
      </c>
      <c r="C5" s="2993">
        <f ca="1">ROUND(B5*10000/$B$1,0)</f>
        <v>5784</v>
      </c>
      <c r="D5" s="2993">
        <f ca="1">ROUND(B5*10000/$B$2,0)</f>
        <v>26997</v>
      </c>
      <c r="E5" s="2994"/>
      <c r="F5" s="2994"/>
    </row>
    <row r="6" spans="1:9" ht="15.6">
      <c r="A6" s="2993" t="s">
        <v>2852</v>
      </c>
      <c r="B6" s="2993">
        <f ca="1">SUM(G14:G23)</f>
        <v>118966</v>
      </c>
      <c r="C6" s="2993">
        <f t="shared" ref="C6:C8" ca="1" si="0">ROUND(B6*10000/$B$1,0)</f>
        <v>5784</v>
      </c>
      <c r="D6" s="2993">
        <f t="shared" ref="D6:D8" ca="1" si="1">ROUND(B6*10000/$B$2,0)</f>
        <v>26997</v>
      </c>
      <c r="E6" s="2994"/>
      <c r="F6" s="2994"/>
    </row>
    <row r="7" spans="1:9" ht="15.6">
      <c r="A7" s="2993" t="s">
        <v>2853</v>
      </c>
      <c r="B7" s="2993">
        <f>SUM(H14:H23)</f>
        <v>0</v>
      </c>
      <c r="C7" s="2993">
        <f t="shared" si="0"/>
        <v>0</v>
      </c>
      <c r="D7" s="2993">
        <f t="shared" si="1"/>
        <v>0</v>
      </c>
      <c r="E7" s="2994"/>
      <c r="F7" s="2994"/>
    </row>
    <row r="8" spans="1:9" ht="15.6">
      <c r="A8" s="2993" t="s">
        <v>2854</v>
      </c>
      <c r="B8" s="2993">
        <f>SUM(I14:I23)</f>
        <v>0</v>
      </c>
      <c r="C8" s="2993">
        <f t="shared" si="0"/>
        <v>0</v>
      </c>
      <c r="D8" s="2993">
        <f t="shared" si="1"/>
        <v>0</v>
      </c>
      <c r="E8" s="2994"/>
      <c r="F8" s="2994"/>
    </row>
    <row r="9" spans="1:9" ht="15.6">
      <c r="A9" s="2993" t="s">
        <v>2855</v>
      </c>
      <c r="B9" s="2996"/>
      <c r="C9" s="2994"/>
      <c r="D9" s="2994"/>
      <c r="E9" s="2994"/>
      <c r="F9" s="2994"/>
    </row>
    <row r="10" spans="1:9" ht="15.6">
      <c r="A10" s="2993" t="s">
        <v>2856</v>
      </c>
      <c r="B10" s="2996"/>
      <c r="C10" s="2994"/>
      <c r="D10" s="2994"/>
      <c r="E10" s="2994"/>
      <c r="F10" s="2994"/>
    </row>
    <row r="11" spans="1:9" ht="15.6">
      <c r="A11" s="2993" t="s">
        <v>2873</v>
      </c>
      <c r="B11" s="2996"/>
      <c r="C11" s="2994"/>
      <c r="D11" s="2994"/>
      <c r="E11" s="2994"/>
      <c r="F11" s="2994"/>
    </row>
    <row r="12" spans="1:9" ht="15.6">
      <c r="A12" s="2994"/>
      <c r="B12" s="2994"/>
      <c r="C12" s="2994"/>
      <c r="D12" s="2994"/>
      <c r="E12" s="2994"/>
      <c r="F12" s="2994"/>
    </row>
    <row r="13" spans="1:9" ht="31.2">
      <c r="A13" s="2999" t="s">
        <v>2872</v>
      </c>
      <c r="B13" s="2997" t="s">
        <v>2844</v>
      </c>
      <c r="C13" s="2997" t="s">
        <v>2845</v>
      </c>
      <c r="D13" s="2997" t="s">
        <v>2857</v>
      </c>
      <c r="E13" s="2993" t="s">
        <v>2871</v>
      </c>
      <c r="F13" s="2993" t="s">
        <v>2850</v>
      </c>
      <c r="G13" s="2997" t="s">
        <v>2858</v>
      </c>
      <c r="H13" s="2997" t="s">
        <v>2859</v>
      </c>
      <c r="I13" s="2997" t="s">
        <v>2860</v>
      </c>
    </row>
    <row r="14" spans="1:9" ht="15.6">
      <c r="A14" s="3000" t="s">
        <v>2870</v>
      </c>
      <c r="B14" s="2997">
        <f>结果表!L38</f>
        <v>205689</v>
      </c>
      <c r="C14" s="2997">
        <f>结果表!K38</f>
        <v>44066.5</v>
      </c>
      <c r="D14" s="2997">
        <f ca="1">结果表!C42</f>
        <v>118966</v>
      </c>
      <c r="E14" s="2997">
        <f ca="1">ROUND(D14*10000/B14,0)</f>
        <v>5784</v>
      </c>
      <c r="F14" s="2997">
        <f ca="1">ROUND(D14*10000/C14,0)</f>
        <v>26997</v>
      </c>
      <c r="G14" s="2997">
        <f ca="1">结果表!C44</f>
        <v>118966</v>
      </c>
      <c r="H14" s="2997" t="str">
        <f>结果表!C45</f>
        <v>——</v>
      </c>
      <c r="I14" s="2997" t="str">
        <f>结果表!C46</f>
        <v>——</v>
      </c>
    </row>
    <row r="15" spans="1:9" ht="15.6">
      <c r="A15" s="3000" t="s">
        <v>2861</v>
      </c>
      <c r="B15" s="3001"/>
      <c r="C15" s="3001"/>
      <c r="D15" s="3001"/>
      <c r="E15" s="2997" t="e">
        <f t="shared" ref="E15:E23" si="2">ROUND(D15*10000/B15,0)</f>
        <v>#DIV/0!</v>
      </c>
      <c r="F15" s="2997" t="e">
        <f t="shared" ref="F15:F23" si="3">ROUND(D15*10000/C15,0)</f>
        <v>#DIV/0!</v>
      </c>
      <c r="G15" s="2998"/>
      <c r="H15" s="2998"/>
      <c r="I15" s="3001"/>
    </row>
    <row r="16" spans="1:9" ht="15.6">
      <c r="A16" s="3000" t="s">
        <v>2862</v>
      </c>
      <c r="B16" s="3001"/>
      <c r="C16" s="3001"/>
      <c r="D16" s="3001"/>
      <c r="E16" s="2997" t="e">
        <f t="shared" si="2"/>
        <v>#DIV/0!</v>
      </c>
      <c r="F16" s="2997" t="e">
        <f t="shared" si="3"/>
        <v>#DIV/0!</v>
      </c>
      <c r="G16" s="2998"/>
      <c r="H16" s="2998"/>
      <c r="I16" s="3001"/>
    </row>
    <row r="17" spans="1:9" ht="15.6">
      <c r="A17" s="3000" t="s">
        <v>2863</v>
      </c>
      <c r="B17" s="3001"/>
      <c r="C17" s="3001"/>
      <c r="D17" s="3001"/>
      <c r="E17" s="2997" t="e">
        <f t="shared" si="2"/>
        <v>#DIV/0!</v>
      </c>
      <c r="F17" s="2997" t="e">
        <f t="shared" si="3"/>
        <v>#DIV/0!</v>
      </c>
      <c r="G17" s="2998"/>
      <c r="H17" s="2998"/>
      <c r="I17" s="3001"/>
    </row>
    <row r="18" spans="1:9" ht="15.6">
      <c r="A18" s="3000" t="s">
        <v>2864</v>
      </c>
      <c r="B18" s="3001"/>
      <c r="C18" s="3001"/>
      <c r="D18" s="3001"/>
      <c r="E18" s="2997" t="e">
        <f t="shared" si="2"/>
        <v>#DIV/0!</v>
      </c>
      <c r="F18" s="2997" t="e">
        <f t="shared" si="3"/>
        <v>#DIV/0!</v>
      </c>
      <c r="G18" s="3001"/>
      <c r="H18" s="3001"/>
      <c r="I18" s="3001"/>
    </row>
    <row r="19" spans="1:9" ht="15.6">
      <c r="A19" s="3000" t="s">
        <v>2865</v>
      </c>
      <c r="B19" s="3001"/>
      <c r="C19" s="3001"/>
      <c r="D19" s="3001"/>
      <c r="E19" s="2997" t="e">
        <f t="shared" si="2"/>
        <v>#DIV/0!</v>
      </c>
      <c r="F19" s="2997" t="e">
        <f t="shared" si="3"/>
        <v>#DIV/0!</v>
      </c>
      <c r="G19" s="3001"/>
      <c r="H19" s="3001"/>
      <c r="I19" s="3001"/>
    </row>
    <row r="20" spans="1:9" ht="15.6">
      <c r="A20" s="3000" t="s">
        <v>2866</v>
      </c>
      <c r="B20" s="3001"/>
      <c r="C20" s="3001"/>
      <c r="D20" s="3001"/>
      <c r="E20" s="2997" t="e">
        <f t="shared" si="2"/>
        <v>#DIV/0!</v>
      </c>
      <c r="F20" s="2997" t="e">
        <f t="shared" si="3"/>
        <v>#DIV/0!</v>
      </c>
      <c r="G20" s="3001"/>
      <c r="H20" s="3001"/>
      <c r="I20" s="3001"/>
    </row>
    <row r="21" spans="1:9" ht="15.6">
      <c r="A21" s="3000" t="s">
        <v>2867</v>
      </c>
      <c r="B21" s="3001"/>
      <c r="C21" s="3001"/>
      <c r="D21" s="3001"/>
      <c r="E21" s="2997" t="e">
        <f t="shared" si="2"/>
        <v>#DIV/0!</v>
      </c>
      <c r="F21" s="2997" t="e">
        <f t="shared" si="3"/>
        <v>#DIV/0!</v>
      </c>
      <c r="G21" s="3001"/>
      <c r="H21" s="3001"/>
      <c r="I21" s="3001"/>
    </row>
    <row r="22" spans="1:9" ht="15.6">
      <c r="A22" s="3000" t="s">
        <v>2868</v>
      </c>
      <c r="B22" s="3001"/>
      <c r="C22" s="3001"/>
      <c r="D22" s="3001"/>
      <c r="E22" s="2997" t="e">
        <f t="shared" si="2"/>
        <v>#DIV/0!</v>
      </c>
      <c r="F22" s="2997" t="e">
        <f t="shared" si="3"/>
        <v>#DIV/0!</v>
      </c>
      <c r="G22" s="3001"/>
      <c r="H22" s="3001"/>
      <c r="I22" s="3001"/>
    </row>
    <row r="23" spans="1:9" ht="15.6">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I26" sqref="I26"/>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17" t="str">
        <f>项目基本情况!K2</f>
        <v>陕西省西安市电子城街道办事处北沈家桥出让国有建设用地使用权</v>
      </c>
      <c r="B2" s="3318"/>
      <c r="C2" s="3319"/>
      <c r="D2" s="3319"/>
      <c r="E2" s="3319"/>
      <c r="F2" s="3319"/>
      <c r="G2" s="3318"/>
      <c r="H2" s="3318"/>
      <c r="I2" s="3320"/>
      <c r="J2" s="2013"/>
      <c r="K2" s="2012"/>
      <c r="L2" s="2012"/>
      <c r="M2" s="2012"/>
      <c r="N2" s="2012"/>
      <c r="O2" s="2012"/>
      <c r="P2" s="2012"/>
      <c r="Q2" s="2012"/>
      <c r="R2" s="2012"/>
      <c r="S2" s="2012"/>
      <c r="T2" s="2012"/>
      <c r="U2" s="2012"/>
      <c r="V2" s="2012"/>
    </row>
    <row r="3" spans="1:22" ht="13.8">
      <c r="A3" s="3310" t="s">
        <v>298</v>
      </c>
      <c r="B3" s="3311"/>
      <c r="C3" s="3311"/>
      <c r="D3" s="3311"/>
      <c r="E3" s="3311"/>
      <c r="F3" s="3311"/>
      <c r="G3" s="3311"/>
      <c r="H3" s="3311"/>
      <c r="I3" s="3311"/>
      <c r="J3" s="2013"/>
      <c r="K3" s="2012"/>
      <c r="L3" s="2012"/>
      <c r="M3" s="2012"/>
      <c r="N3" s="2012"/>
      <c r="O3" s="2012"/>
      <c r="P3" s="2012"/>
      <c r="Q3" s="2012"/>
      <c r="R3" s="2012"/>
      <c r="S3" s="2012"/>
      <c r="T3" s="2012"/>
      <c r="U3" s="2012"/>
      <c r="V3" s="2012"/>
    </row>
    <row r="4" spans="1:22" ht="14.4">
      <c r="A4" s="258" t="s">
        <v>299</v>
      </c>
      <c r="B4" s="259" t="s">
        <v>300</v>
      </c>
      <c r="C4" s="260" t="s">
        <v>3091</v>
      </c>
      <c r="D4" s="260" t="s">
        <v>3090</v>
      </c>
      <c r="E4" s="3282" t="s">
        <v>301</v>
      </c>
      <c r="F4" s="3283"/>
      <c r="G4" s="3283"/>
      <c r="H4" s="3283"/>
      <c r="I4" s="331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81" t="s">
        <v>302</v>
      </c>
      <c r="B5" s="3307">
        <v>25</v>
      </c>
      <c r="C5" s="3305"/>
      <c r="D5" s="3309"/>
      <c r="E5" s="261" t="s">
        <v>303</v>
      </c>
      <c r="F5" s="262"/>
      <c r="G5" s="262"/>
      <c r="H5" s="262"/>
      <c r="I5" s="263"/>
      <c r="J5" s="2013"/>
      <c r="K5" s="2012"/>
      <c r="L5" s="2012"/>
      <c r="M5" s="2012"/>
      <c r="N5" s="2012"/>
      <c r="O5" s="2012"/>
      <c r="P5" s="2012"/>
      <c r="Q5" s="2012"/>
      <c r="R5" s="2012"/>
      <c r="S5" s="2012"/>
      <c r="T5" s="2012"/>
      <c r="U5" s="2012"/>
      <c r="V5" s="2012"/>
    </row>
    <row r="6" spans="1:22" ht="13.8">
      <c r="A6" s="3281"/>
      <c r="B6" s="3307"/>
      <c r="C6" s="3308"/>
      <c r="D6" s="3309"/>
      <c r="E6" s="261" t="s">
        <v>304</v>
      </c>
      <c r="F6" s="262"/>
      <c r="G6" s="262"/>
      <c r="H6" s="262"/>
      <c r="I6" s="263"/>
      <c r="J6" s="2013"/>
      <c r="K6" s="2012"/>
      <c r="L6" s="2012"/>
      <c r="M6" s="2012"/>
      <c r="N6" s="2012"/>
      <c r="O6" s="2012"/>
      <c r="P6" s="2012"/>
      <c r="Q6" s="2012"/>
      <c r="R6" s="2012"/>
      <c r="S6" s="2012"/>
      <c r="T6" s="2012"/>
      <c r="U6" s="2012"/>
      <c r="V6" s="2012"/>
    </row>
    <row r="7" spans="1:22" ht="13.8">
      <c r="A7" s="3281"/>
      <c r="B7" s="3307"/>
      <c r="C7" s="3306"/>
      <c r="D7" s="3309"/>
      <c r="E7" s="261" t="s">
        <v>305</v>
      </c>
      <c r="F7" s="262"/>
      <c r="G7" s="262"/>
      <c r="H7" s="262"/>
      <c r="I7" s="263"/>
      <c r="J7" s="2013"/>
      <c r="K7" s="2012"/>
      <c r="L7" s="2012"/>
      <c r="M7" s="2012"/>
      <c r="N7" s="2012"/>
      <c r="O7" s="2012"/>
      <c r="P7" s="2012"/>
      <c r="Q7" s="2012"/>
      <c r="R7" s="2012"/>
      <c r="S7" s="2012"/>
      <c r="T7" s="2012"/>
      <c r="U7" s="2012"/>
      <c r="V7" s="2012"/>
    </row>
    <row r="8" spans="1:22" ht="13.8">
      <c r="A8" s="3281" t="s">
        <v>306</v>
      </c>
      <c r="B8" s="3307">
        <v>15</v>
      </c>
      <c r="C8" s="3305"/>
      <c r="D8" s="3309"/>
      <c r="E8" s="261" t="s">
        <v>307</v>
      </c>
      <c r="F8" s="262"/>
      <c r="G8" s="262"/>
      <c r="H8" s="262"/>
      <c r="I8" s="263"/>
      <c r="J8" s="2013"/>
      <c r="K8" s="2012"/>
      <c r="L8" s="2012"/>
      <c r="M8" s="2012"/>
      <c r="N8" s="2012"/>
      <c r="O8" s="2012"/>
      <c r="P8" s="2012"/>
      <c r="Q8" s="2012"/>
      <c r="R8" s="2012"/>
      <c r="S8" s="2012"/>
      <c r="T8" s="2012"/>
      <c r="U8" s="2012"/>
      <c r="V8" s="2012"/>
    </row>
    <row r="9" spans="1:22" ht="13.8">
      <c r="A9" s="3281"/>
      <c r="B9" s="3307"/>
      <c r="C9" s="3306"/>
      <c r="D9" s="3309"/>
      <c r="E9" s="261" t="s">
        <v>308</v>
      </c>
      <c r="F9" s="262"/>
      <c r="G9" s="262"/>
      <c r="H9" s="262"/>
      <c r="I9" s="263"/>
      <c r="J9" s="2013"/>
      <c r="K9" s="2012"/>
      <c r="L9" s="2012"/>
      <c r="M9" s="2012"/>
      <c r="N9" s="2012"/>
      <c r="O9" s="2012"/>
      <c r="P9" s="2012"/>
      <c r="Q9" s="2012"/>
      <c r="R9" s="2012"/>
      <c r="S9" s="2012"/>
      <c r="T9" s="2012"/>
      <c r="U9" s="2012"/>
      <c r="V9" s="2012"/>
    </row>
    <row r="10" spans="1:22" ht="13.8">
      <c r="A10" s="3281" t="s">
        <v>309</v>
      </c>
      <c r="B10" s="3307">
        <v>15</v>
      </c>
      <c r="C10" s="3305"/>
      <c r="D10" s="3309"/>
      <c r="E10" s="261" t="s">
        <v>310</v>
      </c>
      <c r="F10" s="262"/>
      <c r="G10" s="262"/>
      <c r="H10" s="262"/>
      <c r="I10" s="263"/>
      <c r="J10" s="2013"/>
      <c r="K10" s="2012"/>
      <c r="L10" s="2012"/>
      <c r="M10" s="2012"/>
      <c r="N10" s="2012"/>
      <c r="O10" s="2012"/>
      <c r="P10" s="2012"/>
      <c r="Q10" s="2012"/>
      <c r="R10" s="2012"/>
      <c r="S10" s="2012"/>
      <c r="T10" s="2012"/>
      <c r="U10" s="2012"/>
      <c r="V10" s="2012"/>
    </row>
    <row r="11" spans="1:22" ht="13.8">
      <c r="A11" s="3281"/>
      <c r="B11" s="3307"/>
      <c r="C11" s="3306"/>
      <c r="D11" s="3309"/>
      <c r="E11" s="261" t="s">
        <v>311</v>
      </c>
      <c r="F11" s="262"/>
      <c r="G11" s="262"/>
      <c r="H11" s="262"/>
      <c r="I11" s="263"/>
      <c r="J11" s="2013"/>
      <c r="K11" s="2012"/>
      <c r="L11" s="2012"/>
      <c r="M11" s="2012"/>
      <c r="N11" s="2012"/>
      <c r="O11" s="2012"/>
      <c r="P11" s="2012"/>
      <c r="Q11" s="2012"/>
      <c r="R11" s="2012"/>
      <c r="S11" s="2012"/>
      <c r="T11" s="2012"/>
      <c r="U11" s="2012"/>
      <c r="V11" s="2012"/>
    </row>
    <row r="12" spans="1:22" ht="13.8">
      <c r="A12" s="3281" t="s">
        <v>312</v>
      </c>
      <c r="B12" s="3307">
        <v>15</v>
      </c>
      <c r="C12" s="3305"/>
      <c r="D12" s="3309"/>
      <c r="E12" s="261" t="s">
        <v>313</v>
      </c>
      <c r="F12" s="262"/>
      <c r="G12" s="262"/>
      <c r="H12" s="262"/>
      <c r="I12" s="263"/>
      <c r="J12" s="2013"/>
      <c r="K12" s="2012"/>
      <c r="L12" s="2012"/>
      <c r="M12" s="2012"/>
      <c r="N12" s="2012"/>
      <c r="O12" s="2012"/>
      <c r="P12" s="2012"/>
      <c r="Q12" s="2012"/>
      <c r="R12" s="2012"/>
      <c r="S12" s="2012"/>
      <c r="T12" s="2012"/>
      <c r="U12" s="2012"/>
      <c r="V12" s="2012"/>
    </row>
    <row r="13" spans="1:22" ht="13.8">
      <c r="A13" s="3281"/>
      <c r="B13" s="3307"/>
      <c r="C13" s="3306"/>
      <c r="D13" s="3309"/>
      <c r="E13" s="261" t="s">
        <v>314</v>
      </c>
      <c r="F13" s="262"/>
      <c r="G13" s="262"/>
      <c r="H13" s="262"/>
      <c r="I13" s="263"/>
      <c r="J13" s="2013"/>
      <c r="K13" s="2012"/>
      <c r="L13" s="2012"/>
      <c r="M13" s="2012"/>
      <c r="N13" s="2012"/>
      <c r="O13" s="2012"/>
      <c r="P13" s="2012"/>
      <c r="Q13" s="2012"/>
      <c r="R13" s="2012"/>
      <c r="S13" s="2012"/>
      <c r="T13" s="2012"/>
      <c r="U13" s="2012"/>
      <c r="V13" s="2012"/>
    </row>
    <row r="14" spans="1:22" ht="13.8">
      <c r="A14" s="3281" t="s">
        <v>315</v>
      </c>
      <c r="B14" s="3307">
        <v>30</v>
      </c>
      <c r="C14" s="3305">
        <v>5</v>
      </c>
      <c r="D14" s="3309">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81"/>
      <c r="B15" s="3307"/>
      <c r="C15" s="3308"/>
      <c r="D15" s="3309"/>
      <c r="E15" s="261" t="s">
        <v>317</v>
      </c>
      <c r="F15" s="262"/>
      <c r="G15" s="262"/>
      <c r="H15" s="262"/>
      <c r="I15" s="263"/>
      <c r="J15" s="2013"/>
      <c r="K15" s="2012"/>
      <c r="L15" s="2012"/>
      <c r="M15" s="2012"/>
      <c r="N15" s="2012"/>
      <c r="O15" s="2012"/>
      <c r="P15" s="2012"/>
      <c r="Q15" s="2012"/>
      <c r="R15" s="2012"/>
      <c r="S15" s="2012"/>
      <c r="T15" s="2012"/>
      <c r="U15" s="2012"/>
      <c r="V15" s="2012"/>
    </row>
    <row r="16" spans="1:22" ht="13.8">
      <c r="A16" s="3281"/>
      <c r="B16" s="3307"/>
      <c r="C16" s="3306"/>
      <c r="D16" s="3309"/>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111183</v>
      </c>
      <c r="D19" s="271">
        <f ca="1">SUMIF(INDIRECT("'"&amp;D4&amp;"'"&amp;"!A:A"),结果表!B19,INDIRECT("'"&amp;D4&amp;"'"&amp;"!B:B"))</f>
        <v>126749</v>
      </c>
      <c r="E19" s="268" t="s">
        <v>323</v>
      </c>
      <c r="F19" s="269" t="s">
        <v>322</v>
      </c>
      <c r="G19" s="272">
        <f ca="1">ROUND(C19*$C$18+D19*$D$18,0)</f>
        <v>118966</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5405</v>
      </c>
      <c r="D20" s="277">
        <f ca="1">SUMIF(INDIRECT("'"&amp;D4&amp;"'"&amp;"!A:A"),结果表!B20,INDIRECT("'"&amp;D4&amp;"'"&amp;"!B:B"))</f>
        <v>6162</v>
      </c>
      <c r="E20" s="274"/>
      <c r="F20" s="275" t="s">
        <v>325</v>
      </c>
      <c r="G20" s="278">
        <f ca="1">ROUND(C20*$C$18+D20*$D$18,0)</f>
        <v>5784</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25231</v>
      </c>
      <c r="D21" s="151">
        <f ca="1">SUMIF(INDIRECT("'"&amp;D4&amp;"'"&amp;"!A:A"),结果表!B21,INDIRECT("'"&amp;D4&amp;"'"&amp;"!B:B"))</f>
        <v>28763</v>
      </c>
      <c r="E21" s="274"/>
      <c r="F21" s="280" t="s">
        <v>327</v>
      </c>
      <c r="G21" s="282">
        <f ca="1">ROUND(C21*$C$18+D21*$D$18,0)</f>
        <v>26997</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0.14000341778869063</v>
      </c>
      <c r="E22" s="284"/>
      <c r="F22" s="285"/>
      <c r="G22" s="286">
        <f ca="1">ROUND(G19/('数据-汇总表'!D3/666.67),0)</f>
        <v>1800</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8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288"/>
      <c r="B25" s="1316" t="s">
        <v>331</v>
      </c>
      <c r="C25" s="290">
        <f>IF(B30=0,0,C30)</f>
        <v>0</v>
      </c>
      <c r="D25" s="291"/>
      <c r="E25" s="311"/>
      <c r="F25" s="311"/>
      <c r="G25" s="311"/>
      <c r="H25" s="311"/>
      <c r="I25" s="311"/>
      <c r="J25" s="2012"/>
      <c r="K25" s="1250" t="str">
        <f ca="1">项目基本情况!B16&amp;"国有建设用地使用权价格："&amp;O38&amp;"万元"</f>
        <v>出让国有建设用地使用权价格：118966万元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大写金额：人民币壹拾壹亿捌仟玖佰陆拾陆万元整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单位面积地价：26997元/平方米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楼面地价：5784元/平方米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抵押价格：118966万元</v>
      </c>
      <c r="L29" s="1247"/>
      <c r="M29" s="1247"/>
      <c r="N29" s="1247"/>
      <c r="O29" s="1246"/>
      <c r="P29" s="2012"/>
      <c r="V29" s="2012"/>
    </row>
    <row r="30" spans="1:26" ht="18" thickBot="1">
      <c r="A30" s="3075" t="s">
        <v>336</v>
      </c>
      <c r="B30" s="309"/>
      <c r="C30" s="309"/>
      <c r="D30" s="310"/>
      <c r="E30" s="3076" t="s">
        <v>2964</v>
      </c>
      <c r="F30" s="311"/>
      <c r="G30" s="311"/>
      <c r="H30" s="311"/>
      <c r="I30" s="311"/>
      <c r="J30" s="2012"/>
      <c r="K30" s="1253" t="str">
        <f ca="1">IF(K29="——","——","大写金额：人民币"&amp;NUMBERSTRING(INT(O39*10000),2)&amp;"元整")</f>
        <v>大写金额：人民币壹拾壹亿捌仟玖佰陆拾陆万元整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7" t="s">
        <v>1688</v>
      </c>
      <c r="C32" s="1378">
        <f ca="1">G19-C24</f>
        <v>118966</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0" t="s">
        <v>1690</v>
      </c>
      <c r="C33" s="264">
        <f ca="1">ROUND(C32*10000/'数据-汇总表'!E3,0)</f>
        <v>5784</v>
      </c>
      <c r="D33" s="1381" t="s">
        <v>1691</v>
      </c>
      <c r="E33" s="3287"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2" t="s">
        <v>1692</v>
      </c>
      <c r="C34" s="264">
        <f ca="1">ROUND(C32*10000/'数据-汇总表'!D3,0)</f>
        <v>26997</v>
      </c>
      <c r="D34" s="1383" t="s">
        <v>1691</v>
      </c>
      <c r="E34" s="3328"/>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4"/>
      <c r="C35" s="1385">
        <f ca="1">ROUND(C32/('数据-汇总表'!D3/666.67),0)</f>
        <v>1800</v>
      </c>
      <c r="D35" s="1386" t="s">
        <v>1693</v>
      </c>
      <c r="E35" s="3329"/>
      <c r="F35" s="301" t="s">
        <v>342</v>
      </c>
      <c r="G35" s="981"/>
      <c r="H35" s="980" t="s">
        <v>343</v>
      </c>
      <c r="I35" s="311"/>
      <c r="J35" s="2012"/>
      <c r="K35" s="3302" t="s">
        <v>350</v>
      </c>
      <c r="L35" s="3302" t="s">
        <v>351</v>
      </c>
      <c r="M35" s="1259" t="s">
        <v>352</v>
      </c>
      <c r="N35" s="3302" t="s">
        <v>353</v>
      </c>
      <c r="O35" s="3302" t="s">
        <v>354</v>
      </c>
      <c r="P35" s="2012"/>
      <c r="V35" s="2012"/>
    </row>
    <row r="36" spans="1:26" ht="16.5" customHeight="1">
      <c r="A36" s="303" t="s">
        <v>344</v>
      </c>
      <c r="B36" s="304" t="s">
        <v>333</v>
      </c>
      <c r="C36" s="305" t="s">
        <v>345</v>
      </c>
      <c r="D36" s="305" t="s">
        <v>346</v>
      </c>
      <c r="E36" s="306" t="s">
        <v>347</v>
      </c>
      <c r="F36" s="311"/>
      <c r="G36" s="311"/>
      <c r="H36" s="311"/>
      <c r="I36" s="311"/>
      <c r="J36" s="2014"/>
      <c r="K36" s="3303"/>
      <c r="L36" s="3303"/>
      <c r="M36" s="1261" t="s">
        <v>355</v>
      </c>
      <c r="N36" s="3303"/>
      <c r="O36" s="3303"/>
      <c r="P36" s="2012"/>
      <c r="V36" s="2012"/>
    </row>
    <row r="37" spans="1:26" ht="16.5" customHeight="1" thickBot="1">
      <c r="A37" s="1255" t="s">
        <v>348</v>
      </c>
      <c r="B37" s="307"/>
      <c r="C37" s="294"/>
      <c r="D37" s="294"/>
      <c r="E37" s="295"/>
      <c r="F37" s="311"/>
      <c r="G37" s="311"/>
      <c r="H37" s="311"/>
      <c r="I37" s="311"/>
      <c r="J37" s="2014"/>
      <c r="K37" s="3304"/>
      <c r="L37" s="3304"/>
      <c r="M37" s="1262"/>
      <c r="N37" s="3304"/>
      <c r="O37" s="3304"/>
      <c r="P37" s="2012"/>
      <c r="V37" s="2012"/>
    </row>
    <row r="38" spans="1:26" ht="16.5" customHeight="1" thickBot="1">
      <c r="A38" s="1255" t="s">
        <v>349</v>
      </c>
      <c r="B38" s="307"/>
      <c r="C38" s="294"/>
      <c r="D38" s="294"/>
      <c r="E38" s="295"/>
      <c r="F38" s="311"/>
      <c r="G38" s="311"/>
      <c r="H38" s="311"/>
      <c r="I38" s="311"/>
      <c r="J38" s="2014"/>
      <c r="K38" s="1263">
        <f>'数据-汇总表'!D3</f>
        <v>44066.5</v>
      </c>
      <c r="L38" s="1264">
        <f>'数据-汇总表'!E3</f>
        <v>205689</v>
      </c>
      <c r="M38" s="1264">
        <f ca="1">C34</f>
        <v>26997</v>
      </c>
      <c r="N38" s="1264">
        <f ca="1">C33</f>
        <v>5784</v>
      </c>
      <c r="O38" s="1265">
        <f ca="1">C32</f>
        <v>118966</v>
      </c>
      <c r="P38" s="2012"/>
      <c r="V38" s="2012"/>
    </row>
    <row r="39" spans="1:26" ht="16.5" customHeight="1" thickBot="1">
      <c r="A39" s="1260"/>
      <c r="B39" s="308"/>
      <c r="C39" s="309"/>
      <c r="D39" s="309"/>
      <c r="E39" s="310"/>
      <c r="F39" s="311"/>
      <c r="G39" s="311"/>
      <c r="H39" s="311"/>
      <c r="I39" s="311"/>
      <c r="J39" s="2014"/>
      <c r="K39" s="3347" t="str">
        <f>MID(A44,3,LEN(A44)-2)</f>
        <v>抵押价格</v>
      </c>
      <c r="L39" s="3348"/>
      <c r="M39" s="3348"/>
      <c r="N39" s="3349"/>
      <c r="O39" s="1388">
        <f ca="1">C44</f>
        <v>118966</v>
      </c>
      <c r="P39" s="2012"/>
      <c r="V39" s="2012"/>
    </row>
    <row r="40" spans="1:26" ht="18" thickBot="1">
      <c r="A40" s="104" t="s">
        <v>873</v>
      </c>
      <c r="B40" s="311"/>
      <c r="C40" s="311"/>
      <c r="D40" s="311"/>
      <c r="E40" s="311"/>
      <c r="F40" s="311"/>
      <c r="G40" s="311"/>
      <c r="H40" s="311"/>
      <c r="I40" s="311"/>
      <c r="J40" s="2014"/>
      <c r="K40" s="3347" t="str">
        <f t="shared" ref="K40:K41" si="0">MID(A45,3,LEN(A45)-2)</f>
        <v/>
      </c>
      <c r="L40" s="3348"/>
      <c r="M40" s="3348"/>
      <c r="N40" s="3349"/>
      <c r="O40" s="1388" t="str">
        <f>C45</f>
        <v>——</v>
      </c>
      <c r="P40" s="2012"/>
      <c r="V40" s="2012"/>
    </row>
    <row r="41" spans="1:26" ht="16.2" thickBot="1">
      <c r="A41" s="312" t="s">
        <v>356</v>
      </c>
      <c r="B41" s="313"/>
      <c r="C41" s="314" t="s">
        <v>357</v>
      </c>
      <c r="D41" s="315" t="s">
        <v>358</v>
      </c>
      <c r="E41" s="315" t="s">
        <v>359</v>
      </c>
      <c r="F41" s="316" t="s">
        <v>360</v>
      </c>
      <c r="G41" s="311"/>
      <c r="H41" s="311"/>
      <c r="I41" s="311"/>
      <c r="J41" s="2014"/>
      <c r="K41" s="3347" t="str">
        <f t="shared" si="0"/>
        <v/>
      </c>
      <c r="L41" s="3348"/>
      <c r="M41" s="3348"/>
      <c r="N41" s="3349"/>
      <c r="O41" s="1388" t="str">
        <f>C46</f>
        <v>——</v>
      </c>
      <c r="P41" s="2012"/>
      <c r="V41" s="2012"/>
    </row>
    <row r="42" spans="1:26" ht="31.2">
      <c r="A42" s="3289" t="s">
        <v>2067</v>
      </c>
      <c r="B42" s="3290"/>
      <c r="C42" s="264">
        <f ca="1">C32</f>
        <v>118966</v>
      </c>
      <c r="D42" s="317">
        <f ca="1">C33</f>
        <v>5784</v>
      </c>
      <c r="E42" s="317">
        <f ca="1">C34</f>
        <v>26997</v>
      </c>
      <c r="F42" s="318">
        <f ca="1">C35</f>
        <v>1800</v>
      </c>
      <c r="G42" s="311"/>
      <c r="H42" s="311"/>
      <c r="I42" s="319"/>
      <c r="J42" s="2014"/>
      <c r="K42" s="1266" t="s">
        <v>361</v>
      </c>
      <c r="L42" s="2031" t="s">
        <v>362</v>
      </c>
      <c r="M42" s="1267" t="s">
        <v>363</v>
      </c>
      <c r="N42" s="2032" t="s">
        <v>364</v>
      </c>
      <c r="O42" s="2033" t="s">
        <v>365</v>
      </c>
      <c r="P42" s="2012"/>
      <c r="V42" s="2012"/>
    </row>
    <row r="43" spans="1:26" ht="30">
      <c r="A43" s="3300" t="s">
        <v>2730</v>
      </c>
      <c r="B43" s="3301"/>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111183</v>
      </c>
      <c r="M43" s="1270">
        <f>C18</f>
        <v>0.5</v>
      </c>
      <c r="N43" s="1271">
        <f ca="1">IF(N42="测算结果/万元",G19,G20)</f>
        <v>118966</v>
      </c>
      <c r="O43" s="1272">
        <f ca="1">IF(O42="最终结果/万元",C32,C33)</f>
        <v>118966</v>
      </c>
      <c r="P43" s="2012"/>
      <c r="V43" s="2012"/>
    </row>
    <row r="44" spans="1:26" ht="30.6" thickBot="1">
      <c r="A44" s="3289" t="str">
        <f>IF(OR(项目基本情况!E8="抵押价格",项目基本情况!E8="已注销及未注销"),"3.抵押价格","——")</f>
        <v>3.抵押价格</v>
      </c>
      <c r="B44" s="3290"/>
      <c r="C44" s="264">
        <f ca="1">IF(A44="——","——",C42-C43)</f>
        <v>118966</v>
      </c>
      <c r="D44" s="317">
        <f ca="1">ROUND(C44*10000/'数据-汇总表'!E3,0)</f>
        <v>5784</v>
      </c>
      <c r="E44" s="317">
        <f ca="1">ROUND(C44*10000/'数据-汇总表'!D3,0)</f>
        <v>26997</v>
      </c>
      <c r="F44" s="318">
        <f ca="1">ROUND(C44/('数据-汇总表'!D3/666.67),0)</f>
        <v>1800</v>
      </c>
      <c r="G44" s="311"/>
      <c r="H44" s="311"/>
      <c r="I44" s="319"/>
      <c r="J44" s="2014"/>
      <c r="K44" s="1273" t="str">
        <f>D4</f>
        <v>剩余法-待开发</v>
      </c>
      <c r="L44" s="1274">
        <f ca="1">IF(L42="估价结果/万元",D19,D20)</f>
        <v>126749</v>
      </c>
      <c r="M44" s="1275">
        <f>D18</f>
        <v>0.5</v>
      </c>
      <c r="N44" s="1276"/>
      <c r="O44" s="1277"/>
      <c r="P44" s="2012"/>
      <c r="V44" s="2012"/>
    </row>
    <row r="45" spans="1:26" ht="13.8">
      <c r="A45" s="3295" t="str">
        <f>IF(项目基本情况!E8="已注销及未注销","4.抵押担保权已注销时的抵押价格",IF(项目基本情况!E8="已注销","3.抵押担保权已注销时的抵押价格","——"))</f>
        <v>——</v>
      </c>
      <c r="B45" s="329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6" t="s">
        <v>374</v>
      </c>
      <c r="B63" s="3337"/>
      <c r="C63" s="3338"/>
      <c r="D63" s="341">
        <f ca="1">ROUND(C42*F63,0)</f>
        <v>118966</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297" t="s">
        <v>378</v>
      </c>
      <c r="B64" s="3298"/>
      <c r="C64" s="3298"/>
      <c r="D64" s="3298"/>
      <c r="E64" s="3298"/>
      <c r="F64" s="3298"/>
      <c r="G64" s="3299"/>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293" t="s">
        <v>386</v>
      </c>
      <c r="B66" s="3294"/>
      <c r="C66" s="3294"/>
      <c r="D66" s="261">
        <f ca="1">IF(H66="情况1",0,IF(H66="情况2",D70,IF(H66="情况3",D71,IF(H66="情况4",D72))))</f>
        <v>6402</v>
      </c>
      <c r="E66" s="992" t="str">
        <f>IF(H66="情况4","(销售额-原购置价)×税（费）率","销售额×税（费）率")</f>
        <v>销售额×税（费）率</v>
      </c>
      <c r="F66" s="350">
        <f>IF(H66="情况1","免征",'数据-取费表'!B41)</f>
        <v>5.6500000000000002E-2</v>
      </c>
      <c r="G66" s="351" t="s">
        <v>387</v>
      </c>
      <c r="H66" s="191" t="s">
        <v>388</v>
      </c>
      <c r="I66" s="1283"/>
      <c r="J66" s="2018"/>
      <c r="K66" s="1286">
        <v>1</v>
      </c>
      <c r="L66" s="3351" t="s">
        <v>385</v>
      </c>
      <c r="M66" s="3352"/>
      <c r="N66" s="2421"/>
      <c r="O66" s="2422"/>
      <c r="P66" s="2423"/>
      <c r="Q66" s="2012"/>
      <c r="R66" s="2012"/>
      <c r="S66" s="2012"/>
      <c r="T66" s="2012"/>
      <c r="U66" s="2012"/>
      <c r="V66" s="2012"/>
    </row>
    <row r="67" spans="1:22" ht="25.5" customHeight="1">
      <c r="A67" s="352" t="s">
        <v>390</v>
      </c>
      <c r="B67" s="3284" t="s">
        <v>391</v>
      </c>
      <c r="C67" s="3284"/>
      <c r="D67" s="353">
        <v>0</v>
      </c>
      <c r="E67" s="41" t="s">
        <v>392</v>
      </c>
      <c r="F67" s="62" t="s">
        <v>21</v>
      </c>
      <c r="G67" s="3339"/>
      <c r="H67" s="311"/>
      <c r="I67" s="1287"/>
      <c r="J67" s="2019"/>
      <c r="K67" s="1960">
        <v>2</v>
      </c>
      <c r="L67" s="3350" t="s">
        <v>389</v>
      </c>
      <c r="M67" s="3350"/>
      <c r="N67" s="1320">
        <f>'数据-取费表'!B2</f>
        <v>43776</v>
      </c>
      <c r="O67" s="1320"/>
      <c r="P67" s="1320"/>
      <c r="Q67" s="2012"/>
      <c r="R67" s="2012"/>
      <c r="S67" s="2012"/>
      <c r="T67" s="2012"/>
      <c r="U67" s="2012"/>
      <c r="V67" s="2012"/>
    </row>
    <row r="68" spans="1:22" ht="25.5" customHeight="1">
      <c r="A68" s="354"/>
      <c r="B68" s="3284" t="s">
        <v>394</v>
      </c>
      <c r="C68" s="3284"/>
      <c r="D68" s="355"/>
      <c r="E68" s="77"/>
      <c r="F68" s="356"/>
      <c r="G68" s="3340"/>
      <c r="H68" s="311"/>
      <c r="I68" s="1287"/>
      <c r="J68" s="2019"/>
      <c r="K68" s="1960">
        <v>3</v>
      </c>
      <c r="L68" s="3350" t="s">
        <v>393</v>
      </c>
      <c r="M68" s="3350"/>
      <c r="N68" s="1288">
        <f ca="1">C42</f>
        <v>118966</v>
      </c>
      <c r="O68" s="1288"/>
      <c r="P68" s="1288"/>
      <c r="Q68" s="2012"/>
      <c r="R68" s="2012"/>
      <c r="S68" s="2012"/>
      <c r="T68" s="2012"/>
      <c r="U68" s="2012"/>
      <c r="V68" s="2012"/>
    </row>
    <row r="69" spans="1:22" ht="12" customHeight="1">
      <c r="A69" s="357"/>
      <c r="B69" s="3284" t="s">
        <v>395</v>
      </c>
      <c r="C69" s="3284"/>
      <c r="D69" s="358"/>
      <c r="E69" s="73"/>
      <c r="F69" s="356"/>
      <c r="G69" s="3341"/>
      <c r="H69" s="311"/>
      <c r="I69" s="1287"/>
      <c r="J69" s="2019"/>
      <c r="K69" s="1289">
        <v>4</v>
      </c>
      <c r="L69" s="3355" t="s">
        <v>2883</v>
      </c>
      <c r="M69" s="3356"/>
      <c r="N69" s="1290">
        <f ca="1">C44</f>
        <v>118966</v>
      </c>
      <c r="O69" s="1290"/>
      <c r="P69" s="1290"/>
      <c r="Q69" s="2012"/>
      <c r="R69" s="2012"/>
      <c r="S69" s="2012"/>
      <c r="T69" s="2012"/>
      <c r="U69" s="2012"/>
      <c r="V69" s="2012"/>
    </row>
    <row r="70" spans="1:22" ht="24" customHeight="1">
      <c r="A70" s="359" t="s">
        <v>396</v>
      </c>
      <c r="B70" s="3284" t="s">
        <v>397</v>
      </c>
      <c r="C70" s="3284"/>
      <c r="D70" s="358">
        <f ca="1">ROUND(D63*'数据-取费表'!B41/(1+'数据-取费表'!C42),0)</f>
        <v>6402</v>
      </c>
      <c r="E70" s="17" t="s">
        <v>398</v>
      </c>
      <c r="F70" s="360">
        <f>'数据-取费表'!B41</f>
        <v>5.6500000000000002E-2</v>
      </c>
      <c r="G70" s="361"/>
      <c r="H70" s="311"/>
      <c r="I70" s="1287"/>
      <c r="J70" s="2019"/>
      <c r="K70" s="3010"/>
      <c r="L70" s="3011"/>
      <c r="M70" s="3011"/>
      <c r="N70" s="3012" t="s">
        <v>2888</v>
      </c>
      <c r="O70" s="3011"/>
      <c r="P70" s="3013"/>
      <c r="Q70" s="2012"/>
      <c r="R70" s="2012"/>
      <c r="S70" s="2012"/>
      <c r="T70" s="2012"/>
      <c r="U70" s="2012"/>
      <c r="V70" s="2012"/>
    </row>
    <row r="71" spans="1:22" ht="12" customHeight="1">
      <c r="A71" s="359" t="s">
        <v>404</v>
      </c>
      <c r="B71" s="3285" t="s">
        <v>405</v>
      </c>
      <c r="C71" s="3286"/>
      <c r="D71" s="358">
        <f ca="1">ROUND(D63*'数据-取费表'!B41/(1+'数据-取费表'!C42),0)</f>
        <v>6402</v>
      </c>
      <c r="E71" s="17" t="s">
        <v>398</v>
      </c>
      <c r="F71" s="360">
        <f>'数据-取费表'!B41</f>
        <v>5.6500000000000002E-2</v>
      </c>
      <c r="G71" s="361"/>
      <c r="H71" s="311"/>
      <c r="I71" s="1287"/>
      <c r="J71" s="2019"/>
      <c r="K71" s="3009" t="s">
        <v>399</v>
      </c>
      <c r="L71" s="3357" t="s">
        <v>400</v>
      </c>
      <c r="M71" s="3357"/>
      <c r="N71" s="3009" t="s">
        <v>401</v>
      </c>
      <c r="O71" s="3009" t="s">
        <v>402</v>
      </c>
      <c r="P71" s="3009" t="s">
        <v>403</v>
      </c>
      <c r="Q71" s="2012"/>
      <c r="R71" s="2012"/>
      <c r="S71" s="2012"/>
      <c r="T71" s="2012"/>
      <c r="U71" s="2012"/>
      <c r="V71" s="2012"/>
    </row>
    <row r="72" spans="1:22" ht="12" customHeight="1">
      <c r="A72" s="359" t="s">
        <v>407</v>
      </c>
      <c r="B72" s="3285" t="s">
        <v>408</v>
      </c>
      <c r="C72" s="3286"/>
      <c r="D72" s="358">
        <f ca="1">C86</f>
        <v>6289</v>
      </c>
      <c r="E72" s="73" t="s">
        <v>409</v>
      </c>
      <c r="F72" s="360">
        <f>'数据-取费表'!B41</f>
        <v>5.6500000000000002E-2</v>
      </c>
      <c r="G72" s="361"/>
      <c r="H72" s="1293"/>
      <c r="I72" s="1287"/>
      <c r="J72" s="2019"/>
      <c r="K72" s="1960">
        <v>1</v>
      </c>
      <c r="L72" s="3332" t="s">
        <v>406</v>
      </c>
      <c r="M72" s="3332"/>
      <c r="N72" s="1291">
        <f ca="1">D66</f>
        <v>6402</v>
      </c>
      <c r="O72" s="1843" t="str">
        <f>E66</f>
        <v>销售额×税（费）率</v>
      </c>
      <c r="P72" s="1292">
        <f>F66</f>
        <v>5.6500000000000002E-2</v>
      </c>
      <c r="Q72" s="2012"/>
      <c r="R72" s="2012"/>
      <c r="S72" s="2012"/>
      <c r="T72" s="2012"/>
      <c r="U72" s="2012"/>
      <c r="V72" s="2012"/>
    </row>
    <row r="73" spans="1:22" ht="24" customHeight="1">
      <c r="A73" s="3326" t="s">
        <v>411</v>
      </c>
      <c r="B73" s="3294"/>
      <c r="C73" s="3294"/>
      <c r="D73" s="362">
        <f>IF(H73="个人住宅",0,ROUND(D63*I73,0))</f>
        <v>0</v>
      </c>
      <c r="E73" s="17" t="s">
        <v>412</v>
      </c>
      <c r="F73" s="360" t="str">
        <f>IF(H73="正常",I73,"免征")</f>
        <v>免征</v>
      </c>
      <c r="G73" s="361"/>
      <c r="H73" s="191" t="s">
        <v>2455</v>
      </c>
      <c r="I73" s="360">
        <f>'数据-取费表'!B49</f>
        <v>5.0000000000000001E-4</v>
      </c>
      <c r="J73" s="2019"/>
      <c r="K73" s="1960">
        <v>2</v>
      </c>
      <c r="L73" s="3332" t="s">
        <v>410</v>
      </c>
      <c r="M73" s="3332"/>
      <c r="N73" s="1291">
        <f t="shared" ref="N73:P74" si="1">D73</f>
        <v>0</v>
      </c>
      <c r="O73" s="1843" t="str">
        <f t="shared" si="1"/>
        <v>销售额×税（费）率</v>
      </c>
      <c r="P73" s="1292" t="str">
        <f t="shared" si="1"/>
        <v>免征</v>
      </c>
      <c r="Q73" s="2012"/>
      <c r="R73" s="2012"/>
      <c r="S73" s="2012"/>
      <c r="T73" s="2012"/>
      <c r="U73" s="2012"/>
      <c r="V73" s="2012"/>
    </row>
    <row r="74" spans="1:22" ht="25.2">
      <c r="A74" s="3326" t="s">
        <v>415</v>
      </c>
      <c r="B74" s="3294"/>
      <c r="C74" s="3294"/>
      <c r="D74" s="362">
        <f ca="1">IF(H74="个人住宅",D75,D76)</f>
        <v>66626</v>
      </c>
      <c r="E74" s="17" t="s">
        <v>416</v>
      </c>
      <c r="F74" s="360" t="str">
        <f>IF(H74="正常",F76,"免征")</f>
        <v>——</v>
      </c>
      <c r="G74" s="982" t="s">
        <v>417</v>
      </c>
      <c r="H74" s="363" t="s">
        <v>413</v>
      </c>
      <c r="I74" s="42"/>
      <c r="J74" s="2019"/>
      <c r="K74" s="1960">
        <v>3</v>
      </c>
      <c r="L74" s="3332" t="s">
        <v>414</v>
      </c>
      <c r="M74" s="3332"/>
      <c r="N74" s="1291">
        <f t="shared" ca="1" si="1"/>
        <v>66626</v>
      </c>
      <c r="O74" s="1843" t="str">
        <f t="shared" si="1"/>
        <v>增值额×税（费）率</v>
      </c>
      <c r="P74" s="1294" t="str">
        <f t="shared" si="1"/>
        <v>——</v>
      </c>
      <c r="Q74" s="2012"/>
      <c r="R74" s="2012"/>
      <c r="S74" s="2012"/>
      <c r="T74" s="2012"/>
      <c r="U74" s="2012"/>
      <c r="V74" s="2012"/>
    </row>
    <row r="75" spans="1:22" ht="24">
      <c r="A75" s="359" t="s">
        <v>418</v>
      </c>
      <c r="B75" s="3282" t="s">
        <v>419</v>
      </c>
      <c r="C75" s="3312"/>
      <c r="D75" s="364">
        <v>0</v>
      </c>
      <c r="E75" s="41" t="s">
        <v>420</v>
      </c>
      <c r="F75" s="365"/>
      <c r="G75" s="361"/>
      <c r="H75" s="42"/>
      <c r="I75" s="42"/>
      <c r="J75" s="2019"/>
      <c r="K75" s="3002">
        <f>IF(H77="非个人房产","",4)</f>
        <v>4</v>
      </c>
      <c r="L75" s="3332" t="str">
        <f>IF(H77="非个人房产","——","个人所得税")</f>
        <v>个人所得税</v>
      </c>
      <c r="M75" s="3332"/>
      <c r="N75" s="1295">
        <f ca="1">D77</f>
        <v>1190</v>
      </c>
      <c r="O75" s="1856" t="str">
        <f>E77</f>
        <v>销售额×税（费）率</v>
      </c>
      <c r="P75" s="1296">
        <f>F77</f>
        <v>0.01</v>
      </c>
      <c r="Q75" s="2012"/>
      <c r="R75" s="2012"/>
      <c r="S75" s="2012"/>
      <c r="T75" s="2012"/>
      <c r="U75" s="2012"/>
      <c r="V75" s="2012"/>
    </row>
    <row r="76" spans="1:22" ht="25.2">
      <c r="A76" s="359" t="s">
        <v>396</v>
      </c>
      <c r="B76" s="3282" t="s">
        <v>422</v>
      </c>
      <c r="C76" s="3283"/>
      <c r="D76" s="362">
        <f ca="1">IF(H76="转让取得",C99,C115)</f>
        <v>66626</v>
      </c>
      <c r="E76" s="17" t="s">
        <v>423</v>
      </c>
      <c r="F76" s="53" t="s">
        <v>21</v>
      </c>
      <c r="G76" s="361"/>
      <c r="H76" s="363" t="s">
        <v>424</v>
      </c>
      <c r="I76" s="42"/>
      <c r="J76" s="2019"/>
      <c r="K76" s="3002" t="str">
        <f>IF(项目基本情况!K6="上海银行",IF(K75="",4,K75+1),"")</f>
        <v/>
      </c>
      <c r="L76" s="3343" t="str">
        <f>IF(项目基本情况!K6="上海银行","其他处置费用","")</f>
        <v/>
      </c>
      <c r="M76" s="3344"/>
      <c r="N76" s="1291" t="str">
        <f>IF(项目基本情况!K6="上海银行",N89,"")</f>
        <v/>
      </c>
      <c r="O76" s="3345" t="str">
        <f>IF(项目基本情况!K6="上海银行","包含处置中涉及的律师、诉讼、拍卖、评估等费用","")</f>
        <v/>
      </c>
      <c r="P76" s="3346"/>
      <c r="Q76" s="2012"/>
      <c r="R76" s="2012"/>
      <c r="S76" s="2012"/>
      <c r="T76" s="2012"/>
      <c r="U76" s="2012"/>
      <c r="V76" s="2012"/>
    </row>
    <row r="77" spans="1:22" ht="27" thickBot="1">
      <c r="A77" s="3334" t="s">
        <v>426</v>
      </c>
      <c r="B77" s="3335"/>
      <c r="C77" s="3335"/>
      <c r="D77" s="366">
        <f ca="1">IF(H77="非个人房产","——",IF(H77="个人住宅",0,ROUND(D63*I77,0)))</f>
        <v>1190</v>
      </c>
      <c r="E77" s="367" t="str">
        <f>IF(H77="非个人房产","——","销售额×税（费）率")</f>
        <v>销售额×税（费）率</v>
      </c>
      <c r="F77" s="368">
        <f>IF(H77="非个人房产","——",IF(H77="个人住宅","免征",I77))</f>
        <v>0.01</v>
      </c>
      <c r="G77" s="983" t="s">
        <v>417</v>
      </c>
      <c r="H77" s="363" t="s">
        <v>2884</v>
      </c>
      <c r="I77" s="369">
        <v>0.01</v>
      </c>
      <c r="J77" s="2019"/>
      <c r="K77" s="3333">
        <f>IF(AND(K75="",K76=""),4,IF(项目基本情况!K6="上海银行",K76+1,K75+1))</f>
        <v>5</v>
      </c>
      <c r="L77" s="3332" t="s">
        <v>2885</v>
      </c>
      <c r="M77" s="3008" t="s">
        <v>421</v>
      </c>
      <c r="N77" s="1297"/>
      <c r="O77" s="1298">
        <f ca="1">SUMIF(N72:N76,"&lt;9e307")</f>
        <v>74218</v>
      </c>
      <c r="P77" s="1299"/>
      <c r="Q77" s="3006">
        <f ca="1">O77/N69</f>
        <v>0.62385891767395729</v>
      </c>
      <c r="R77" s="2012"/>
      <c r="S77" s="2012"/>
      <c r="T77" s="2012"/>
      <c r="U77" s="2012"/>
      <c r="V77" s="2012"/>
    </row>
    <row r="78" spans="1:22" ht="12" customHeight="1">
      <c r="A78" s="1300"/>
      <c r="B78" s="311"/>
      <c r="C78" s="311"/>
      <c r="D78" s="311"/>
      <c r="E78" s="42"/>
      <c r="F78" s="42"/>
      <c r="G78" s="42"/>
      <c r="H78" s="1002"/>
      <c r="I78" s="311"/>
      <c r="J78" s="2019"/>
      <c r="K78" s="3333"/>
      <c r="L78" s="3332"/>
      <c r="M78" s="3008" t="s">
        <v>425</v>
      </c>
      <c r="N78" s="1297"/>
      <c r="O78" s="1298" t="str">
        <f ca="1">NUMBERSTRING(INT(O77*10000),2)&amp;"元整"</f>
        <v>柒亿肆仟贰佰壹拾捌万元整</v>
      </c>
      <c r="P78" s="1299"/>
      <c r="Q78" s="2012"/>
      <c r="R78" s="2012"/>
      <c r="S78" s="2012"/>
      <c r="T78" s="2012"/>
      <c r="U78" s="2012"/>
      <c r="V78" s="2012"/>
    </row>
    <row r="79" spans="1:22" ht="13.8" thickBot="1">
      <c r="A79" s="3327" t="s">
        <v>427</v>
      </c>
      <c r="B79" s="3327"/>
      <c r="C79" s="3327"/>
      <c r="D79" s="3327"/>
      <c r="E79" s="3327"/>
      <c r="F79" s="42"/>
      <c r="G79" s="42"/>
      <c r="H79" s="1002"/>
      <c r="I79" s="311"/>
      <c r="J79" s="2019"/>
      <c r="K79" s="3353">
        <f>K77+1</f>
        <v>6</v>
      </c>
      <c r="L79" s="3332" t="s">
        <v>2886</v>
      </c>
      <c r="M79" s="3008" t="s">
        <v>421</v>
      </c>
      <c r="N79" s="1297"/>
      <c r="O79" s="1298">
        <f ca="1">N69-O77</f>
        <v>44748</v>
      </c>
      <c r="P79" s="1299"/>
      <c r="Q79" s="2012"/>
      <c r="R79" s="2012"/>
      <c r="S79" s="2012"/>
      <c r="T79" s="2012"/>
      <c r="U79" s="2012"/>
      <c r="V79" s="2012"/>
    </row>
    <row r="80" spans="1:22" ht="26.4">
      <c r="A80" s="3322" t="s">
        <v>428</v>
      </c>
      <c r="B80" s="3323"/>
      <c r="C80" s="993"/>
      <c r="D80" s="993" t="s">
        <v>429</v>
      </c>
      <c r="E80" s="370" t="s">
        <v>430</v>
      </c>
      <c r="F80" s="42"/>
      <c r="G80" s="42"/>
      <c r="H80" s="1002"/>
      <c r="I80" s="311"/>
      <c r="J80" s="2012"/>
      <c r="K80" s="3354"/>
      <c r="L80" s="3332"/>
      <c r="M80" s="3008" t="s">
        <v>425</v>
      </c>
      <c r="N80" s="1297"/>
      <c r="O80" s="1298" t="str">
        <f ca="1">NUMBERSTRING(INT(O79*10000),2)&amp;"元整"</f>
        <v>肆亿肆仟柒佰肆拾捌万元整</v>
      </c>
      <c r="P80" s="1299"/>
      <c r="Q80" s="2012"/>
      <c r="R80" s="2012"/>
      <c r="S80" s="2012"/>
      <c r="T80" s="2012"/>
      <c r="U80" s="2012"/>
      <c r="V80" s="2012"/>
    </row>
    <row r="81" spans="1:26" ht="13.8" thickBot="1">
      <c r="A81" s="381" t="s">
        <v>1823</v>
      </c>
      <c r="B81" s="371" t="s">
        <v>431</v>
      </c>
      <c r="C81" s="372">
        <f ca="1">ROUND((C82+C83)/(1+'数据-取费表'!C42),0)</f>
        <v>113301</v>
      </c>
      <c r="D81" s="373"/>
      <c r="E81" s="374"/>
      <c r="F81" s="42"/>
      <c r="G81" s="42"/>
      <c r="H81" s="1002"/>
      <c r="I81" s="311"/>
      <c r="J81" s="2012"/>
      <c r="K81" s="3002">
        <f>K79+1</f>
        <v>7</v>
      </c>
      <c r="L81" s="3330" t="s">
        <v>2887</v>
      </c>
      <c r="M81" s="3331"/>
      <c r="N81" s="1301"/>
      <c r="O81" s="1302">
        <f ca="1">ROUND(O79*10000/'数据-汇总表'!E3,0)</f>
        <v>2176</v>
      </c>
      <c r="P81" s="1303"/>
      <c r="Q81" s="2012"/>
      <c r="R81" s="2012"/>
      <c r="S81" s="2012"/>
      <c r="T81" s="2012"/>
      <c r="U81" s="2012"/>
      <c r="V81" s="2012"/>
    </row>
    <row r="82" spans="1:26" ht="13.8" thickTop="1">
      <c r="A82" s="375" t="s">
        <v>1824</v>
      </c>
      <c r="B82" s="376" t="s">
        <v>432</v>
      </c>
      <c r="C82" s="377">
        <f ca="1">D63</f>
        <v>118966</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42" t="s">
        <v>2874</v>
      </c>
      <c r="L83" s="3014" t="s">
        <v>2875</v>
      </c>
      <c r="M83" s="3004">
        <f ca="1">IF(N69&gt;10000,N69*0.5%,IF(AND(N69&gt;1000,N69&lt;=10000),N69*1%,IF(AND(N69&gt;100,N69&lt;=1000),N69*3%,IF(AND(N69&gt;10,N69&lt;=100),N69*5%,N69*8%))))</f>
        <v>594.83000000000004</v>
      </c>
      <c r="N83" s="53">
        <f ca="1">ROUND(M83,1)</f>
        <v>594.79999999999995</v>
      </c>
      <c r="O83" s="3007"/>
      <c r="P83" s="2012"/>
      <c r="Q83" s="2012"/>
      <c r="R83" s="2012"/>
      <c r="S83" s="2012"/>
      <c r="T83" s="2012"/>
      <c r="U83" s="2012"/>
      <c r="V83" s="2012"/>
    </row>
    <row r="84" spans="1:26" ht="25.2">
      <c r="A84" s="381" t="s">
        <v>1826</v>
      </c>
      <c r="B84" s="382" t="s">
        <v>434</v>
      </c>
      <c r="C84" s="383">
        <v>2000</v>
      </c>
      <c r="D84" s="384" t="s">
        <v>19</v>
      </c>
      <c r="E84" s="3046" t="s">
        <v>2937</v>
      </c>
      <c r="F84" s="42"/>
      <c r="G84" s="42"/>
      <c r="H84" s="1002"/>
      <c r="I84" s="311"/>
      <c r="J84" s="2012"/>
      <c r="K84" s="3342"/>
      <c r="L84" s="3014" t="s">
        <v>2876</v>
      </c>
      <c r="M84" s="3004">
        <f ca="1">IF(N69&gt;2000,N69*0.5%,IF(AND(N69&gt;1000,N69&lt;=2000),N69*0.6%,IF(AND(N69&gt;500,N69&lt;=1000),N69*0.7%,IF(AND(N69&gt;200,N69&lt;=500),N69*0.8%,IF(AND(N69&gt;100,N69&lt;=200),N69*0.9%,IF(AND(N69&gt;50,N69&lt;=100),N69*1%,IF(AND(N69&gt;20,N69&lt;=50),N69*1.5%,IF(AND(N69&gt;10,N69&lt;=20),N69*2%,IF(AND(N69&gt;1,N69&lt;=10),N69*2.5%)))))))))</f>
        <v>594.83000000000004</v>
      </c>
      <c r="N84" s="53">
        <f t="shared" ref="N84:N85" ca="1" si="2">ROUND(M84,1)</f>
        <v>594.79999999999995</v>
      </c>
      <c r="O84" s="2012" t="s">
        <v>2877</v>
      </c>
      <c r="P84" s="2012"/>
      <c r="Q84" s="2012"/>
      <c r="R84" s="2012"/>
      <c r="S84" s="2012"/>
      <c r="T84" s="2012"/>
      <c r="U84" s="2012"/>
      <c r="V84" s="2012"/>
    </row>
    <row r="85" spans="1:26" ht="13.2">
      <c r="A85" s="381" t="s">
        <v>1827</v>
      </c>
      <c r="B85" s="382" t="s">
        <v>435</v>
      </c>
      <c r="C85" s="385">
        <f ca="1">C81-C84</f>
        <v>111301</v>
      </c>
      <c r="D85" s="378" t="s">
        <v>19</v>
      </c>
      <c r="E85" s="379"/>
      <c r="F85" s="42"/>
      <c r="G85" s="42"/>
      <c r="H85" s="1002"/>
      <c r="I85" s="311"/>
      <c r="J85" s="2012"/>
      <c r="K85" s="3342"/>
      <c r="L85" s="3014" t="s">
        <v>2878</v>
      </c>
      <c r="M85" s="3004">
        <f ca="1">IF(N69&gt;1000,N69*0.1%,IF(AND(N69&gt;500,N69&lt;=1000),N69*0.5%,IF(AND(N69&gt;50,N69&lt;=500),N69*1%,IF(AND(N69&gt;1,N69&lt;=50),N69*1.5%))))</f>
        <v>118.96600000000001</v>
      </c>
      <c r="N85" s="53">
        <f t="shared" ca="1" si="2"/>
        <v>119</v>
      </c>
      <c r="O85" s="2012" t="s">
        <v>2877</v>
      </c>
      <c r="P85" s="2012"/>
      <c r="Q85" s="2012"/>
      <c r="R85" s="2012"/>
      <c r="S85" s="2012"/>
      <c r="T85" s="2012"/>
      <c r="U85" s="2012"/>
      <c r="V85" s="2012"/>
    </row>
    <row r="86" spans="1:26" ht="13.8" thickBot="1">
      <c r="A86" s="386" t="s">
        <v>1828</v>
      </c>
      <c r="B86" s="387" t="s">
        <v>436</v>
      </c>
      <c r="C86" s="388">
        <f ca="1">IF(C85&lt;=0,0,ROUND(C85*D86,0))</f>
        <v>6289</v>
      </c>
      <c r="D86" s="389">
        <f>'数据-取费表'!B41</f>
        <v>5.6500000000000002E-2</v>
      </c>
      <c r="E86" s="390"/>
      <c r="F86" s="42"/>
      <c r="G86" s="42"/>
      <c r="H86" s="1002"/>
      <c r="I86" s="311"/>
      <c r="J86" s="2012"/>
      <c r="K86" s="3342"/>
      <c r="L86" s="3014" t="s">
        <v>2879</v>
      </c>
      <c r="M86" s="3004">
        <f ca="1">N69*0.5%</f>
        <v>594.83000000000004</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42"/>
      <c r="L87" s="3014" t="s">
        <v>2881</v>
      </c>
      <c r="M87" s="3004">
        <f ca="1">IF(N69&gt;=10000,(8.25+(N69-10000)*0.01%),IF(AND(N69&gt;=8000,N69&lt;10000),(7.85+(N69-8000)*0.02%),IF(AND(N69&gt;=5000,N69&lt;8000),(6.65+(N69-5000)*0.04%),IF(AND(N69&gt;=2000,N69&lt;5000),(4.25+(PN69-2000)*0.08%),IF(AND(N69&gt;=1000,N69&lt;2000),(2.75+(N69-1000)*0.15%),IF(AND(N69&gt;=100,N69&lt;1000),(0.5+(N69-100)*0.25%),IF(AND(N69&gt;0,N69&lt;100),N69*0.5%)))))))</f>
        <v>19.146599999999999</v>
      </c>
      <c r="N87" s="53">
        <f ca="1">ROUND(M87*0.9,1)</f>
        <v>17.2</v>
      </c>
      <c r="O87" s="3007"/>
      <c r="P87" s="311"/>
      <c r="Q87" s="2012"/>
      <c r="R87" s="2012"/>
      <c r="S87" s="2012"/>
      <c r="T87" s="2012"/>
      <c r="U87" s="2012"/>
      <c r="V87" s="2012"/>
      <c r="W87" s="292"/>
      <c r="X87" s="292"/>
      <c r="Y87" s="292"/>
      <c r="Z87" s="292"/>
    </row>
    <row r="88" spans="1:26" s="1309" customFormat="1" ht="14.4" thickBot="1">
      <c r="A88" s="3324" t="s">
        <v>437</v>
      </c>
      <c r="B88" s="3325"/>
      <c r="C88" s="3325"/>
      <c r="D88" s="3325"/>
      <c r="E88" s="3325"/>
      <c r="F88" s="3325"/>
      <c r="G88" s="3325"/>
      <c r="H88" s="3325"/>
      <c r="I88" s="1310"/>
      <c r="J88" s="2020"/>
      <c r="K88" s="3342"/>
      <c r="L88" s="3014" t="s">
        <v>2882</v>
      </c>
      <c r="M88" s="3004">
        <f ca="1">IF(N69&gt;10000,N69*0.5%,IF(AND(N69&gt;5000,N69&lt;=10000),N69*1%,IF(AND(N69&gt;1000,N69&lt;=5000),N69*2%,IF(AND(N69&gt;200,N69&lt;=1000),N69*3%,N69*5%))))</f>
        <v>594.83000000000004</v>
      </c>
      <c r="N88" s="53">
        <f ca="1">ROUND(M88,1)</f>
        <v>594.79999999999995</v>
      </c>
      <c r="O88" s="3007"/>
      <c r="P88" s="11"/>
      <c r="Q88" s="2017"/>
      <c r="R88" s="2017"/>
      <c r="S88" s="2017"/>
      <c r="T88" s="2017"/>
      <c r="U88" s="2017"/>
      <c r="V88" s="2017"/>
      <c r="W88" s="2021"/>
      <c r="X88" s="2021"/>
      <c r="Y88" s="2021"/>
      <c r="Z88" s="2021"/>
    </row>
    <row r="89" spans="1:26" s="1309" customFormat="1" ht="13.8">
      <c r="A89" s="3322" t="s">
        <v>428</v>
      </c>
      <c r="B89" s="3323"/>
      <c r="C89" s="993"/>
      <c r="D89" s="993" t="s">
        <v>429</v>
      </c>
      <c r="E89" s="391" t="s">
        <v>438</v>
      </c>
      <c r="F89" s="392"/>
      <c r="G89" s="392"/>
      <c r="H89" s="393"/>
      <c r="I89" s="1311"/>
      <c r="J89" s="2022"/>
      <c r="K89" s="3342"/>
      <c r="L89" s="3014" t="s">
        <v>27</v>
      </c>
      <c r="M89" s="3005"/>
      <c r="N89" s="53">
        <f ca="1">ROUND(SUM(N83:N88),0)</f>
        <v>1921</v>
      </c>
      <c r="O89" s="3015">
        <f ca="1">N89/N69</f>
        <v>1.6147470705915976E-2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113301</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3297</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85" t="s">
        <v>447</v>
      </c>
      <c r="F94" s="3284"/>
      <c r="G94" s="3284"/>
      <c r="H94" s="3321"/>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736</v>
      </c>
      <c r="D96" s="406">
        <f>'数据-取费表'!B43</f>
        <v>6.5000000000000006E-3</v>
      </c>
      <c r="E96" s="3313" t="s">
        <v>2428</v>
      </c>
      <c r="F96" s="3314"/>
      <c r="G96" s="3314"/>
      <c r="H96" s="331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110004</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33.364877161055503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64848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24" t="s">
        <v>454</v>
      </c>
      <c r="B101" s="3325"/>
      <c r="C101" s="3325"/>
      <c r="D101" s="3325"/>
      <c r="E101" s="3325"/>
      <c r="F101" s="3325"/>
      <c r="G101" s="3325"/>
      <c r="H101" s="3325"/>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22" t="s">
        <v>428</v>
      </c>
      <c r="B102" s="3323"/>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113301</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1426</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16" t="s">
        <v>462</v>
      </c>
      <c r="F109" s="3314"/>
      <c r="G109" s="331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16" t="s">
        <v>464</v>
      </c>
      <c r="F110" s="3314"/>
      <c r="G110" s="3314"/>
      <c r="H110" s="331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736</v>
      </c>
      <c r="D111" s="406">
        <f>'数据-取费表'!B43</f>
        <v>6.5000000000000006E-3</v>
      </c>
      <c r="E111" s="3313" t="s">
        <v>2428</v>
      </c>
      <c r="F111" s="3314"/>
      <c r="G111" s="3314"/>
      <c r="H111" s="331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16" t="s">
        <v>2453</v>
      </c>
      <c r="F112" s="3314"/>
      <c r="G112" s="3314"/>
      <c r="H112" s="331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111875</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78.453716690042071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66626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4" sqref="E14"/>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126749</v>
      </c>
      <c r="C2" s="2088"/>
      <c r="D2" s="2088"/>
      <c r="E2" s="2088"/>
      <c r="F2" s="2088"/>
      <c r="G2" s="2088"/>
      <c r="H2" s="2088"/>
      <c r="I2" s="2088"/>
      <c r="J2" s="2088"/>
      <c r="K2" s="2088"/>
    </row>
    <row r="3" spans="1:31" s="2025" customFormat="1" ht="18" customHeight="1">
      <c r="A3" s="2090" t="s">
        <v>1684</v>
      </c>
      <c r="B3" s="2091">
        <f ca="1">ROUND(B2*10000/IF(B1="",'数据-汇总表'!E3,INDIRECT("'数据-取费表'!K"&amp;$K$1)),0)</f>
        <v>6162</v>
      </c>
      <c r="C3" s="2088"/>
      <c r="D3" s="2088"/>
      <c r="E3" s="2088"/>
      <c r="F3" s="2088"/>
      <c r="G3" s="2088"/>
      <c r="H3" s="2088"/>
      <c r="I3" s="2088"/>
      <c r="J3" s="2088"/>
      <c r="K3" s="2088"/>
    </row>
    <row r="4" spans="1:31" s="2025" customFormat="1" ht="18" customHeight="1">
      <c r="A4" s="426" t="s">
        <v>468</v>
      </c>
      <c r="B4" s="427">
        <f ca="1">ROUND(B2*10000/IF(B1="",'数据-汇总表'!D3,INDIRECT("'数据-取费表'!R"&amp;$K$1)),0)</f>
        <v>28763</v>
      </c>
      <c r="C4" s="428"/>
      <c r="D4" s="422"/>
      <c r="E4" s="422"/>
      <c r="F4" s="422"/>
      <c r="G4" s="422"/>
      <c r="H4" s="422"/>
      <c r="I4" s="422"/>
      <c r="J4" s="422"/>
      <c r="K4" s="422"/>
    </row>
    <row r="5" spans="1:31" s="2025" customFormat="1" ht="18" customHeight="1" thickBot="1">
      <c r="A5" s="429"/>
      <c r="B5" s="430">
        <f ca="1">ROUND(B2/(IF(B1="",'数据-汇总表'!D3,INDIRECT("'数据-取费表'!R"&amp;$K$1))/666.67),0)</f>
        <v>1918</v>
      </c>
      <c r="C5" s="431" t="s">
        <v>469</v>
      </c>
      <c r="D5" s="422"/>
      <c r="E5" s="422"/>
      <c r="F5" s="422"/>
      <c r="G5" s="422"/>
      <c r="H5" s="422"/>
      <c r="I5" s="422"/>
      <c r="J5" s="422"/>
      <c r="K5" s="422"/>
    </row>
    <row r="6" spans="1:31" s="2095" customFormat="1" ht="16.5" customHeight="1">
      <c r="A6" s="2782" t="s">
        <v>1842</v>
      </c>
      <c r="B6" s="2783"/>
      <c r="C6" s="2784">
        <f>SUM(C10:K10)</f>
        <v>280319</v>
      </c>
      <c r="D6" s="2783"/>
      <c r="E6" s="2783"/>
      <c r="F6" s="2783"/>
      <c r="G6" s="2783"/>
      <c r="H6" s="2783"/>
      <c r="I6" s="2783"/>
      <c r="J6" s="2783"/>
      <c r="K6" s="2785"/>
    </row>
    <row r="7" spans="1:31" s="2097" customFormat="1" ht="14.4">
      <c r="A7" s="2786" t="s">
        <v>470</v>
      </c>
      <c r="B7" s="2787" t="s">
        <v>471</v>
      </c>
      <c r="C7" s="436" t="s">
        <v>923</v>
      </c>
      <c r="D7" s="436" t="s">
        <v>3094</v>
      </c>
      <c r="E7" s="436" t="s">
        <v>35</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16000</v>
      </c>
      <c r="D8" s="2788">
        <v>20000</v>
      </c>
      <c r="E8" s="2788">
        <v>3800</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135005</v>
      </c>
      <c r="D9" s="441">
        <f>SUMIF('数据-汇总表'!$C19:$C33,'剩余法-待开发'!D7,'数据-汇总表'!$E19:$E33)</f>
        <v>23737</v>
      </c>
      <c r="E9" s="441">
        <f>SUMIF('数据-汇总表'!$C19:$C33,'剩余法-待开发'!E7,'数据-汇总表'!$E19:$E33)</f>
        <v>44309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ROUND(C8*C9/10000,0)</f>
        <v>216008</v>
      </c>
      <c r="D10" s="2978">
        <f>ROUND(D8*D9/10000,0)</f>
        <v>47474</v>
      </c>
      <c r="E10" s="2978">
        <f>ROUND(E8*E9/10000,0)</f>
        <v>16837</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60916</v>
      </c>
      <c r="D13" s="2798"/>
      <c r="E13" s="2799"/>
      <c r="F13" s="2800"/>
      <c r="G13" s="2766"/>
      <c r="H13" s="2767"/>
      <c r="I13" s="2767"/>
      <c r="J13" s="2767"/>
      <c r="K13" s="2768"/>
    </row>
    <row r="14" spans="1:31" s="2100" customFormat="1" ht="13.5" customHeight="1">
      <c r="A14" s="2796" t="s">
        <v>1849</v>
      </c>
      <c r="B14" s="2797" t="s">
        <v>480</v>
      </c>
      <c r="C14" s="53">
        <f ca="1">ROUND(C13*F14,0)</f>
        <v>1827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2025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4114</v>
      </c>
      <c r="D16" s="2798">
        <f ca="1">IF(B1="",'数据-汇总表'!E3,INDIRECT("'数据-取费表'!K"&amp;$K$1)+INDIRECT("'数据-取费表'!S"&amp;$K$1))</f>
        <v>205689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914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69796</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205689</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4936</v>
      </c>
      <c r="D20" s="2808"/>
      <c r="E20" s="2762"/>
      <c r="F20" s="2809"/>
      <c r="G20" s="3034" t="s">
        <v>3089</v>
      </c>
      <c r="H20" s="2764">
        <v>0</v>
      </c>
      <c r="I20" s="2765" t="s">
        <v>2651</v>
      </c>
      <c r="J20" s="2771"/>
      <c r="K20" s="2772"/>
    </row>
    <row r="21" spans="1:14" s="2100" customFormat="1" ht="13.5" customHeight="1">
      <c r="A21" s="2796" t="s">
        <v>1856</v>
      </c>
      <c r="B21" s="2797" t="s">
        <v>491</v>
      </c>
      <c r="C21" s="53">
        <f ca="1">ROUND(D21*E21/10000,0)</f>
        <v>3240</v>
      </c>
      <c r="D21" s="2798">
        <f ca="1">IF(B1="",'数据-汇总表'!E5,IF(INDIRECT("'数据-取费表'!c"&amp;$K$1)="住宅",INDIRECT("'数据-取费表'!k"&amp;$K$1),0))</f>
        <v>135005</v>
      </c>
      <c r="E21" s="53">
        <f>'数据-取费表'!B27</f>
        <v>240</v>
      </c>
      <c r="F21" s="2801"/>
      <c r="G21" s="26"/>
      <c r="H21" s="51"/>
      <c r="I21" s="51"/>
      <c r="J21" s="51"/>
      <c r="K21" s="2773"/>
    </row>
    <row r="22" spans="1:14" s="2100" customFormat="1" ht="13.5" customHeight="1">
      <c r="A22" s="2796" t="s">
        <v>1857</v>
      </c>
      <c r="B22" s="2797" t="s">
        <v>492</v>
      </c>
      <c r="C22" s="53">
        <f ca="1">ROUND(D22*E22/10000,0)</f>
        <v>1696</v>
      </c>
      <c r="D22" s="2798">
        <f ca="1">IF(B1="",'数据-汇总表'!E6,IF(INDIRECT("'数据-取费表'!c"&amp;$K$1)="住宅",INDIRECT("'数据-取费表'!s"&amp;$K$1),INDIRECT("'数据-取费表'!k"&amp;$K$1)+INDIRECT("'数据-取费表'!s"&amp;$K$1)))</f>
        <v>70684</v>
      </c>
      <c r="E22" s="53">
        <f>'数据-取费表'!B28</f>
        <v>240</v>
      </c>
      <c r="F22" s="2801"/>
      <c r="G22" s="26"/>
      <c r="H22" s="51"/>
      <c r="I22" s="51"/>
      <c r="J22" s="51"/>
      <c r="K22" s="2773"/>
    </row>
    <row r="23" spans="1:14" s="2100" customFormat="1" ht="13.5" customHeight="1">
      <c r="A23" s="2804" t="s">
        <v>1858</v>
      </c>
      <c r="B23" s="2984" t="s">
        <v>2834</v>
      </c>
      <c r="C23" s="2806">
        <f ca="1">ROUND((C18+C19+C20)*F23,0)</f>
        <v>1495</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4" t="s">
        <v>2837</v>
      </c>
      <c r="C24" s="2806">
        <f>ROUND(C6*F24,0)</f>
        <v>5606</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4" t="s">
        <v>2835</v>
      </c>
      <c r="C25" s="467">
        <f>ROUND(F25/(1+'数据-取费表'!C42),4)</f>
        <v>2.9000000000000001E-2</v>
      </c>
      <c r="D25" s="462" t="s">
        <v>2829</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2836</v>
      </c>
      <c r="C26" s="2811">
        <f ca="1">C28</f>
        <v>5899</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2838</v>
      </c>
      <c r="C28" s="2814">
        <f ca="1">ROUND(IF('数据-取费表'!B22&lt;=1,(C18+C19+C20+C23+C24)*F26*'数据-取费表'!B24/2,(C18+C19+C20+C23+C24)*(POWER((1+F26),'数据-取费表'!B24/2)-1)),0)</f>
        <v>5899</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ROUND(C6*F29/(1+'数据-取费表'!C42),0)</f>
        <v>15084</v>
      </c>
      <c r="D29" s="468"/>
      <c r="E29" s="468"/>
      <c r="F29" s="2986">
        <f>'数据-取费表'!B41</f>
        <v>5.6500000000000002E-2</v>
      </c>
      <c r="G29" s="2775" t="s">
        <v>498</v>
      </c>
      <c r="H29" s="2767"/>
      <c r="I29" s="2767"/>
      <c r="J29" s="2767"/>
      <c r="K29" s="2768"/>
    </row>
    <row r="30" spans="1:14" s="2105" customFormat="1" ht="13.5" customHeight="1">
      <c r="A30" s="1619" t="s">
        <v>1863</v>
      </c>
      <c r="B30" s="2816" t="s">
        <v>500</v>
      </c>
      <c r="C30" s="2811">
        <f ca="1">C31</f>
        <v>102816</v>
      </c>
      <c r="D30" s="477">
        <f ca="1">C32</f>
        <v>0.1827</v>
      </c>
      <c r="E30" s="469" t="s">
        <v>495</v>
      </c>
      <c r="F30" s="471"/>
      <c r="G30" s="2774" t="s">
        <v>2968</v>
      </c>
      <c r="H30" s="2767"/>
      <c r="I30" s="2767"/>
      <c r="J30" s="2767"/>
      <c r="K30" s="2768"/>
    </row>
    <row r="31" spans="1:14" s="2104" customFormat="1" ht="13.5" customHeight="1">
      <c r="A31" s="803" t="s">
        <v>1856</v>
      </c>
      <c r="B31" s="2812"/>
      <c r="C31" s="450">
        <f ca="1">C18+C19+C20+C23+C24+C26+C29</f>
        <v>102816</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3" t="s">
        <v>2833</v>
      </c>
      <c r="B33" s="2981" t="s">
        <v>2831</v>
      </c>
      <c r="C33" s="478">
        <f ca="1">C35</f>
        <v>10638</v>
      </c>
      <c r="D33" s="467">
        <f ca="1">C34</f>
        <v>0.1338</v>
      </c>
      <c r="E33" s="469" t="s">
        <v>495</v>
      </c>
      <c r="F33" s="479">
        <f ca="1">IF(B1="",'数据-取费表'!Q16,INDIRECT("'数据-取费表'!q"&amp;$K$1))</f>
        <v>0.13</v>
      </c>
      <c r="G33" s="2770"/>
      <c r="H33" s="2771"/>
      <c r="I33" s="2771"/>
      <c r="J33" s="2771"/>
      <c r="K33" s="2772"/>
    </row>
    <row r="34" spans="1:11" s="2107" customFormat="1" ht="13.5" customHeight="1">
      <c r="A34" s="375" t="s">
        <v>1856</v>
      </c>
      <c r="B34" s="2817" t="s">
        <v>501</v>
      </c>
      <c r="C34" s="472">
        <f ca="1">ROUND((1+C25)*F33,4)</f>
        <v>0.1338</v>
      </c>
      <c r="D34" s="472"/>
      <c r="E34" s="473"/>
      <c r="F34" s="480"/>
      <c r="G34" s="261" t="s">
        <v>2290</v>
      </c>
      <c r="H34" s="2769"/>
      <c r="I34" s="2769"/>
      <c r="J34" s="2769"/>
      <c r="K34" s="279"/>
    </row>
    <row r="35" spans="1:11" s="2107" customFormat="1" ht="13.5" customHeight="1" thickBot="1">
      <c r="A35" s="1620" t="s">
        <v>1857</v>
      </c>
      <c r="B35" s="2982" t="s">
        <v>2839</v>
      </c>
      <c r="C35" s="1612">
        <f ca="1">ROUND((C18+C19+C20+C23+C24)*F33,0)</f>
        <v>10638</v>
      </c>
      <c r="D35" s="1613"/>
      <c r="E35" s="2818"/>
      <c r="F35" s="1614"/>
      <c r="G35" s="2776"/>
      <c r="H35" s="2777"/>
      <c r="I35" s="2777"/>
      <c r="J35" s="2777"/>
      <c r="K35" s="2778"/>
    </row>
    <row r="36" spans="1:11" s="2069" customFormat="1" ht="13.5" customHeight="1" thickBot="1">
      <c r="A36" s="284" t="s">
        <v>1844</v>
      </c>
      <c r="B36" s="2780"/>
      <c r="C36" s="2819">
        <f ca="1">ROUND((C6-C30-C33)/(1+D30+D33),0)</f>
        <v>126749</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8:AS63"/>
  <sheetViews>
    <sheetView topLeftCell="H25" zoomScale="70" zoomScaleNormal="70" workbookViewId="0">
      <selection activeCell="L55" sqref="L55"/>
    </sheetView>
  </sheetViews>
  <sheetFormatPr defaultRowHeight="14.4"/>
  <cols>
    <col min="1" max="1" width="27.44140625" customWidth="1"/>
    <col min="8" max="8" width="11.44140625" customWidth="1"/>
  </cols>
  <sheetData>
    <row r="48" spans="1:45" s="2893" customFormat="1">
      <c r="A48" s="2893" t="s">
        <v>3004</v>
      </c>
      <c r="B48" s="2893" t="s">
        <v>3005</v>
      </c>
      <c r="C48" s="2893" t="s">
        <v>3006</v>
      </c>
      <c r="D48" s="2893" t="s">
        <v>3107</v>
      </c>
      <c r="E48" s="2893" t="s">
        <v>3108</v>
      </c>
      <c r="F48" s="2893" t="s">
        <v>3109</v>
      </c>
      <c r="G48" s="2893" t="s">
        <v>3009</v>
      </c>
      <c r="H48" s="2893" t="s">
        <v>3110</v>
      </c>
      <c r="I48" s="2893" t="s">
        <v>3111</v>
      </c>
      <c r="J48" s="2893" t="s">
        <v>3007</v>
      </c>
      <c r="K48" s="2893" t="s">
        <v>3008</v>
      </c>
      <c r="L48" s="2893" t="s">
        <v>2032</v>
      </c>
      <c r="M48" s="2893" t="s">
        <v>3112</v>
      </c>
      <c r="N48" s="2893" t="s">
        <v>3113</v>
      </c>
      <c r="O48" s="2893" t="s">
        <v>3114</v>
      </c>
      <c r="P48" s="2893" t="s">
        <v>3115</v>
      </c>
      <c r="Q48" s="2893" t="s">
        <v>3116</v>
      </c>
      <c r="R48" s="2893" t="s">
        <v>3117</v>
      </c>
      <c r="S48" s="2893" t="s">
        <v>3118</v>
      </c>
      <c r="T48" s="2893" t="s">
        <v>3119</v>
      </c>
      <c r="U48" s="2893" t="s">
        <v>3120</v>
      </c>
      <c r="V48" s="2893" t="s">
        <v>3121</v>
      </c>
      <c r="W48" s="2893" t="s">
        <v>3122</v>
      </c>
      <c r="X48" s="2893" t="s">
        <v>3123</v>
      </c>
      <c r="Y48" s="2893" t="s">
        <v>3124</v>
      </c>
      <c r="Z48" s="2893" t="s">
        <v>3010</v>
      </c>
      <c r="AA48" s="2893" t="s">
        <v>3125</v>
      </c>
      <c r="AB48" s="2893" t="s">
        <v>3126</v>
      </c>
      <c r="AC48" s="2893" t="s">
        <v>3127</v>
      </c>
      <c r="AD48" s="2893" t="s">
        <v>3015</v>
      </c>
      <c r="AE48" s="2893" t="s">
        <v>3128</v>
      </c>
      <c r="AF48" s="2893" t="s">
        <v>3011</v>
      </c>
      <c r="AG48" s="2893" t="s">
        <v>3012</v>
      </c>
      <c r="AH48" s="2893" t="s">
        <v>3129</v>
      </c>
      <c r="AI48" s="2893" t="s">
        <v>3130</v>
      </c>
      <c r="AJ48" s="2893" t="s">
        <v>3131</v>
      </c>
      <c r="AK48" s="2893" t="s">
        <v>3013</v>
      </c>
      <c r="AL48" s="2893" t="s">
        <v>3132</v>
      </c>
      <c r="AM48" s="2893" t="s">
        <v>3133</v>
      </c>
      <c r="AN48" s="2893" t="s">
        <v>3014</v>
      </c>
      <c r="AO48" s="2893" t="s">
        <v>3134</v>
      </c>
      <c r="AP48" s="2893" t="s">
        <v>3135</v>
      </c>
      <c r="AQ48" s="2893" t="s">
        <v>3136</v>
      </c>
      <c r="AR48" s="2893" t="s">
        <v>3137</v>
      </c>
      <c r="AS48" s="2893" t="s">
        <v>3016</v>
      </c>
    </row>
    <row r="49" spans="1:45" s="2893" customFormat="1">
      <c r="A49" s="2893" t="s">
        <v>3138</v>
      </c>
      <c r="B49" s="2893" t="s">
        <v>3139</v>
      </c>
      <c r="C49" s="2893" t="s">
        <v>3017</v>
      </c>
      <c r="D49" s="2893" t="s">
        <v>3140</v>
      </c>
      <c r="E49" s="2893" t="s">
        <v>2818</v>
      </c>
      <c r="F49" s="2893" t="s">
        <v>3138</v>
      </c>
      <c r="G49" s="2893" t="s">
        <v>3141</v>
      </c>
      <c r="H49" s="2893" t="s">
        <v>3142</v>
      </c>
      <c r="I49" s="2893" t="s">
        <v>3143</v>
      </c>
      <c r="J49" s="2893">
        <v>98362.9</v>
      </c>
      <c r="K49" s="2893">
        <v>299613.40000000002</v>
      </c>
      <c r="L49" s="2893" t="s">
        <v>3144</v>
      </c>
      <c r="M49" s="2893" t="s">
        <v>2818</v>
      </c>
      <c r="N49" s="2893" t="s">
        <v>3145</v>
      </c>
      <c r="O49" s="2893" t="s">
        <v>2818</v>
      </c>
      <c r="P49" s="2893" t="s">
        <v>2818</v>
      </c>
      <c r="Q49" s="2893" t="s">
        <v>2818</v>
      </c>
      <c r="R49" s="2893" t="s">
        <v>2818</v>
      </c>
      <c r="S49" s="2893" t="s">
        <v>2818</v>
      </c>
      <c r="T49" s="2893" t="s">
        <v>3146</v>
      </c>
      <c r="U49" s="2893" t="s">
        <v>2818</v>
      </c>
      <c r="V49" s="2893" t="s">
        <v>2818</v>
      </c>
      <c r="W49" s="2893" t="s">
        <v>3147</v>
      </c>
      <c r="X49" s="2893" t="s">
        <v>3148</v>
      </c>
      <c r="Y49" s="2893" t="s">
        <v>3149</v>
      </c>
      <c r="Z49" s="2893" t="s">
        <v>3150</v>
      </c>
      <c r="AA49" s="2893" t="s">
        <v>3150</v>
      </c>
      <c r="AB49" s="2893" t="s">
        <v>3151</v>
      </c>
      <c r="AC49" s="2893" t="s">
        <v>3152</v>
      </c>
      <c r="AD49" s="2893" t="s">
        <v>3153</v>
      </c>
      <c r="AE49" s="2893">
        <v>30000</v>
      </c>
      <c r="AF49" s="2893">
        <v>99000</v>
      </c>
      <c r="AG49" s="2893">
        <v>99000</v>
      </c>
      <c r="AH49" s="2893">
        <v>670.98</v>
      </c>
      <c r="AI49" s="2893">
        <v>670.98</v>
      </c>
      <c r="AJ49" s="2893">
        <v>3304.25</v>
      </c>
      <c r="AK49" s="2893">
        <v>3304.26</v>
      </c>
      <c r="AL49" s="2893" t="s">
        <v>2818</v>
      </c>
      <c r="AM49" s="2893" t="s">
        <v>2818</v>
      </c>
      <c r="AN49" s="2893">
        <v>0</v>
      </c>
      <c r="AO49" s="2893" t="s">
        <v>3154</v>
      </c>
      <c r="AP49" s="2893" t="s">
        <v>2818</v>
      </c>
      <c r="AQ49" s="2893" t="s">
        <v>2818</v>
      </c>
      <c r="AR49" s="2893" t="s">
        <v>2818</v>
      </c>
      <c r="AS49" s="2893" t="s">
        <v>3155</v>
      </c>
    </row>
    <row r="50" spans="1:45" s="2893" customFormat="1">
      <c r="A50" s="2893" t="s">
        <v>3156</v>
      </c>
      <c r="B50" s="2893" t="s">
        <v>3139</v>
      </c>
      <c r="C50" s="2893" t="s">
        <v>3017</v>
      </c>
      <c r="D50" s="2893" t="s">
        <v>3140</v>
      </c>
      <c r="E50" s="2893" t="s">
        <v>2818</v>
      </c>
      <c r="F50" s="2893" t="s">
        <v>3156</v>
      </c>
      <c r="G50" s="2893" t="s">
        <v>3141</v>
      </c>
      <c r="H50" s="2893" t="s">
        <v>3157</v>
      </c>
      <c r="I50" s="2893" t="s">
        <v>3143</v>
      </c>
      <c r="J50" s="2893">
        <v>12850.53</v>
      </c>
      <c r="K50" s="2893">
        <v>43306.29</v>
      </c>
      <c r="L50" s="2893" t="s">
        <v>3158</v>
      </c>
      <c r="M50" s="2893" t="s">
        <v>2818</v>
      </c>
      <c r="N50" s="2893" t="s">
        <v>3159</v>
      </c>
      <c r="O50" s="2893" t="s">
        <v>2818</v>
      </c>
      <c r="P50" s="2893" t="s">
        <v>2818</v>
      </c>
      <c r="Q50" s="2893" t="s">
        <v>2818</v>
      </c>
      <c r="R50" s="2893" t="s">
        <v>2818</v>
      </c>
      <c r="S50" s="2893" t="s">
        <v>2818</v>
      </c>
      <c r="T50" s="2893" t="s">
        <v>2818</v>
      </c>
      <c r="U50" s="2893" t="s">
        <v>2818</v>
      </c>
      <c r="V50" s="2893" t="s">
        <v>2818</v>
      </c>
      <c r="W50" s="2893" t="s">
        <v>3147</v>
      </c>
      <c r="X50" s="2893" t="s">
        <v>3160</v>
      </c>
      <c r="Y50" s="2893" t="s">
        <v>3161</v>
      </c>
      <c r="Z50" s="2893" t="s">
        <v>3161</v>
      </c>
      <c r="AA50" s="2893" t="s">
        <v>3161</v>
      </c>
      <c r="AB50" s="2893" t="s">
        <v>3162</v>
      </c>
      <c r="AC50" s="2893" t="s">
        <v>3152</v>
      </c>
      <c r="AD50" s="2893" t="s">
        <v>3163</v>
      </c>
      <c r="AE50" s="2893">
        <v>11603</v>
      </c>
      <c r="AF50" s="2893">
        <v>23205</v>
      </c>
      <c r="AG50" s="2893">
        <v>25945</v>
      </c>
      <c r="AH50" s="2893">
        <v>1203.8399999999999</v>
      </c>
      <c r="AI50" s="2893">
        <v>1345.99</v>
      </c>
      <c r="AJ50" s="2893">
        <v>5358.34</v>
      </c>
      <c r="AK50" s="2893">
        <v>5991.05</v>
      </c>
      <c r="AL50" s="2893" t="s">
        <v>2818</v>
      </c>
      <c r="AM50" s="2893" t="s">
        <v>2818</v>
      </c>
      <c r="AN50" s="2893">
        <v>11.81</v>
      </c>
      <c r="AO50" s="2893" t="s">
        <v>3164</v>
      </c>
      <c r="AP50" s="2893" t="s">
        <v>2818</v>
      </c>
      <c r="AQ50" s="2893" t="s">
        <v>2818</v>
      </c>
      <c r="AR50" s="2893" t="s">
        <v>2818</v>
      </c>
      <c r="AS50" s="2893" t="s">
        <v>3019</v>
      </c>
    </row>
    <row r="51" spans="1:45" s="2893" customFormat="1">
      <c r="A51" s="2893" t="s">
        <v>3165</v>
      </c>
      <c r="B51" s="2893" t="s">
        <v>3139</v>
      </c>
      <c r="C51" s="2893" t="s">
        <v>3017</v>
      </c>
      <c r="D51" s="2893" t="s">
        <v>3140</v>
      </c>
      <c r="E51" s="2893" t="s">
        <v>2818</v>
      </c>
      <c r="F51" s="2893" t="s">
        <v>3165</v>
      </c>
      <c r="G51" s="2893" t="s">
        <v>3141</v>
      </c>
      <c r="H51" s="2893" t="s">
        <v>3166</v>
      </c>
      <c r="I51" s="2893" t="s">
        <v>3167</v>
      </c>
      <c r="J51" s="2893">
        <v>66671.570000000007</v>
      </c>
      <c r="K51" s="2893">
        <v>265352.8</v>
      </c>
      <c r="L51" s="2893" t="s">
        <v>3168</v>
      </c>
      <c r="M51" s="2893" t="s">
        <v>2818</v>
      </c>
      <c r="N51" s="2893" t="s">
        <v>3169</v>
      </c>
      <c r="O51" s="2893" t="s">
        <v>2818</v>
      </c>
      <c r="P51" s="2893" t="s">
        <v>2818</v>
      </c>
      <c r="Q51" s="2893" t="s">
        <v>2818</v>
      </c>
      <c r="R51" s="2893" t="s">
        <v>2818</v>
      </c>
      <c r="S51" s="2893" t="s">
        <v>2818</v>
      </c>
      <c r="T51" s="2893" t="s">
        <v>2818</v>
      </c>
      <c r="U51" s="2893" t="s">
        <v>2818</v>
      </c>
      <c r="V51" s="2893" t="s">
        <v>2818</v>
      </c>
      <c r="W51" s="2893" t="s">
        <v>3147</v>
      </c>
      <c r="X51" s="2893" t="s">
        <v>3170</v>
      </c>
      <c r="Y51" s="2893" t="s">
        <v>3171</v>
      </c>
      <c r="Z51" s="2893" t="s">
        <v>3171</v>
      </c>
      <c r="AA51" s="2893" t="s">
        <v>3171</v>
      </c>
      <c r="AB51" s="2893" t="s">
        <v>3172</v>
      </c>
      <c r="AC51" s="2893" t="s">
        <v>3152</v>
      </c>
      <c r="AD51" s="2893" t="s">
        <v>3173</v>
      </c>
      <c r="AE51" s="2893">
        <v>22700</v>
      </c>
      <c r="AF51" s="2893">
        <v>45399</v>
      </c>
      <c r="AG51" s="2893">
        <v>45399</v>
      </c>
      <c r="AH51" s="2893">
        <v>453.96</v>
      </c>
      <c r="AI51" s="2893">
        <v>453.96</v>
      </c>
      <c r="AJ51" s="2893">
        <v>1710.89</v>
      </c>
      <c r="AK51" s="2893">
        <v>1710.89</v>
      </c>
      <c r="AL51" s="2893" t="s">
        <v>2818</v>
      </c>
      <c r="AM51" s="2893" t="s">
        <v>2818</v>
      </c>
      <c r="AN51" s="2893">
        <v>0</v>
      </c>
      <c r="AO51" s="2893" t="s">
        <v>3174</v>
      </c>
      <c r="AP51" s="2893" t="s">
        <v>2818</v>
      </c>
      <c r="AQ51" s="2893" t="s">
        <v>2818</v>
      </c>
      <c r="AR51" s="2893" t="s">
        <v>2818</v>
      </c>
      <c r="AS51" s="2893" t="s">
        <v>3019</v>
      </c>
    </row>
    <row r="52" spans="1:45" s="3185" customFormat="1">
      <c r="A52" s="3185" t="s">
        <v>3175</v>
      </c>
      <c r="B52" s="3185" t="s">
        <v>3139</v>
      </c>
      <c r="C52" s="3185" t="s">
        <v>3017</v>
      </c>
      <c r="D52" s="3185" t="s">
        <v>3140</v>
      </c>
      <c r="E52" s="3185" t="s">
        <v>2818</v>
      </c>
      <c r="F52" s="3185" t="s">
        <v>3175</v>
      </c>
      <c r="G52" s="3185" t="s">
        <v>3141</v>
      </c>
      <c r="H52" s="3185" t="s">
        <v>3176</v>
      </c>
      <c r="I52" s="3185" t="s">
        <v>3177</v>
      </c>
      <c r="J52" s="3185">
        <v>46069.59</v>
      </c>
      <c r="K52" s="3185">
        <v>129080</v>
      </c>
      <c r="L52" s="3185" t="s">
        <v>3178</v>
      </c>
      <c r="M52" s="3185" t="s">
        <v>2818</v>
      </c>
      <c r="N52" s="3185" t="s">
        <v>3179</v>
      </c>
      <c r="O52" s="3185" t="s">
        <v>2818</v>
      </c>
      <c r="P52" s="3185" t="s">
        <v>3180</v>
      </c>
      <c r="Q52" s="3185" t="s">
        <v>2818</v>
      </c>
      <c r="R52" s="3185" t="s">
        <v>2818</v>
      </c>
      <c r="S52" s="3185" t="s">
        <v>2818</v>
      </c>
      <c r="T52" s="3185" t="s">
        <v>3146</v>
      </c>
      <c r="U52" s="3185" t="s">
        <v>2818</v>
      </c>
      <c r="V52" s="3185" t="s">
        <v>2818</v>
      </c>
      <c r="W52" s="3185" t="s">
        <v>3181</v>
      </c>
      <c r="X52" s="3185" t="s">
        <v>3182</v>
      </c>
      <c r="Y52" s="3185" t="s">
        <v>3183</v>
      </c>
      <c r="Z52" s="3185" t="s">
        <v>3183</v>
      </c>
      <c r="AA52" s="3185" t="s">
        <v>3183</v>
      </c>
      <c r="AB52" s="3185" t="s">
        <v>3184</v>
      </c>
      <c r="AC52" s="3185" t="s">
        <v>3152</v>
      </c>
      <c r="AD52" s="3185" t="s">
        <v>3185</v>
      </c>
      <c r="AE52" s="3185">
        <v>40000</v>
      </c>
      <c r="AF52" s="3185">
        <v>77600</v>
      </c>
      <c r="AG52" s="3185">
        <v>91600</v>
      </c>
      <c r="AH52" s="3185">
        <v>1122.94</v>
      </c>
      <c r="AI52" s="3185">
        <v>1325.53</v>
      </c>
      <c r="AJ52" s="3185">
        <v>6011.77</v>
      </c>
      <c r="AK52" s="3185">
        <v>7096.36</v>
      </c>
      <c r="AL52" s="3185" t="s">
        <v>2818</v>
      </c>
      <c r="AM52" s="3185" t="s">
        <v>2818</v>
      </c>
      <c r="AN52" s="3185">
        <v>18.04</v>
      </c>
      <c r="AO52" s="3185" t="s">
        <v>3186</v>
      </c>
      <c r="AP52" s="3185" t="s">
        <v>2818</v>
      </c>
      <c r="AQ52" s="3185" t="s">
        <v>2818</v>
      </c>
      <c r="AR52" s="3185" t="s">
        <v>2818</v>
      </c>
      <c r="AS52" s="3185" t="s">
        <v>3019</v>
      </c>
    </row>
    <row r="53" spans="1:45" s="2893" customFormat="1">
      <c r="A53" s="2893" t="s">
        <v>3187</v>
      </c>
      <c r="B53" s="2893" t="s">
        <v>3139</v>
      </c>
      <c r="C53" s="2893" t="s">
        <v>3017</v>
      </c>
      <c r="D53" s="2893" t="s">
        <v>3140</v>
      </c>
      <c r="E53" s="2893" t="s">
        <v>2818</v>
      </c>
      <c r="F53" s="2893" t="s">
        <v>3187</v>
      </c>
      <c r="G53" s="2893" t="s">
        <v>3141</v>
      </c>
      <c r="H53" s="2893" t="s">
        <v>3188</v>
      </c>
      <c r="I53" s="2893" t="s">
        <v>3189</v>
      </c>
      <c r="J53" s="2893">
        <v>39283.89</v>
      </c>
      <c r="K53" s="2893">
        <v>210168.8</v>
      </c>
      <c r="L53" s="2893" t="s">
        <v>3190</v>
      </c>
      <c r="M53" s="2893" t="s">
        <v>3191</v>
      </c>
      <c r="N53" s="2893" t="s">
        <v>3192</v>
      </c>
      <c r="O53" s="2893" t="s">
        <v>2818</v>
      </c>
      <c r="P53" s="2893" t="s">
        <v>2818</v>
      </c>
      <c r="Q53" s="2893" t="s">
        <v>2818</v>
      </c>
      <c r="R53" s="2893" t="s">
        <v>2818</v>
      </c>
      <c r="S53" s="2893" t="s">
        <v>2818</v>
      </c>
      <c r="T53" s="2893" t="s">
        <v>2818</v>
      </c>
      <c r="U53" s="2893" t="s">
        <v>2818</v>
      </c>
      <c r="V53" s="2893" t="s">
        <v>2818</v>
      </c>
      <c r="W53" s="2893" t="s">
        <v>3181</v>
      </c>
      <c r="X53" s="2893" t="s">
        <v>3193</v>
      </c>
      <c r="Y53" s="2893" t="s">
        <v>3194</v>
      </c>
      <c r="Z53" s="2893" t="s">
        <v>3194</v>
      </c>
      <c r="AA53" s="2893" t="s">
        <v>3194</v>
      </c>
      <c r="AB53" s="2893" t="s">
        <v>3195</v>
      </c>
      <c r="AC53" s="2893" t="s">
        <v>3152</v>
      </c>
      <c r="AD53" s="2893" t="s">
        <v>3196</v>
      </c>
      <c r="AE53" s="2893">
        <v>16095</v>
      </c>
      <c r="AF53" s="2893">
        <v>32190</v>
      </c>
      <c r="AG53" s="2893">
        <v>32190</v>
      </c>
      <c r="AH53" s="2893">
        <v>546.28</v>
      </c>
      <c r="AI53" s="2893">
        <v>546.28</v>
      </c>
      <c r="AJ53" s="2893">
        <v>1531.62</v>
      </c>
      <c r="AK53" s="2893">
        <v>1531.63</v>
      </c>
      <c r="AL53" s="2893" t="s">
        <v>2818</v>
      </c>
      <c r="AM53" s="2893" t="s">
        <v>2818</v>
      </c>
      <c r="AN53" s="2893">
        <v>0</v>
      </c>
      <c r="AO53" s="2893" t="s">
        <v>3197</v>
      </c>
      <c r="AP53" s="2893" t="s">
        <v>2818</v>
      </c>
      <c r="AQ53" s="2893" t="s">
        <v>2818</v>
      </c>
      <c r="AR53" s="2893" t="s">
        <v>2818</v>
      </c>
      <c r="AS53" s="2893" t="s">
        <v>3155</v>
      </c>
    </row>
    <row r="54" spans="1:45" s="3185" customFormat="1">
      <c r="A54" s="3185" t="s">
        <v>3198</v>
      </c>
      <c r="B54" s="3185" t="s">
        <v>3139</v>
      </c>
      <c r="C54" s="3185" t="s">
        <v>3017</v>
      </c>
      <c r="D54" s="3185" t="s">
        <v>3140</v>
      </c>
      <c r="E54" s="3185" t="s">
        <v>2818</v>
      </c>
      <c r="F54" s="3185" t="s">
        <v>3198</v>
      </c>
      <c r="G54" s="3185" t="s">
        <v>3141</v>
      </c>
      <c r="H54" s="3185" t="s">
        <v>3199</v>
      </c>
      <c r="I54" s="3185" t="s">
        <v>3143</v>
      </c>
      <c r="J54" s="3185">
        <v>138768.20000000001</v>
      </c>
      <c r="K54" s="3185">
        <v>362046.1</v>
      </c>
      <c r="L54" s="3185" t="s">
        <v>3200</v>
      </c>
      <c r="M54" s="3185" t="s">
        <v>2818</v>
      </c>
      <c r="N54" s="3185" t="s">
        <v>3201</v>
      </c>
      <c r="O54" s="3185" t="s">
        <v>2818</v>
      </c>
      <c r="P54" s="3185" t="s">
        <v>2818</v>
      </c>
      <c r="Q54" s="3185" t="s">
        <v>2818</v>
      </c>
      <c r="R54" s="3185" t="s">
        <v>2818</v>
      </c>
      <c r="S54" s="3185" t="s">
        <v>2818</v>
      </c>
      <c r="T54" s="3185" t="s">
        <v>3202</v>
      </c>
      <c r="U54" s="3185" t="s">
        <v>3203</v>
      </c>
      <c r="V54" s="3185" t="s">
        <v>2818</v>
      </c>
      <c r="W54" s="3185" t="s">
        <v>3181</v>
      </c>
      <c r="X54" s="3185" t="s">
        <v>3204</v>
      </c>
      <c r="Y54" s="3185" t="s">
        <v>3205</v>
      </c>
      <c r="Z54" s="3185" t="s">
        <v>3205</v>
      </c>
      <c r="AA54" s="3185" t="s">
        <v>3205</v>
      </c>
      <c r="AB54" s="3185" t="s">
        <v>3206</v>
      </c>
      <c r="AC54" s="3185" t="s">
        <v>3152</v>
      </c>
      <c r="AD54" s="3185" t="s">
        <v>3207</v>
      </c>
      <c r="AE54" s="3185">
        <v>130000</v>
      </c>
      <c r="AF54" s="3185">
        <v>242880</v>
      </c>
      <c r="AG54" s="3185">
        <v>242880</v>
      </c>
      <c r="AH54" s="3185">
        <v>1166.8399999999999</v>
      </c>
      <c r="AI54" s="3185">
        <v>1166.8399999999999</v>
      </c>
      <c r="AJ54" s="3185">
        <v>6708.53</v>
      </c>
      <c r="AK54" s="3185">
        <v>6708.53</v>
      </c>
      <c r="AL54" s="3185" t="s">
        <v>2818</v>
      </c>
      <c r="AM54" s="3185" t="s">
        <v>2818</v>
      </c>
      <c r="AN54" s="3185">
        <v>0</v>
      </c>
      <c r="AO54" s="3185" t="s">
        <v>3174</v>
      </c>
      <c r="AP54" s="3185" t="s">
        <v>2818</v>
      </c>
      <c r="AQ54" s="3185" t="s">
        <v>2818</v>
      </c>
      <c r="AR54" s="3185" t="s">
        <v>2818</v>
      </c>
      <c r="AS54" s="3185" t="s">
        <v>3155</v>
      </c>
    </row>
    <row r="55" spans="1:45" s="3185" customFormat="1">
      <c r="A55" s="3185" t="s">
        <v>3208</v>
      </c>
      <c r="B55" s="3185" t="s">
        <v>3139</v>
      </c>
      <c r="C55" s="3185" t="s">
        <v>3017</v>
      </c>
      <c r="D55" s="3185" t="s">
        <v>3140</v>
      </c>
      <c r="E55" s="3185" t="s">
        <v>2818</v>
      </c>
      <c r="F55" s="3185" t="s">
        <v>3208</v>
      </c>
      <c r="G55" s="3185" t="s">
        <v>3141</v>
      </c>
      <c r="H55" s="3185" t="s">
        <v>3209</v>
      </c>
      <c r="I55" s="3185" t="s">
        <v>3143</v>
      </c>
      <c r="J55" s="3185">
        <v>120241.3</v>
      </c>
      <c r="K55" s="3185">
        <v>300603.3</v>
      </c>
      <c r="L55" s="3185" t="s">
        <v>3210</v>
      </c>
      <c r="M55" s="3185" t="s">
        <v>2818</v>
      </c>
      <c r="N55" s="3185" t="s">
        <v>3169</v>
      </c>
      <c r="O55" s="3185" t="s">
        <v>2818</v>
      </c>
      <c r="P55" s="3185" t="s">
        <v>2818</v>
      </c>
      <c r="Q55" s="3185" t="s">
        <v>2818</v>
      </c>
      <c r="R55" s="3185" t="s">
        <v>2818</v>
      </c>
      <c r="S55" s="3185" t="s">
        <v>2818</v>
      </c>
      <c r="T55" s="3185" t="s">
        <v>3202</v>
      </c>
      <c r="U55" s="3185" t="s">
        <v>3202</v>
      </c>
      <c r="V55" s="3185" t="s">
        <v>2818</v>
      </c>
      <c r="W55" s="3185" t="s">
        <v>3181</v>
      </c>
      <c r="X55" s="3185" t="s">
        <v>3204</v>
      </c>
      <c r="Y55" s="3185" t="s">
        <v>3205</v>
      </c>
      <c r="Z55" s="3185" t="s">
        <v>3205</v>
      </c>
      <c r="AA55" s="3185" t="s">
        <v>3205</v>
      </c>
      <c r="AB55" s="3185" t="s">
        <v>3211</v>
      </c>
      <c r="AC55" s="3185" t="s">
        <v>3152</v>
      </c>
      <c r="AD55" s="3185" t="s">
        <v>3207</v>
      </c>
      <c r="AE55" s="3185">
        <v>110000</v>
      </c>
      <c r="AF55" s="3185">
        <v>216910</v>
      </c>
      <c r="AG55" s="3185">
        <v>242700</v>
      </c>
      <c r="AH55" s="3185">
        <v>1202.6400000000001</v>
      </c>
      <c r="AI55" s="3185">
        <v>1345.63</v>
      </c>
      <c r="AJ55" s="3185">
        <v>7215.82</v>
      </c>
      <c r="AK55" s="3185">
        <v>8073.76</v>
      </c>
      <c r="AL55" s="3185" t="s">
        <v>2818</v>
      </c>
      <c r="AM55" s="3185" t="s">
        <v>2818</v>
      </c>
      <c r="AN55" s="3185">
        <v>11.89</v>
      </c>
      <c r="AO55" s="3185" t="s">
        <v>3174</v>
      </c>
      <c r="AP55" s="3185" t="s">
        <v>2818</v>
      </c>
      <c r="AQ55" s="3185" t="s">
        <v>2818</v>
      </c>
      <c r="AR55" s="3185" t="s">
        <v>2818</v>
      </c>
      <c r="AS55" s="3185" t="s">
        <v>3155</v>
      </c>
    </row>
    <row r="56" spans="1:45" s="2893" customFormat="1">
      <c r="A56" s="2893" t="s">
        <v>3212</v>
      </c>
      <c r="B56" s="2893" t="s">
        <v>3139</v>
      </c>
      <c r="C56" s="2893" t="s">
        <v>3020</v>
      </c>
      <c r="D56" s="2893" t="s">
        <v>3140</v>
      </c>
      <c r="E56" s="2893" t="s">
        <v>2818</v>
      </c>
      <c r="F56" s="2893" t="s">
        <v>3212</v>
      </c>
      <c r="G56" s="2893" t="s">
        <v>3141</v>
      </c>
      <c r="H56" s="2893" t="s">
        <v>3213</v>
      </c>
      <c r="I56" s="2893" t="s">
        <v>3214</v>
      </c>
      <c r="J56" s="2893">
        <v>136.46</v>
      </c>
      <c r="K56" s="2893">
        <v>458.51</v>
      </c>
      <c r="L56" s="2893" t="s">
        <v>3215</v>
      </c>
      <c r="M56" s="2893" t="s">
        <v>2818</v>
      </c>
      <c r="N56" s="2893" t="s">
        <v>3216</v>
      </c>
      <c r="O56" s="2893" t="s">
        <v>2818</v>
      </c>
      <c r="P56" s="2893" t="s">
        <v>2818</v>
      </c>
      <c r="Q56" s="2893" t="s">
        <v>2818</v>
      </c>
      <c r="R56" s="2893" t="s">
        <v>2818</v>
      </c>
      <c r="S56" s="2893" t="s">
        <v>2818</v>
      </c>
      <c r="T56" s="2893" t="s">
        <v>2818</v>
      </c>
      <c r="U56" s="2893" t="s">
        <v>2818</v>
      </c>
      <c r="V56" s="2893" t="s">
        <v>2818</v>
      </c>
      <c r="W56" s="2893" t="s">
        <v>3181</v>
      </c>
      <c r="X56" s="2893" t="s">
        <v>3217</v>
      </c>
      <c r="Y56" s="2893" t="s">
        <v>3218</v>
      </c>
      <c r="Z56" s="2893" t="s">
        <v>3218</v>
      </c>
      <c r="AA56" s="2893" t="s">
        <v>3218</v>
      </c>
      <c r="AB56" s="2893" t="s">
        <v>3219</v>
      </c>
      <c r="AC56" s="2893" t="s">
        <v>3152</v>
      </c>
      <c r="AD56" s="2893" t="s">
        <v>3220</v>
      </c>
      <c r="AE56" s="2893">
        <v>27</v>
      </c>
      <c r="AF56" s="2893" t="s">
        <v>2818</v>
      </c>
      <c r="AG56" s="2893">
        <v>218.34</v>
      </c>
      <c r="AH56" s="2893" t="s">
        <v>2818</v>
      </c>
      <c r="AI56" s="2893">
        <v>1066.69</v>
      </c>
      <c r="AJ56" s="2893" t="s">
        <v>2818</v>
      </c>
      <c r="AK56" s="2893">
        <v>4762.1499999999996</v>
      </c>
      <c r="AL56" s="2893" t="s">
        <v>2818</v>
      </c>
      <c r="AM56" s="2893" t="s">
        <v>2818</v>
      </c>
      <c r="AN56" s="2893" t="s">
        <v>2818</v>
      </c>
      <c r="AO56" s="2893" t="s">
        <v>3221</v>
      </c>
      <c r="AP56" s="2893" t="s">
        <v>2818</v>
      </c>
      <c r="AQ56" s="2893" t="s">
        <v>2818</v>
      </c>
      <c r="AR56" s="2893" t="s">
        <v>2818</v>
      </c>
      <c r="AS56" s="2893" t="s">
        <v>3019</v>
      </c>
    </row>
    <row r="57" spans="1:45" s="2893" customFormat="1">
      <c r="A57" s="2893" t="s">
        <v>3212</v>
      </c>
      <c r="B57" s="2893" t="s">
        <v>3139</v>
      </c>
      <c r="C57" s="2893" t="s">
        <v>3020</v>
      </c>
      <c r="D57" s="2893" t="s">
        <v>3140</v>
      </c>
      <c r="E57" s="2893" t="s">
        <v>2818</v>
      </c>
      <c r="F57" s="2893" t="s">
        <v>3212</v>
      </c>
      <c r="G57" s="2893" t="s">
        <v>3141</v>
      </c>
      <c r="H57" s="2893" t="s">
        <v>3222</v>
      </c>
      <c r="I57" s="2893" t="s">
        <v>3214</v>
      </c>
      <c r="J57" s="2893">
        <v>65869.77</v>
      </c>
      <c r="K57" s="2893">
        <v>221322.4</v>
      </c>
      <c r="L57" s="2893" t="s">
        <v>3215</v>
      </c>
      <c r="M57" s="2893" t="s">
        <v>2818</v>
      </c>
      <c r="N57" s="2893" t="s">
        <v>3216</v>
      </c>
      <c r="O57" s="2893" t="s">
        <v>2818</v>
      </c>
      <c r="P57" s="2893" t="s">
        <v>2818</v>
      </c>
      <c r="Q57" s="2893" t="s">
        <v>2818</v>
      </c>
      <c r="R57" s="2893" t="s">
        <v>2818</v>
      </c>
      <c r="S57" s="2893" t="s">
        <v>2818</v>
      </c>
      <c r="T57" s="2893" t="s">
        <v>2818</v>
      </c>
      <c r="U57" s="2893" t="s">
        <v>2818</v>
      </c>
      <c r="V57" s="2893" t="s">
        <v>2818</v>
      </c>
      <c r="W57" s="2893" t="s">
        <v>3181</v>
      </c>
      <c r="X57" s="2893" t="s">
        <v>3217</v>
      </c>
      <c r="Y57" s="2893" t="s">
        <v>3223</v>
      </c>
      <c r="Z57" s="2893" t="s">
        <v>3223</v>
      </c>
      <c r="AA57" s="2893" t="s">
        <v>3223</v>
      </c>
      <c r="AB57" s="2893" t="s">
        <v>3219</v>
      </c>
      <c r="AC57" s="2893" t="s">
        <v>3152</v>
      </c>
      <c r="AD57" s="2893" t="s">
        <v>3224</v>
      </c>
      <c r="AE57" s="2893">
        <v>12943</v>
      </c>
      <c r="AF57" s="2893" t="s">
        <v>2818</v>
      </c>
      <c r="AG57" s="2893">
        <v>25886</v>
      </c>
      <c r="AH57" s="2893" t="s">
        <v>2818</v>
      </c>
      <c r="AI57" s="2893">
        <v>261.99</v>
      </c>
      <c r="AJ57" s="2893" t="s">
        <v>2818</v>
      </c>
      <c r="AK57" s="2893">
        <v>1169.5999999999999</v>
      </c>
      <c r="AL57" s="2893" t="s">
        <v>2818</v>
      </c>
      <c r="AM57" s="2893" t="s">
        <v>2818</v>
      </c>
      <c r="AN57" s="2893" t="s">
        <v>2818</v>
      </c>
      <c r="AO57" s="2893" t="s">
        <v>3221</v>
      </c>
      <c r="AP57" s="2893" t="s">
        <v>2818</v>
      </c>
      <c r="AQ57" s="2893" t="s">
        <v>2818</v>
      </c>
      <c r="AR57" s="2893" t="s">
        <v>2818</v>
      </c>
      <c r="AS57" s="2893" t="s">
        <v>3021</v>
      </c>
    </row>
    <row r="58" spans="1:45" s="2893" customFormat="1">
      <c r="A58" s="2893" t="s">
        <v>3212</v>
      </c>
      <c r="B58" s="2893" t="s">
        <v>3139</v>
      </c>
      <c r="C58" s="2893" t="s">
        <v>3020</v>
      </c>
      <c r="D58" s="2893" t="s">
        <v>3140</v>
      </c>
      <c r="E58" s="2893" t="s">
        <v>2818</v>
      </c>
      <c r="F58" s="2893" t="s">
        <v>3212</v>
      </c>
      <c r="G58" s="2893" t="s">
        <v>3141</v>
      </c>
      <c r="H58" s="2893" t="s">
        <v>3225</v>
      </c>
      <c r="I58" s="2893" t="s">
        <v>3214</v>
      </c>
      <c r="J58" s="2893">
        <v>55688.73</v>
      </c>
      <c r="K58" s="2893">
        <v>160383.5</v>
      </c>
      <c r="L58" s="2893" t="s">
        <v>3226</v>
      </c>
      <c r="M58" s="2893" t="s">
        <v>2818</v>
      </c>
      <c r="N58" s="2893" t="s">
        <v>3227</v>
      </c>
      <c r="O58" s="2893" t="s">
        <v>2818</v>
      </c>
      <c r="P58" s="2893" t="s">
        <v>2818</v>
      </c>
      <c r="Q58" s="2893" t="s">
        <v>2818</v>
      </c>
      <c r="R58" s="2893" t="s">
        <v>2818</v>
      </c>
      <c r="S58" s="2893" t="s">
        <v>2818</v>
      </c>
      <c r="T58" s="2893" t="s">
        <v>2818</v>
      </c>
      <c r="U58" s="2893" t="s">
        <v>2818</v>
      </c>
      <c r="V58" s="2893" t="s">
        <v>2818</v>
      </c>
      <c r="W58" s="2893" t="s">
        <v>3181</v>
      </c>
      <c r="X58" s="2893" t="s">
        <v>3217</v>
      </c>
      <c r="Y58" s="2893" t="s">
        <v>3223</v>
      </c>
      <c r="Z58" s="2893" t="s">
        <v>3223</v>
      </c>
      <c r="AA58" s="2893" t="s">
        <v>3223</v>
      </c>
      <c r="AB58" s="2893" t="s">
        <v>3219</v>
      </c>
      <c r="AC58" s="2893" t="s">
        <v>3152</v>
      </c>
      <c r="AD58" s="2893" t="s">
        <v>3228</v>
      </c>
      <c r="AE58" s="2893">
        <v>9709</v>
      </c>
      <c r="AF58" s="2893" t="s">
        <v>2818</v>
      </c>
      <c r="AG58" s="2893">
        <v>19417</v>
      </c>
      <c r="AH58" s="2893" t="s">
        <v>2818</v>
      </c>
      <c r="AI58" s="2893">
        <v>232.45</v>
      </c>
      <c r="AJ58" s="2893" t="s">
        <v>2818</v>
      </c>
      <c r="AK58" s="2893">
        <v>1210.6600000000001</v>
      </c>
      <c r="AL58" s="2893" t="s">
        <v>2818</v>
      </c>
      <c r="AM58" s="2893" t="s">
        <v>2818</v>
      </c>
      <c r="AN58" s="2893" t="s">
        <v>2818</v>
      </c>
      <c r="AO58" s="2893" t="s">
        <v>3221</v>
      </c>
      <c r="AP58" s="2893" t="s">
        <v>2818</v>
      </c>
      <c r="AQ58" s="2893" t="s">
        <v>2818</v>
      </c>
      <c r="AR58" s="2893" t="s">
        <v>2818</v>
      </c>
      <c r="AS58" s="2893" t="s">
        <v>3019</v>
      </c>
    </row>
    <row r="59" spans="1:45" s="2893" customFormat="1">
      <c r="A59" s="2893" t="s">
        <v>3212</v>
      </c>
      <c r="B59" s="2893" t="s">
        <v>3139</v>
      </c>
      <c r="C59" s="2893" t="s">
        <v>3020</v>
      </c>
      <c r="D59" s="2893" t="s">
        <v>3140</v>
      </c>
      <c r="E59" s="2893" t="s">
        <v>2818</v>
      </c>
      <c r="F59" s="2893" t="s">
        <v>3212</v>
      </c>
      <c r="G59" s="2893" t="s">
        <v>3141</v>
      </c>
      <c r="H59" s="2893" t="s">
        <v>3229</v>
      </c>
      <c r="I59" s="2893" t="s">
        <v>3214</v>
      </c>
      <c r="J59" s="2893">
        <v>1300.49</v>
      </c>
      <c r="K59" s="2893">
        <v>4369.6499999999996</v>
      </c>
      <c r="L59" s="2893" t="s">
        <v>3215</v>
      </c>
      <c r="M59" s="2893" t="s">
        <v>2818</v>
      </c>
      <c r="N59" s="2893" t="s">
        <v>3216</v>
      </c>
      <c r="O59" s="2893" t="s">
        <v>2818</v>
      </c>
      <c r="P59" s="2893" t="s">
        <v>2818</v>
      </c>
      <c r="Q59" s="2893" t="s">
        <v>2818</v>
      </c>
      <c r="R59" s="2893" t="s">
        <v>2818</v>
      </c>
      <c r="S59" s="2893" t="s">
        <v>2818</v>
      </c>
      <c r="T59" s="2893" t="s">
        <v>2818</v>
      </c>
      <c r="U59" s="2893" t="s">
        <v>2818</v>
      </c>
      <c r="V59" s="2893" t="s">
        <v>2818</v>
      </c>
      <c r="W59" s="2893" t="s">
        <v>3181</v>
      </c>
      <c r="X59" s="2893" t="s">
        <v>3217</v>
      </c>
      <c r="Y59" s="2893" t="s">
        <v>3223</v>
      </c>
      <c r="Z59" s="2893" t="s">
        <v>3223</v>
      </c>
      <c r="AA59" s="2893" t="s">
        <v>3223</v>
      </c>
      <c r="AB59" s="2893" t="s">
        <v>3219</v>
      </c>
      <c r="AC59" s="2893" t="s">
        <v>3152</v>
      </c>
      <c r="AD59" s="2893" t="s">
        <v>3224</v>
      </c>
      <c r="AE59" s="2893">
        <v>256</v>
      </c>
      <c r="AF59" s="2893" t="s">
        <v>2818</v>
      </c>
      <c r="AG59" s="2893">
        <v>512</v>
      </c>
      <c r="AH59" s="2893" t="s">
        <v>2818</v>
      </c>
      <c r="AI59" s="2893">
        <v>262.47000000000003</v>
      </c>
      <c r="AJ59" s="2893" t="s">
        <v>2818</v>
      </c>
      <c r="AK59" s="2893">
        <v>1171.72</v>
      </c>
      <c r="AL59" s="2893" t="s">
        <v>2818</v>
      </c>
      <c r="AM59" s="2893" t="s">
        <v>2818</v>
      </c>
      <c r="AN59" s="2893" t="s">
        <v>2818</v>
      </c>
      <c r="AO59" s="2893" t="s">
        <v>3221</v>
      </c>
      <c r="AP59" s="2893" t="s">
        <v>2818</v>
      </c>
      <c r="AQ59" s="2893" t="s">
        <v>2818</v>
      </c>
      <c r="AR59" s="2893" t="s">
        <v>2818</v>
      </c>
      <c r="AS59" s="2893" t="s">
        <v>3021</v>
      </c>
    </row>
    <row r="60" spans="1:45" s="2893" customFormat="1">
      <c r="A60" s="2893" t="s">
        <v>3230</v>
      </c>
      <c r="B60" s="2893" t="s">
        <v>3139</v>
      </c>
      <c r="C60" s="2893" t="s">
        <v>3020</v>
      </c>
      <c r="D60" s="2893" t="s">
        <v>3140</v>
      </c>
      <c r="E60" s="2893" t="s">
        <v>2818</v>
      </c>
      <c r="F60" s="2893" t="s">
        <v>3230</v>
      </c>
      <c r="G60" s="2893" t="s">
        <v>3018</v>
      </c>
      <c r="H60" s="2893" t="s">
        <v>3231</v>
      </c>
      <c r="I60" s="2893" t="s">
        <v>3214</v>
      </c>
      <c r="J60" s="2893">
        <v>35655.64</v>
      </c>
      <c r="K60" s="2893">
        <v>164729.1</v>
      </c>
      <c r="L60" s="2893" t="s">
        <v>3232</v>
      </c>
      <c r="M60" s="2893" t="s">
        <v>2818</v>
      </c>
      <c r="N60" s="2893" t="s">
        <v>3233</v>
      </c>
      <c r="O60" s="2893" t="s">
        <v>2818</v>
      </c>
      <c r="P60" s="2893" t="s">
        <v>2818</v>
      </c>
      <c r="Q60" s="2893" t="s">
        <v>2818</v>
      </c>
      <c r="R60" s="2893" t="s">
        <v>2818</v>
      </c>
      <c r="S60" s="2893" t="s">
        <v>2818</v>
      </c>
      <c r="T60" s="2893" t="s">
        <v>2818</v>
      </c>
      <c r="U60" s="2893" t="s">
        <v>2818</v>
      </c>
      <c r="V60" s="2893" t="s">
        <v>2818</v>
      </c>
      <c r="W60" s="2893" t="s">
        <v>3181</v>
      </c>
      <c r="X60" s="2893" t="s">
        <v>3234</v>
      </c>
      <c r="Y60" s="2893" t="s">
        <v>3235</v>
      </c>
      <c r="Z60" s="2893" t="s">
        <v>3236</v>
      </c>
      <c r="AA60" s="2893" t="s">
        <v>3236</v>
      </c>
      <c r="AB60" s="2893" t="s">
        <v>3237</v>
      </c>
      <c r="AC60" s="2893" t="s">
        <v>3152</v>
      </c>
      <c r="AD60" s="2893" t="s">
        <v>3238</v>
      </c>
      <c r="AE60" s="2893">
        <v>5500</v>
      </c>
      <c r="AF60" s="2893" t="s">
        <v>2818</v>
      </c>
      <c r="AG60" s="2893">
        <v>56418.58</v>
      </c>
      <c r="AH60" s="2893" t="s">
        <v>2818</v>
      </c>
      <c r="AI60" s="2893">
        <v>1054.8800000000001</v>
      </c>
      <c r="AJ60" s="2893" t="s">
        <v>2818</v>
      </c>
      <c r="AK60" s="2893">
        <v>3424.92</v>
      </c>
      <c r="AL60" s="2893" t="s">
        <v>2818</v>
      </c>
      <c r="AM60" s="2893" t="s">
        <v>2818</v>
      </c>
      <c r="AN60" s="2893" t="s">
        <v>2818</v>
      </c>
      <c r="AO60" s="2893" t="s">
        <v>3221</v>
      </c>
      <c r="AP60" s="2893" t="s">
        <v>2818</v>
      </c>
      <c r="AQ60" s="2893" t="s">
        <v>2818</v>
      </c>
      <c r="AR60" s="2893" t="s">
        <v>2818</v>
      </c>
      <c r="AS60" s="2893" t="s">
        <v>3019</v>
      </c>
    </row>
    <row r="61" spans="1:45" s="2893" customFormat="1">
      <c r="A61" s="2893" t="s">
        <v>3239</v>
      </c>
      <c r="B61" s="2893" t="s">
        <v>3139</v>
      </c>
      <c r="C61" s="2893" t="s">
        <v>3020</v>
      </c>
      <c r="D61" s="2893" t="s">
        <v>3140</v>
      </c>
      <c r="E61" s="2893" t="s">
        <v>2818</v>
      </c>
      <c r="F61" s="2893" t="s">
        <v>3239</v>
      </c>
      <c r="G61" s="2893" t="s">
        <v>3018</v>
      </c>
      <c r="H61" s="2893" t="s">
        <v>3240</v>
      </c>
      <c r="I61" s="2893" t="s">
        <v>3214</v>
      </c>
      <c r="J61" s="2893">
        <v>11097.4</v>
      </c>
      <c r="K61" s="2893">
        <v>75906.22</v>
      </c>
      <c r="L61" s="2893" t="s">
        <v>3241</v>
      </c>
      <c r="M61" s="2893" t="s">
        <v>2818</v>
      </c>
      <c r="N61" s="2893" t="s">
        <v>3242</v>
      </c>
      <c r="O61" s="2893" t="s">
        <v>2818</v>
      </c>
      <c r="P61" s="2893" t="s">
        <v>2818</v>
      </c>
      <c r="Q61" s="2893" t="s">
        <v>2818</v>
      </c>
      <c r="R61" s="2893" t="s">
        <v>2818</v>
      </c>
      <c r="S61" s="2893" t="s">
        <v>2818</v>
      </c>
      <c r="T61" s="2893" t="s">
        <v>2818</v>
      </c>
      <c r="U61" s="2893" t="s">
        <v>2818</v>
      </c>
      <c r="V61" s="2893" t="s">
        <v>2818</v>
      </c>
      <c r="W61" s="2893" t="s">
        <v>3181</v>
      </c>
      <c r="X61" s="2893" t="s">
        <v>3243</v>
      </c>
      <c r="Y61" s="2893" t="s">
        <v>3244</v>
      </c>
      <c r="Z61" s="2893" t="s">
        <v>3245</v>
      </c>
      <c r="AA61" s="2893" t="s">
        <v>3245</v>
      </c>
      <c r="AB61" s="2893" t="s">
        <v>3246</v>
      </c>
      <c r="AC61" s="2893" t="s">
        <v>3152</v>
      </c>
      <c r="AD61" s="2893" t="s">
        <v>3247</v>
      </c>
      <c r="AE61" s="2893">
        <v>2500</v>
      </c>
      <c r="AF61" s="2893">
        <v>8330</v>
      </c>
      <c r="AG61" s="2893">
        <v>8330</v>
      </c>
      <c r="AH61" s="2893">
        <v>500.42</v>
      </c>
      <c r="AI61" s="2893">
        <v>500.42</v>
      </c>
      <c r="AJ61" s="2893">
        <v>1097.4000000000001</v>
      </c>
      <c r="AK61" s="2893">
        <v>1097.4100000000001</v>
      </c>
      <c r="AL61" s="2893" t="s">
        <v>2818</v>
      </c>
      <c r="AM61" s="2893" t="s">
        <v>2818</v>
      </c>
      <c r="AN61" s="2893">
        <v>0</v>
      </c>
      <c r="AO61" s="2893" t="s">
        <v>3221</v>
      </c>
      <c r="AP61" s="2893" t="s">
        <v>2818</v>
      </c>
      <c r="AQ61" s="2893" t="s">
        <v>2818</v>
      </c>
      <c r="AR61" s="2893" t="s">
        <v>2818</v>
      </c>
      <c r="AS61" s="2893" t="s">
        <v>3019</v>
      </c>
    </row>
    <row r="62" spans="1:45" s="2893" customFormat="1">
      <c r="A62" s="2893" t="s">
        <v>3248</v>
      </c>
      <c r="B62" s="2893" t="s">
        <v>3139</v>
      </c>
      <c r="C62" s="2893" t="s">
        <v>3017</v>
      </c>
      <c r="D62" s="2893" t="s">
        <v>3140</v>
      </c>
      <c r="E62" s="2893" t="s">
        <v>2818</v>
      </c>
      <c r="F62" s="2893" t="s">
        <v>3248</v>
      </c>
      <c r="G62" s="2893" t="s">
        <v>3018</v>
      </c>
      <c r="H62" s="2893" t="s">
        <v>3249</v>
      </c>
      <c r="I62" s="2893" t="s">
        <v>3250</v>
      </c>
      <c r="J62" s="2893">
        <v>100127.9</v>
      </c>
      <c r="K62" s="2893">
        <v>337831.5</v>
      </c>
      <c r="L62" s="2893" t="s">
        <v>3251</v>
      </c>
      <c r="M62" s="2893" t="s">
        <v>2818</v>
      </c>
      <c r="N62" s="2893" t="s">
        <v>3252</v>
      </c>
      <c r="O62" s="2893" t="s">
        <v>2818</v>
      </c>
      <c r="P62" s="2893" t="s">
        <v>3253</v>
      </c>
      <c r="Q62" s="2893" t="s">
        <v>2818</v>
      </c>
      <c r="R62" s="2893" t="s">
        <v>2818</v>
      </c>
      <c r="S62" s="2893" t="s">
        <v>2818</v>
      </c>
      <c r="T62" s="2893" t="s">
        <v>3254</v>
      </c>
      <c r="U62" s="2893" t="s">
        <v>3255</v>
      </c>
      <c r="V62" s="2893" t="s">
        <v>2818</v>
      </c>
      <c r="W62" s="2893" t="s">
        <v>3181</v>
      </c>
      <c r="X62" s="2893" t="s">
        <v>3256</v>
      </c>
      <c r="Y62" s="2893" t="s">
        <v>3257</v>
      </c>
      <c r="Z62" s="2893" t="s">
        <v>3258</v>
      </c>
      <c r="AA62" s="2893" t="s">
        <v>3258</v>
      </c>
      <c r="AB62" s="2893" t="s">
        <v>3259</v>
      </c>
      <c r="AC62" s="2893" t="s">
        <v>3152</v>
      </c>
      <c r="AD62" s="2893" t="s">
        <v>3260</v>
      </c>
      <c r="AE62" s="2893">
        <v>6500</v>
      </c>
      <c r="AF62" s="2893">
        <v>31480</v>
      </c>
      <c r="AG62" s="2893">
        <v>31480</v>
      </c>
      <c r="AH62" s="2893">
        <v>209.6</v>
      </c>
      <c r="AI62" s="2893">
        <v>209.6</v>
      </c>
      <c r="AJ62" s="2893">
        <v>931.82</v>
      </c>
      <c r="AK62" s="2893">
        <v>931.83</v>
      </c>
      <c r="AL62" s="2893" t="s">
        <v>2818</v>
      </c>
      <c r="AM62" s="2893" t="s">
        <v>2818</v>
      </c>
      <c r="AN62" s="2893">
        <v>0</v>
      </c>
      <c r="AO62" s="2893" t="s">
        <v>3261</v>
      </c>
      <c r="AP62" s="2893" t="s">
        <v>2818</v>
      </c>
      <c r="AQ62" s="2893" t="s">
        <v>2818</v>
      </c>
      <c r="AR62" s="2893" t="s">
        <v>2818</v>
      </c>
      <c r="AS62" s="2893" t="s">
        <v>3155</v>
      </c>
    </row>
    <row r="63" spans="1:45" s="2893" customFormat="1">
      <c r="A63" s="2893" t="s">
        <v>3248</v>
      </c>
      <c r="B63" s="2893" t="s">
        <v>3139</v>
      </c>
      <c r="C63" s="2893" t="s">
        <v>3017</v>
      </c>
      <c r="D63" s="2893" t="s">
        <v>3140</v>
      </c>
      <c r="E63" s="2893" t="s">
        <v>2818</v>
      </c>
      <c r="F63" s="2893" t="s">
        <v>3248</v>
      </c>
      <c r="G63" s="2893" t="s">
        <v>3018</v>
      </c>
      <c r="H63" s="2893" t="s">
        <v>3262</v>
      </c>
      <c r="I63" s="2893" t="s">
        <v>3250</v>
      </c>
      <c r="J63" s="2893">
        <v>76697.179999999993</v>
      </c>
      <c r="K63" s="2893">
        <v>257319</v>
      </c>
      <c r="L63" s="2893" t="s">
        <v>3263</v>
      </c>
      <c r="M63" s="2893" t="s">
        <v>2818</v>
      </c>
      <c r="N63" s="2893" t="s">
        <v>3264</v>
      </c>
      <c r="O63" s="2893" t="s">
        <v>2818</v>
      </c>
      <c r="P63" s="2893" t="s">
        <v>3253</v>
      </c>
      <c r="Q63" s="2893" t="s">
        <v>2818</v>
      </c>
      <c r="R63" s="2893" t="s">
        <v>2818</v>
      </c>
      <c r="S63" s="2893" t="s">
        <v>2818</v>
      </c>
      <c r="T63" s="2893" t="s">
        <v>3254</v>
      </c>
      <c r="U63" s="2893" t="s">
        <v>3255</v>
      </c>
      <c r="V63" s="2893" t="s">
        <v>2818</v>
      </c>
      <c r="W63" s="2893" t="s">
        <v>3181</v>
      </c>
      <c r="X63" s="2893" t="s">
        <v>3256</v>
      </c>
      <c r="Y63" s="2893" t="s">
        <v>3257</v>
      </c>
      <c r="Z63" s="2893" t="s">
        <v>3258</v>
      </c>
      <c r="AA63" s="2893" t="s">
        <v>3258</v>
      </c>
      <c r="AB63" s="2893" t="s">
        <v>3265</v>
      </c>
      <c r="AC63" s="2893" t="s">
        <v>3152</v>
      </c>
      <c r="AD63" s="2893" t="s">
        <v>3260</v>
      </c>
      <c r="AE63" s="2893">
        <v>5000</v>
      </c>
      <c r="AF63" s="2893">
        <v>24060</v>
      </c>
      <c r="AG63" s="2893">
        <v>24060</v>
      </c>
      <c r="AH63" s="2893">
        <v>209.13</v>
      </c>
      <c r="AI63" s="2893">
        <v>209.13</v>
      </c>
      <c r="AJ63" s="2893">
        <v>935.02</v>
      </c>
      <c r="AK63" s="2893">
        <v>935.02</v>
      </c>
      <c r="AL63" s="2893" t="s">
        <v>2818</v>
      </c>
      <c r="AM63" s="2893" t="s">
        <v>2818</v>
      </c>
      <c r="AN63" s="2893">
        <v>0</v>
      </c>
      <c r="AO63" s="2893" t="s">
        <v>3261</v>
      </c>
      <c r="AP63" s="2893" t="s">
        <v>2818</v>
      </c>
      <c r="AQ63" s="2893" t="s">
        <v>2818</v>
      </c>
      <c r="AR63" s="2893" t="s">
        <v>2818</v>
      </c>
      <c r="AS63" s="2893" t="s">
        <v>3155</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193" t="str">
        <f>项目基本情况!B1</f>
        <v>陕西省西安市电子城街道办事处北沈家桥出让国有建设用地使用权抵押价格预评估</v>
      </c>
      <c r="C37" s="3193"/>
      <c r="D37" s="3193"/>
      <c r="E37" s="3193"/>
      <c r="F37" s="3193"/>
      <c r="G37" s="3193"/>
      <c r="H37" s="3193"/>
      <c r="I37" s="3193"/>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J54" sqref="J54"/>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2652</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60916</v>
      </c>
      <c r="D13" s="451"/>
      <c r="E13" s="365"/>
      <c r="F13" s="452"/>
      <c r="G13" s="444"/>
      <c r="H13" s="447"/>
      <c r="I13" s="447"/>
      <c r="J13" s="447"/>
      <c r="K13" s="448"/>
    </row>
    <row r="14" spans="1:41" s="2100" customFormat="1" ht="13.5" customHeight="1">
      <c r="A14" s="1617" t="s">
        <v>1849</v>
      </c>
      <c r="B14" s="449" t="s">
        <v>480</v>
      </c>
      <c r="C14" s="53">
        <f ca="1">ROUND(C13*F14,0)</f>
        <v>1827</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2025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4114</v>
      </c>
      <c r="D16" s="451">
        <f ca="1">IF(B1="",'数据-汇总表'!E3,INDIRECT("'数据-取费表'!K"&amp;$K$1)+INDIRECT("'数据-取费表'!S"&amp;$K$1))</f>
        <v>205689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914</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69796</v>
      </c>
      <c r="D18" s="461"/>
      <c r="E18" s="462"/>
      <c r="F18" s="462"/>
      <c r="G18" s="1322" t="s">
        <v>2432</v>
      </c>
      <c r="H18" s="447"/>
      <c r="I18" s="447"/>
      <c r="J18" s="447"/>
      <c r="K18" s="448"/>
    </row>
    <row r="19" spans="1:14" s="2103" customFormat="1" ht="13.5" customHeight="1">
      <c r="A19" s="1618" t="s">
        <v>1854</v>
      </c>
      <c r="B19" s="459" t="s">
        <v>493</v>
      </c>
      <c r="C19" s="460">
        <f ca="1">ROUND(C18*F19,0)</f>
        <v>1396</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9">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5132</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5132</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1" t="s">
        <v>2832</v>
      </c>
      <c r="C24" s="478">
        <f ca="1">C25</f>
        <v>9255</v>
      </c>
      <c r="D24" s="489">
        <f ca="1">C26</f>
        <v>2.5999999999999999E-3</v>
      </c>
      <c r="E24" s="469" t="s">
        <v>507</v>
      </c>
      <c r="F24" s="479">
        <f ca="1">IF(B1="",'数据-取费表'!Q16,INDIRECT("'数据-取费表'!q"&amp;$K$1))</f>
        <v>0.13</v>
      </c>
      <c r="G24" s="444"/>
      <c r="H24" s="447"/>
      <c r="I24" s="447"/>
      <c r="J24" s="447"/>
      <c r="K24" s="448"/>
    </row>
    <row r="25" spans="1:14" s="2104" customFormat="1" ht="13.5" customHeight="1">
      <c r="A25" s="1617" t="s">
        <v>1848</v>
      </c>
      <c r="B25" s="1323" t="s">
        <v>2436</v>
      </c>
      <c r="C25" s="490">
        <f ca="1">ROUND((C18+C19)*F24,0)</f>
        <v>9255</v>
      </c>
      <c r="D25" s="472"/>
      <c r="E25" s="473"/>
      <c r="F25" s="480"/>
      <c r="G25" s="1321" t="s">
        <v>2433</v>
      </c>
      <c r="H25" s="457"/>
      <c r="I25" s="457"/>
      <c r="J25" s="457"/>
      <c r="K25" s="458"/>
    </row>
    <row r="26" spans="1:14" s="2104" customFormat="1" ht="13.5" customHeight="1">
      <c r="A26" s="1617" t="s">
        <v>1849</v>
      </c>
      <c r="B26" s="1323" t="s">
        <v>509</v>
      </c>
      <c r="C26" s="491">
        <f ca="1">ROUND(F20*F24,4)</f>
        <v>2.5999999999999999E-3</v>
      </c>
      <c r="D26" s="472"/>
      <c r="E26" s="481"/>
      <c r="F26" s="480"/>
      <c r="G26" s="1321" t="s">
        <v>510</v>
      </c>
      <c r="H26" s="457"/>
      <c r="I26" s="457"/>
      <c r="J26" s="457"/>
      <c r="K26" s="458"/>
    </row>
    <row r="27" spans="1:14" s="2104" customFormat="1" ht="13.5" customHeight="1">
      <c r="A27" s="1621" t="s">
        <v>1867</v>
      </c>
      <c r="B27" s="459" t="s">
        <v>511</v>
      </c>
      <c r="C27" s="2980">
        <f>ROUND(F27/(1+'数据-取费表'!C42),4)</f>
        <v>5.3800000000000001E-2</v>
      </c>
      <c r="D27" s="462" t="s">
        <v>2830</v>
      </c>
      <c r="E27" s="462"/>
      <c r="F27" s="466">
        <f>'数据-取费表'!B41</f>
        <v>5.6500000000000002E-2</v>
      </c>
      <c r="G27" s="1944" t="s">
        <v>2291</v>
      </c>
      <c r="H27" s="447"/>
      <c r="I27" s="447"/>
      <c r="J27" s="447"/>
      <c r="K27" s="448"/>
    </row>
    <row r="28" spans="1:14" s="2105" customFormat="1" ht="13.5" customHeight="1">
      <c r="A28" s="1621" t="s">
        <v>1868</v>
      </c>
      <c r="B28" s="476" t="s">
        <v>512</v>
      </c>
      <c r="C28" s="470">
        <f ca="1">ROUND((C18+C19+C21+C24)/(1-C20-D21-D24-C27),0)</f>
        <v>92799</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5.6500000000000002E-2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70" zoomScaleNormal="95" zoomScaleSheetLayoutView="70" workbookViewId="0">
      <selection activeCell="F50" sqref="F50"/>
    </sheetView>
  </sheetViews>
  <sheetFormatPr defaultColWidth="9" defaultRowHeight="13.8"/>
  <cols>
    <col min="1" max="1" width="15.6640625" style="1332" customWidth="1"/>
    <col min="2" max="2" width="15.77734375" style="1332" customWidth="1"/>
    <col min="3" max="3" width="20"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111183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5" t="s">
        <v>1684</v>
      </c>
      <c r="B3" s="510">
        <f>ROUND(B2*10000/'数据-汇总表'!E3,0)</f>
        <v>5405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25231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1682</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67" t="s">
        <v>522</v>
      </c>
      <c r="D6" s="3368"/>
      <c r="E6" s="3367" t="s">
        <v>523</v>
      </c>
      <c r="F6" s="3368"/>
      <c r="G6" s="3367" t="s">
        <v>524</v>
      </c>
      <c r="H6" s="3368"/>
      <c r="I6" s="3367" t="s">
        <v>525</v>
      </c>
      <c r="J6" s="3368"/>
      <c r="K6" s="514" t="s">
        <v>526</v>
      </c>
      <c r="L6" s="2117"/>
      <c r="M6" s="2116"/>
      <c r="N6" s="2116"/>
      <c r="O6" s="2118"/>
      <c r="P6" s="3369" t="s">
        <v>527</v>
      </c>
      <c r="Q6" s="3370"/>
      <c r="R6" s="3375" t="s">
        <v>523</v>
      </c>
      <c r="S6" s="3376"/>
      <c r="T6" s="3375" t="s">
        <v>524</v>
      </c>
      <c r="U6" s="3376"/>
      <c r="V6" s="3362" t="s">
        <v>525</v>
      </c>
      <c r="W6" s="3362"/>
      <c r="X6" s="1552"/>
      <c r="Y6" s="3375" t="s">
        <v>527</v>
      </c>
      <c r="Z6" s="3376"/>
      <c r="AA6" s="3364" t="s">
        <v>523</v>
      </c>
      <c r="AB6" s="3365" t="s">
        <v>524</v>
      </c>
      <c r="AC6" s="3364" t="s">
        <v>525</v>
      </c>
    </row>
    <row r="7" spans="1:30" ht="30.6" customHeight="1">
      <c r="A7" s="515"/>
      <c r="B7" s="516"/>
      <c r="C7" s="3385" t="str">
        <f>项目基本情况!F10</f>
        <v>电子城街道办事处北沈家桥</v>
      </c>
      <c r="D7" s="3384"/>
      <c r="E7" s="3383" t="str">
        <f>土地案例!A52</f>
        <v>雁塔区清凉寺北路以南、东仪路以东、长兴路以西、西部大道以北</v>
      </c>
      <c r="F7" s="3384"/>
      <c r="G7" s="3383" t="str">
        <f>土地案例!A54</f>
        <v>雁塔区雁翔路以东,青龙寺路以南</v>
      </c>
      <c r="H7" s="3384"/>
      <c r="I7" s="3383" t="str">
        <f>土地案例!A55</f>
        <v>雁塔区新安东街以西,青龙寺路以南</v>
      </c>
      <c r="J7" s="3384"/>
      <c r="K7" s="514"/>
      <c r="L7" s="2117"/>
      <c r="M7" s="2116"/>
      <c r="N7" s="2116"/>
      <c r="O7" s="2118"/>
      <c r="P7" s="3371"/>
      <c r="Q7" s="3372"/>
      <c r="R7" s="3377"/>
      <c r="S7" s="3378"/>
      <c r="T7" s="3377"/>
      <c r="U7" s="3378"/>
      <c r="V7" s="3362"/>
      <c r="W7" s="3362"/>
      <c r="X7" s="1552"/>
      <c r="Y7" s="3377"/>
      <c r="Z7" s="3378"/>
      <c r="AA7" s="3365"/>
      <c r="AB7" s="3365"/>
      <c r="AC7" s="3365"/>
    </row>
    <row r="8" spans="1:30" ht="21.6" thickBot="1">
      <c r="A8" s="515"/>
      <c r="B8" s="516"/>
      <c r="C8" s="3381" t="s">
        <v>3266</v>
      </c>
      <c r="D8" s="3382"/>
      <c r="E8" s="3381" t="s">
        <v>3266</v>
      </c>
      <c r="F8" s="3382"/>
      <c r="G8" s="3381" t="s">
        <v>3266</v>
      </c>
      <c r="H8" s="3382"/>
      <c r="I8" s="3381" t="s">
        <v>3266</v>
      </c>
      <c r="J8" s="3382"/>
      <c r="K8" s="514" t="s">
        <v>528</v>
      </c>
      <c r="L8" s="2117"/>
      <c r="M8" s="2116"/>
      <c r="N8" s="2116"/>
      <c r="O8" s="2118"/>
      <c r="P8" s="3373"/>
      <c r="Q8" s="3374"/>
      <c r="R8" s="3377"/>
      <c r="S8" s="3378"/>
      <c r="T8" s="3379"/>
      <c r="U8" s="3380"/>
      <c r="V8" s="3362"/>
      <c r="W8" s="3362"/>
      <c r="X8" s="1552"/>
      <c r="Y8" s="3379"/>
      <c r="Z8" s="3380"/>
      <c r="AA8" s="3366"/>
      <c r="AB8" s="3366"/>
      <c r="AC8" s="3366"/>
    </row>
    <row r="9" spans="1:30" s="1215" customFormat="1" ht="21.6" thickBot="1">
      <c r="A9" s="2866"/>
      <c r="B9" s="2873" t="s">
        <v>529</v>
      </c>
      <c r="C9" s="2865">
        <f>'数据-取费表'!B2</f>
        <v>43776</v>
      </c>
      <c r="D9" s="520">
        <v>100</v>
      </c>
      <c r="E9" s="521" t="str">
        <f>土地案例!AA52</f>
        <v>2018-12-24</v>
      </c>
      <c r="F9" s="522">
        <f>SUMIF(72:72,YEAR(E9)&amp;"-"&amp;INT((MONTH(E9)+2)/3),73:73)</f>
        <v>98</v>
      </c>
      <c r="G9" s="523" t="str">
        <f>土地案例!AA54</f>
        <v>2018-11-07</v>
      </c>
      <c r="H9" s="520">
        <f>SUMIF(72:72,YEAR(G9)&amp;"-"&amp;INT((MONTH(G9)+2)/3),73:73)</f>
        <v>98</v>
      </c>
      <c r="I9" s="523" t="str">
        <f>土地案例!AA55</f>
        <v>2018-11-07</v>
      </c>
      <c r="J9" s="520">
        <f>SUMIF(72:72,YEAR(I9)&amp;"-"&amp;INT((MONTH(I9)+2)/3),73:73)</f>
        <v>98</v>
      </c>
      <c r="K9" s="524"/>
      <c r="L9" s="2119"/>
      <c r="M9" s="2116"/>
      <c r="N9" s="2116"/>
      <c r="O9" s="2120"/>
      <c r="P9" s="3391" t="s">
        <v>530</v>
      </c>
      <c r="Q9" s="3393"/>
      <c r="R9" s="1553" t="s">
        <v>8</v>
      </c>
      <c r="S9" s="1554">
        <f t="shared" ref="S9:S17" si="0">F9</f>
        <v>98</v>
      </c>
      <c r="T9" s="1553" t="s">
        <v>8</v>
      </c>
      <c r="U9" s="1554">
        <f t="shared" ref="U9:U17" si="1">H9</f>
        <v>98</v>
      </c>
      <c r="V9" s="1553" t="s">
        <v>8</v>
      </c>
      <c r="W9" s="1554">
        <f t="shared" ref="W9:W17" si="2">J9</f>
        <v>98</v>
      </c>
      <c r="X9" s="1555"/>
      <c r="Y9" s="3391" t="s">
        <v>530</v>
      </c>
      <c r="Z9" s="3392"/>
      <c r="AA9" s="1556">
        <f>D9/F9</f>
        <v>1.0204081632653061</v>
      </c>
      <c r="AB9" s="1556">
        <f>D9/H9</f>
        <v>1.0204081632653061</v>
      </c>
      <c r="AC9" s="1556">
        <f>D9/J9</f>
        <v>1.0204081632653061</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91" t="s">
        <v>533</v>
      </c>
      <c r="Q10" s="3392"/>
      <c r="R10" s="1553" t="s">
        <v>8</v>
      </c>
      <c r="S10" s="1554">
        <f t="shared" si="0"/>
        <v>100</v>
      </c>
      <c r="T10" s="1553" t="s">
        <v>8</v>
      </c>
      <c r="U10" s="1554">
        <f t="shared" si="1"/>
        <v>100</v>
      </c>
      <c r="V10" s="1553" t="s">
        <v>8</v>
      </c>
      <c r="W10" s="1554">
        <f t="shared" si="2"/>
        <v>100</v>
      </c>
      <c r="X10" s="1555"/>
      <c r="Y10" s="3391" t="s">
        <v>533</v>
      </c>
      <c r="Z10" s="3392"/>
      <c r="AA10" s="1556">
        <f t="shared" ref="AA10:AA47" si="3">D10/F10</f>
        <v>1</v>
      </c>
      <c r="AB10" s="1556">
        <f t="shared" ref="AB10:AB47" si="4">D10/H10</f>
        <v>1</v>
      </c>
      <c r="AC10" s="1556">
        <f t="shared" ref="AC10:AC47" si="5">D10/J10</f>
        <v>1</v>
      </c>
    </row>
    <row r="11" spans="1:30" s="1215" customFormat="1" ht="21">
      <c r="A11" s="2868"/>
      <c r="B11" s="2875" t="s">
        <v>2756</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61" t="s">
        <v>535</v>
      </c>
      <c r="Q11" s="1146" t="str">
        <f t="shared" ref="Q11:Q17" si="6">B11</f>
        <v>用途</v>
      </c>
      <c r="R11" s="1553" t="s">
        <v>8</v>
      </c>
      <c r="S11" s="1554">
        <f t="shared" si="0"/>
        <v>100</v>
      </c>
      <c r="T11" s="1553" t="s">
        <v>8</v>
      </c>
      <c r="U11" s="1554">
        <f t="shared" si="1"/>
        <v>100</v>
      </c>
      <c r="V11" s="1553" t="s">
        <v>8</v>
      </c>
      <c r="W11" s="1554">
        <f t="shared" si="2"/>
        <v>100</v>
      </c>
      <c r="X11" s="1555"/>
      <c r="Y11" s="3307" t="s">
        <v>536</v>
      </c>
      <c r="Z11" s="1145" t="str">
        <f t="shared" ref="Z11:Z17" si="7">Q11</f>
        <v>用途</v>
      </c>
      <c r="AA11" s="1556">
        <f t="shared" si="3"/>
        <v>1</v>
      </c>
      <c r="AB11" s="1556">
        <f t="shared" si="4"/>
        <v>1</v>
      </c>
      <c r="AC11" s="1556">
        <f t="shared" si="5"/>
        <v>1</v>
      </c>
    </row>
    <row r="12" spans="1:30" s="1333" customFormat="1" ht="28.8">
      <c r="A12" s="2869"/>
      <c r="B12" s="2874" t="s">
        <v>2757</v>
      </c>
      <c r="C12" s="909"/>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61"/>
      <c r="Q12" s="1146" t="str">
        <f t="shared" si="6"/>
        <v>土地使用年限（年）</v>
      </c>
      <c r="R12" s="1553" t="s">
        <v>8</v>
      </c>
      <c r="S12" s="1554">
        <f t="shared" si="0"/>
        <v>102</v>
      </c>
      <c r="T12" s="1553" t="s">
        <v>8</v>
      </c>
      <c r="U12" s="1554">
        <f t="shared" si="1"/>
        <v>102</v>
      </c>
      <c r="V12" s="1553" t="s">
        <v>8</v>
      </c>
      <c r="W12" s="1554">
        <f t="shared" si="2"/>
        <v>102</v>
      </c>
      <c r="X12" s="1555"/>
      <c r="Y12" s="3307"/>
      <c r="Z12" s="1145" t="str">
        <f t="shared" si="7"/>
        <v>土地使用年限（年）</v>
      </c>
      <c r="AA12" s="1556">
        <f t="shared" si="3"/>
        <v>0.98039215686274506</v>
      </c>
      <c r="AB12" s="1556">
        <f t="shared" si="4"/>
        <v>0.98039215686274506</v>
      </c>
      <c r="AC12" s="1556">
        <f t="shared" si="5"/>
        <v>0.98039215686274506</v>
      </c>
    </row>
    <row r="13" spans="1:30" ht="21.6" thickBot="1">
      <c r="A13" s="2870"/>
      <c r="B13" s="2874" t="s">
        <v>2758</v>
      </c>
      <c r="C13" s="534">
        <f>'数据-汇总表'!I6</f>
        <v>3.66</v>
      </c>
      <c r="D13" s="255">
        <v>100</v>
      </c>
      <c r="E13" s="533">
        <v>2.8</v>
      </c>
      <c r="F13" s="255">
        <f>LOOKUP(E13,82:82,83:83)-LOOKUP(C13,82:82,83:83)+100</f>
        <v>102</v>
      </c>
      <c r="G13" s="534">
        <v>2.6</v>
      </c>
      <c r="H13" s="255">
        <f>LOOKUP(G13,82:82,83:83)-LOOKUP(C13,82:82,83:83)+100</f>
        <v>102</v>
      </c>
      <c r="I13" s="533">
        <v>2.5</v>
      </c>
      <c r="J13" s="255">
        <f>LOOKUP(I13,82:82,83:83)-LOOKUP(C13,82:82,83:83)+100</f>
        <v>102</v>
      </c>
      <c r="K13" s="535">
        <v>2</v>
      </c>
      <c r="L13" s="2124"/>
      <c r="M13" s="2116"/>
      <c r="N13" s="2116"/>
      <c r="O13" s="2125"/>
      <c r="P13" s="3361"/>
      <c r="Q13" s="1146" t="str">
        <f t="shared" si="6"/>
        <v>容积率</v>
      </c>
      <c r="R13" s="1553" t="s">
        <v>8</v>
      </c>
      <c r="S13" s="1554">
        <f t="shared" si="0"/>
        <v>102</v>
      </c>
      <c r="T13" s="1553" t="s">
        <v>8</v>
      </c>
      <c r="U13" s="1554">
        <f t="shared" si="1"/>
        <v>102</v>
      </c>
      <c r="V13" s="1553" t="s">
        <v>8</v>
      </c>
      <c r="W13" s="1554">
        <f t="shared" si="2"/>
        <v>102</v>
      </c>
      <c r="X13" s="1555"/>
      <c r="Y13" s="3307"/>
      <c r="Z13" s="1145" t="str">
        <f t="shared" si="7"/>
        <v>容积率</v>
      </c>
      <c r="AA13" s="1556">
        <f t="shared" si="3"/>
        <v>0.98039215686274506</v>
      </c>
      <c r="AB13" s="1556">
        <f t="shared" si="4"/>
        <v>0.98039215686274506</v>
      </c>
      <c r="AC13" s="1556">
        <f t="shared" si="5"/>
        <v>0.98039215686274506</v>
      </c>
    </row>
    <row r="14" spans="1:30" s="1215" customFormat="1" ht="21" hidden="1">
      <c r="A14" s="2867"/>
      <c r="B14" s="2876" t="s">
        <v>2759</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61"/>
      <c r="Q14" s="1146" t="str">
        <f t="shared" si="6"/>
        <v>配建</v>
      </c>
      <c r="R14" s="1553" t="s">
        <v>8</v>
      </c>
      <c r="S14" s="1554">
        <f t="shared" si="0"/>
        <v>100</v>
      </c>
      <c r="T14" s="1553" t="s">
        <v>8</v>
      </c>
      <c r="U14" s="1554">
        <f t="shared" si="1"/>
        <v>100</v>
      </c>
      <c r="V14" s="1553" t="s">
        <v>8</v>
      </c>
      <c r="W14" s="1554">
        <f t="shared" si="2"/>
        <v>100</v>
      </c>
      <c r="X14" s="1555"/>
      <c r="Y14" s="3307"/>
      <c r="Z14" s="1145" t="str">
        <f t="shared" si="7"/>
        <v>配建</v>
      </c>
      <c r="AA14" s="1556">
        <f>D14/F14</f>
        <v>1</v>
      </c>
      <c r="AB14" s="1556">
        <f>D14/H14</f>
        <v>1</v>
      </c>
      <c r="AC14" s="1556">
        <f>D14/J14</f>
        <v>1</v>
      </c>
    </row>
    <row r="15" spans="1:30" ht="21"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61"/>
      <c r="Q15" s="1146">
        <f t="shared" si="6"/>
        <v>111</v>
      </c>
      <c r="R15" s="1553" t="s">
        <v>8</v>
      </c>
      <c r="S15" s="1554">
        <f t="shared" si="0"/>
        <v>100</v>
      </c>
      <c r="T15" s="1553" t="s">
        <v>8</v>
      </c>
      <c r="U15" s="1554">
        <f t="shared" si="1"/>
        <v>100</v>
      </c>
      <c r="V15" s="1553" t="s">
        <v>8</v>
      </c>
      <c r="W15" s="1554">
        <f t="shared" si="2"/>
        <v>100</v>
      </c>
      <c r="X15" s="1555"/>
      <c r="Y15" s="3307"/>
      <c r="Z15" s="1145">
        <f t="shared" si="7"/>
        <v>111</v>
      </c>
      <c r="AA15" s="1556">
        <f>D15/F15</f>
        <v>1</v>
      </c>
      <c r="AB15" s="1556">
        <f>D15/H15</f>
        <v>1</v>
      </c>
      <c r="AC15" s="1556">
        <f>D15/J15</f>
        <v>1</v>
      </c>
    </row>
    <row r="16" spans="1:30" ht="21.6"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61"/>
      <c r="Q16" s="1146">
        <f t="shared" si="6"/>
        <v>111</v>
      </c>
      <c r="R16" s="1553" t="s">
        <v>8</v>
      </c>
      <c r="S16" s="1554">
        <f t="shared" si="0"/>
        <v>100</v>
      </c>
      <c r="T16" s="1553" t="s">
        <v>8</v>
      </c>
      <c r="U16" s="1554">
        <f t="shared" si="1"/>
        <v>100</v>
      </c>
      <c r="V16" s="1553" t="s">
        <v>8</v>
      </c>
      <c r="W16" s="1554">
        <f t="shared" si="2"/>
        <v>100</v>
      </c>
      <c r="X16" s="1555"/>
      <c r="Y16" s="3307"/>
      <c r="Z16" s="1145">
        <f t="shared" si="7"/>
        <v>111</v>
      </c>
      <c r="AA16" s="1556">
        <f>D16/F16</f>
        <v>1</v>
      </c>
      <c r="AB16" s="1556">
        <f>D16/H16</f>
        <v>1</v>
      </c>
      <c r="AC16" s="1556">
        <f>D16/J16</f>
        <v>1</v>
      </c>
    </row>
    <row r="17" spans="1:29" ht="21">
      <c r="A17" s="2864" t="s">
        <v>2754</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2</v>
      </c>
      <c r="L17" s="2126"/>
      <c r="M17" s="2116"/>
      <c r="N17" s="2116"/>
      <c r="O17" s="2125"/>
      <c r="P17" s="3394" t="s">
        <v>540</v>
      </c>
      <c r="Q17" s="1557" t="str">
        <f t="shared" si="6"/>
        <v>居住社区成熟度</v>
      </c>
      <c r="R17" s="1558" t="s">
        <v>8</v>
      </c>
      <c r="S17" s="1559">
        <f t="shared" si="0"/>
        <v>100</v>
      </c>
      <c r="T17" s="1558" t="s">
        <v>8</v>
      </c>
      <c r="U17" s="1559">
        <f t="shared" si="1"/>
        <v>100</v>
      </c>
      <c r="V17" s="1558" t="s">
        <v>8</v>
      </c>
      <c r="W17" s="1559">
        <f t="shared" si="2"/>
        <v>100</v>
      </c>
      <c r="X17" s="1552"/>
      <c r="Y17" s="3394" t="s">
        <v>540</v>
      </c>
      <c r="Z17" s="1560" t="str">
        <f t="shared" si="7"/>
        <v>居住社区成熟度</v>
      </c>
      <c r="AA17" s="1561">
        <f t="shared" si="3"/>
        <v>1</v>
      </c>
      <c r="AB17" s="1561">
        <f t="shared" si="4"/>
        <v>1</v>
      </c>
      <c r="AC17" s="1561">
        <f t="shared" si="5"/>
        <v>1</v>
      </c>
    </row>
    <row r="18" spans="1:29" ht="21">
      <c r="A18" s="532"/>
      <c r="B18" s="553"/>
      <c r="C18" s="554" t="s">
        <v>3030</v>
      </c>
      <c r="D18" s="557"/>
      <c r="E18" s="554" t="s">
        <v>3030</v>
      </c>
      <c r="F18" s="555"/>
      <c r="G18" s="554" t="s">
        <v>3030</v>
      </c>
      <c r="H18" s="559"/>
      <c r="I18" s="554" t="s">
        <v>3030</v>
      </c>
      <c r="J18" s="555"/>
      <c r="K18" s="531"/>
      <c r="L18" s="2126"/>
      <c r="M18" s="2116"/>
      <c r="N18" s="2116"/>
      <c r="O18" s="2125"/>
      <c r="P18" s="3395"/>
      <c r="Q18" s="1557"/>
      <c r="R18" s="1558"/>
      <c r="S18" s="1559"/>
      <c r="T18" s="1558"/>
      <c r="U18" s="1559"/>
      <c r="V18" s="1558"/>
      <c r="W18" s="1559"/>
      <c r="X18" s="1552"/>
      <c r="Y18" s="3395"/>
      <c r="Z18" s="1560"/>
      <c r="AA18" s="1561">
        <v>1</v>
      </c>
      <c r="AB18" s="1561">
        <v>1</v>
      </c>
      <c r="AC18" s="1561">
        <v>1</v>
      </c>
    </row>
    <row r="19" spans="1:29" ht="21" hidden="1">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95"/>
      <c r="Q19" s="1557" t="str">
        <f>B19</f>
        <v>商业繁华度</v>
      </c>
      <c r="R19" s="1558" t="s">
        <v>8</v>
      </c>
      <c r="S19" s="1559">
        <f>F19</f>
        <v>100</v>
      </c>
      <c r="T19" s="1558" t="s">
        <v>8</v>
      </c>
      <c r="U19" s="1559">
        <f>H19</f>
        <v>100</v>
      </c>
      <c r="V19" s="1558" t="s">
        <v>8</v>
      </c>
      <c r="W19" s="1559">
        <f>J19</f>
        <v>100</v>
      </c>
      <c r="X19" s="1552"/>
      <c r="Y19" s="3395"/>
      <c r="Z19" s="1560" t="str">
        <f>Q19</f>
        <v>商业繁华度</v>
      </c>
      <c r="AA19" s="1561">
        <f t="shared" si="3"/>
        <v>1</v>
      </c>
      <c r="AB19" s="1561">
        <f t="shared" si="4"/>
        <v>1</v>
      </c>
      <c r="AC19" s="1561">
        <f t="shared" si="5"/>
        <v>1</v>
      </c>
    </row>
    <row r="20" spans="1:29" ht="21" hidden="1">
      <c r="A20" s="532"/>
      <c r="B20" s="566"/>
      <c r="C20" s="567"/>
      <c r="D20" s="563"/>
      <c r="E20" s="569"/>
      <c r="F20" s="559"/>
      <c r="G20" s="568"/>
      <c r="H20" s="555"/>
      <c r="I20" s="569"/>
      <c r="J20" s="555"/>
      <c r="K20" s="531"/>
      <c r="L20" s="2126"/>
      <c r="M20" s="2116"/>
      <c r="N20" s="2116"/>
      <c r="O20" s="2125"/>
      <c r="P20" s="3395"/>
      <c r="Q20" s="1557"/>
      <c r="R20" s="1558"/>
      <c r="S20" s="1559"/>
      <c r="T20" s="1558"/>
      <c r="U20" s="1559"/>
      <c r="V20" s="1558"/>
      <c r="W20" s="1559"/>
      <c r="X20" s="1552"/>
      <c r="Y20" s="3395"/>
      <c r="Z20" s="1560"/>
      <c r="AA20" s="1561">
        <v>1</v>
      </c>
      <c r="AB20" s="1561">
        <v>1</v>
      </c>
      <c r="AC20" s="1561">
        <v>1</v>
      </c>
    </row>
    <row r="21" spans="1:29" ht="21" hidden="1">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5"/>
      <c r="Q21" s="1557" t="str">
        <f>B21</f>
        <v>办公集聚程度</v>
      </c>
      <c r="R21" s="1558" t="s">
        <v>8</v>
      </c>
      <c r="S21" s="1559">
        <f>F21</f>
        <v>100</v>
      </c>
      <c r="T21" s="1558" t="s">
        <v>8</v>
      </c>
      <c r="U21" s="1559">
        <f>H21</f>
        <v>100</v>
      </c>
      <c r="V21" s="1558" t="s">
        <v>8</v>
      </c>
      <c r="W21" s="1559">
        <f>J21</f>
        <v>100</v>
      </c>
      <c r="X21" s="1552"/>
      <c r="Y21" s="3395"/>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395"/>
      <c r="Q22" s="1557"/>
      <c r="R22" s="1558"/>
      <c r="S22" s="1559"/>
      <c r="T22" s="1558"/>
      <c r="U22" s="1559"/>
      <c r="V22" s="1558"/>
      <c r="W22" s="1559"/>
      <c r="X22" s="1552"/>
      <c r="Y22" s="3395"/>
      <c r="Z22" s="1560"/>
      <c r="AA22" s="1561">
        <v>1</v>
      </c>
      <c r="AB22" s="1561">
        <v>1</v>
      </c>
      <c r="AC22" s="1561">
        <v>1</v>
      </c>
    </row>
    <row r="23" spans="1:29" ht="21">
      <c r="A23" s="532"/>
      <c r="B23" s="560" t="s">
        <v>543</v>
      </c>
      <c r="C23" s="573" t="str">
        <f>估价对象房地状况!C18</f>
        <v>较好</v>
      </c>
      <c r="D23" s="563">
        <v>100</v>
      </c>
      <c r="E23" s="564"/>
      <c r="F23" s="565">
        <f>SUMIF(96:96,E24,97:97)-SUMIF(96:96,C24,97:97)+100</f>
        <v>95</v>
      </c>
      <c r="G23" s="562"/>
      <c r="H23" s="559">
        <f>SUMIF(96:96,G24,97:97)-SUMIF(96:96,C24,97:97)+100</f>
        <v>105</v>
      </c>
      <c r="I23" s="564"/>
      <c r="J23" s="559">
        <f>SUMIF(96:96,I24,97:97)-SUMIF(96:96,C24,97:97)+100</f>
        <v>105</v>
      </c>
      <c r="K23" s="535">
        <v>5</v>
      </c>
      <c r="L23" s="2126"/>
      <c r="M23" s="2116"/>
      <c r="N23" s="2116"/>
      <c r="O23" s="2125"/>
      <c r="P23" s="3395"/>
      <c r="Q23" s="1557" t="str">
        <f>B23</f>
        <v>交通便捷度</v>
      </c>
      <c r="R23" s="1558" t="s">
        <v>8</v>
      </c>
      <c r="S23" s="1559">
        <f>F23</f>
        <v>95</v>
      </c>
      <c r="T23" s="1558" t="s">
        <v>8</v>
      </c>
      <c r="U23" s="1559">
        <f>H23</f>
        <v>105</v>
      </c>
      <c r="V23" s="1558" t="s">
        <v>8</v>
      </c>
      <c r="W23" s="1559">
        <f>J23</f>
        <v>105</v>
      </c>
      <c r="X23" s="1552"/>
      <c r="Y23" s="3395"/>
      <c r="Z23" s="1560" t="str">
        <f>Q23</f>
        <v>交通便捷度</v>
      </c>
      <c r="AA23" s="1561">
        <f t="shared" si="3"/>
        <v>1.0526315789473684</v>
      </c>
      <c r="AB23" s="1561">
        <f t="shared" si="4"/>
        <v>0.95238095238095233</v>
      </c>
      <c r="AC23" s="1561">
        <f t="shared" si="5"/>
        <v>0.95238095238095233</v>
      </c>
    </row>
    <row r="24" spans="1:29" ht="21">
      <c r="A24" s="532"/>
      <c r="B24" s="578"/>
      <c r="C24" s="554" t="s">
        <v>3030</v>
      </c>
      <c r="D24" s="557"/>
      <c r="E24" s="558" t="s">
        <v>3032</v>
      </c>
      <c r="F24" s="555"/>
      <c r="G24" s="554" t="s">
        <v>3267</v>
      </c>
      <c r="H24" s="555"/>
      <c r="I24" s="554" t="s">
        <v>3267</v>
      </c>
      <c r="J24" s="555"/>
      <c r="K24" s="531"/>
      <c r="L24" s="2126"/>
      <c r="M24" s="2116"/>
      <c r="N24" s="2116"/>
      <c r="O24" s="2125"/>
      <c r="P24" s="3395"/>
      <c r="Q24" s="1557"/>
      <c r="R24" s="1558"/>
      <c r="S24" s="1559"/>
      <c r="T24" s="1558"/>
      <c r="U24" s="1559"/>
      <c r="V24" s="1558"/>
      <c r="W24" s="1559"/>
      <c r="X24" s="1552"/>
      <c r="Y24" s="3395"/>
      <c r="Z24" s="1560"/>
      <c r="AA24" s="1561">
        <v>1</v>
      </c>
      <c r="AB24" s="1561">
        <v>1</v>
      </c>
      <c r="AC24" s="1561">
        <v>1</v>
      </c>
    </row>
    <row r="25" spans="1:29" ht="28.8">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5"/>
      <c r="Q25" s="1557" t="str">
        <f t="shared" ref="Q25:Q39" si="8">B25</f>
        <v>区域土地利用方向</v>
      </c>
      <c r="R25" s="1558" t="s">
        <v>8</v>
      </c>
      <c r="S25" s="1559">
        <f>F25</f>
        <v>100</v>
      </c>
      <c r="T25" s="1558" t="s">
        <v>8</v>
      </c>
      <c r="U25" s="1559">
        <f>H25</f>
        <v>100</v>
      </c>
      <c r="V25" s="1558" t="s">
        <v>8</v>
      </c>
      <c r="W25" s="1559">
        <f>J25</f>
        <v>100</v>
      </c>
      <c r="X25" s="1552"/>
      <c r="Y25" s="3395"/>
      <c r="Z25" s="1560" t="str">
        <f>Q25</f>
        <v>区域土地利用方向</v>
      </c>
      <c r="AA25" s="1561">
        <f t="shared" si="3"/>
        <v>1</v>
      </c>
      <c r="AB25" s="1561">
        <f t="shared" si="4"/>
        <v>1</v>
      </c>
      <c r="AC25" s="1561">
        <f t="shared" si="5"/>
        <v>1</v>
      </c>
    </row>
    <row r="26" spans="1:29" ht="21">
      <c r="A26" s="515"/>
      <c r="B26" s="1006"/>
      <c r="C26" s="554" t="s">
        <v>3030</v>
      </c>
      <c r="D26" s="557"/>
      <c r="E26" s="554" t="s">
        <v>3030</v>
      </c>
      <c r="F26" s="555"/>
      <c r="G26" s="554" t="s">
        <v>3030</v>
      </c>
      <c r="H26" s="555"/>
      <c r="I26" s="554" t="s">
        <v>3030</v>
      </c>
      <c r="J26" s="555"/>
      <c r="K26" s="531"/>
      <c r="L26" s="2126"/>
      <c r="M26" s="2116"/>
      <c r="N26" s="2116"/>
      <c r="O26" s="2125"/>
      <c r="P26" s="3395"/>
      <c r="Q26" s="1557"/>
      <c r="R26" s="1558"/>
      <c r="S26" s="1559"/>
      <c r="T26" s="1558"/>
      <c r="U26" s="1559"/>
      <c r="V26" s="1558"/>
      <c r="W26" s="1559"/>
      <c r="X26" s="1552"/>
      <c r="Y26" s="3395"/>
      <c r="Z26" s="1560"/>
      <c r="AA26" s="1561"/>
      <c r="AB26" s="1561"/>
      <c r="AC26" s="1561"/>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95"/>
      <c r="Q27" s="1557" t="str">
        <f t="shared" si="8"/>
        <v>自然及人文环境状况</v>
      </c>
      <c r="R27" s="1558" t="s">
        <v>8</v>
      </c>
      <c r="S27" s="1559">
        <f>F27</f>
        <v>100</v>
      </c>
      <c r="T27" s="1558" t="s">
        <v>8</v>
      </c>
      <c r="U27" s="1559">
        <f>H27</f>
        <v>100</v>
      </c>
      <c r="V27" s="1558" t="s">
        <v>8</v>
      </c>
      <c r="W27" s="1559">
        <f>J27</f>
        <v>100</v>
      </c>
      <c r="X27" s="1552"/>
      <c r="Y27" s="3395"/>
      <c r="Z27" s="1560" t="str">
        <f>Q27</f>
        <v>自然及人文环境状况</v>
      </c>
      <c r="AA27" s="1561">
        <f t="shared" si="3"/>
        <v>1</v>
      </c>
      <c r="AB27" s="1561">
        <f t="shared" si="4"/>
        <v>1</v>
      </c>
      <c r="AC27" s="1561">
        <f t="shared" si="5"/>
        <v>1</v>
      </c>
    </row>
    <row r="28" spans="1:29" ht="21">
      <c r="A28" s="515"/>
      <c r="B28" s="566"/>
      <c r="C28" s="554" t="s">
        <v>3030</v>
      </c>
      <c r="D28" s="557"/>
      <c r="E28" s="554" t="s">
        <v>3030</v>
      </c>
      <c r="F28" s="555"/>
      <c r="G28" s="554" t="s">
        <v>3030</v>
      </c>
      <c r="H28" s="555"/>
      <c r="I28" s="554" t="s">
        <v>3030</v>
      </c>
      <c r="J28" s="555"/>
      <c r="K28" s="531"/>
      <c r="L28" s="2126"/>
      <c r="M28" s="2116"/>
      <c r="N28" s="2116"/>
      <c r="O28" s="2125"/>
      <c r="P28" s="3395"/>
      <c r="Q28" s="1557"/>
      <c r="R28" s="1558"/>
      <c r="S28" s="1559"/>
      <c r="T28" s="1558"/>
      <c r="U28" s="1559"/>
      <c r="V28" s="1558"/>
      <c r="W28" s="1559"/>
      <c r="X28" s="1552"/>
      <c r="Y28" s="3395"/>
      <c r="Z28" s="1560"/>
      <c r="AA28" s="1561">
        <v>1</v>
      </c>
      <c r="AB28" s="1561">
        <v>1</v>
      </c>
      <c r="AC28" s="1561">
        <v>1</v>
      </c>
    </row>
    <row r="29" spans="1:29" s="1215" customFormat="1" ht="21">
      <c r="A29" s="577"/>
      <c r="B29" s="2554"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19"/>
      <c r="M29" s="2116"/>
      <c r="N29" s="2116"/>
      <c r="O29" s="2121"/>
      <c r="P29" s="3395"/>
      <c r="Q29" s="1146" t="str">
        <f t="shared" si="8"/>
        <v>公共配套设施</v>
      </c>
      <c r="R29" s="1553" t="s">
        <v>8</v>
      </c>
      <c r="S29" s="1554">
        <f>F29</f>
        <v>100</v>
      </c>
      <c r="T29" s="1553" t="s">
        <v>8</v>
      </c>
      <c r="U29" s="1554">
        <f>H29</f>
        <v>100</v>
      </c>
      <c r="V29" s="1553" t="s">
        <v>8</v>
      </c>
      <c r="W29" s="1554">
        <f>J29</f>
        <v>100</v>
      </c>
      <c r="X29" s="1555"/>
      <c r="Y29" s="3395"/>
      <c r="Z29" s="1145" t="str">
        <f>Q29</f>
        <v>公共配套设施</v>
      </c>
      <c r="AA29" s="1561">
        <f>D29/F29</f>
        <v>1</v>
      </c>
      <c r="AB29" s="1561">
        <f>D29/H29</f>
        <v>1</v>
      </c>
      <c r="AC29" s="1561">
        <f>D29/J29</f>
        <v>1</v>
      </c>
    </row>
    <row r="30" spans="1:29" s="1215" customFormat="1" ht="21">
      <c r="A30" s="577"/>
      <c r="B30" s="566"/>
      <c r="C30" s="579" t="s">
        <v>3030</v>
      </c>
      <c r="D30" s="557"/>
      <c r="E30" s="579" t="s">
        <v>3030</v>
      </c>
      <c r="F30" s="555"/>
      <c r="G30" s="554" t="s">
        <v>3030</v>
      </c>
      <c r="H30" s="555"/>
      <c r="I30" s="579" t="s">
        <v>3030</v>
      </c>
      <c r="J30" s="555"/>
      <c r="K30" s="531"/>
      <c r="L30" s="2119"/>
      <c r="M30" s="2116"/>
      <c r="N30" s="2116"/>
      <c r="O30" s="2121"/>
      <c r="P30" s="3395"/>
      <c r="Q30" s="1146"/>
      <c r="R30" s="1553"/>
      <c r="S30" s="1554"/>
      <c r="T30" s="1553"/>
      <c r="U30" s="1554"/>
      <c r="V30" s="1553"/>
      <c r="W30" s="1554"/>
      <c r="X30" s="1555"/>
      <c r="Y30" s="3395"/>
      <c r="Z30" s="1145"/>
      <c r="AA30" s="1561">
        <v>1</v>
      </c>
      <c r="AB30" s="1561">
        <v>1</v>
      </c>
      <c r="AC30" s="1561">
        <v>1</v>
      </c>
    </row>
    <row r="31" spans="1:29" s="1215" customFormat="1" ht="21">
      <c r="A31" s="577"/>
      <c r="B31" s="2554"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5"/>
      <c r="Q31" s="2541" t="str">
        <f t="shared" ref="Q31" si="9">B31</f>
        <v>基础设施水平</v>
      </c>
      <c r="R31" s="1553" t="s">
        <v>8</v>
      </c>
      <c r="S31" s="1554">
        <f>F31</f>
        <v>100</v>
      </c>
      <c r="T31" s="1553" t="s">
        <v>8</v>
      </c>
      <c r="U31" s="1554">
        <f>H31</f>
        <v>100</v>
      </c>
      <c r="V31" s="1553" t="s">
        <v>8</v>
      </c>
      <c r="W31" s="1554">
        <f>J31</f>
        <v>100</v>
      </c>
      <c r="X31" s="1555"/>
      <c r="Y31" s="3395"/>
      <c r="Z31" s="2538" t="str">
        <f>Q31</f>
        <v>基础设施水平</v>
      </c>
      <c r="AA31" s="1561">
        <f>D31/F31</f>
        <v>1</v>
      </c>
      <c r="AB31" s="1561">
        <f>D31/H31</f>
        <v>1</v>
      </c>
      <c r="AC31" s="1561">
        <f>D31/J31</f>
        <v>1</v>
      </c>
    </row>
    <row r="32" spans="1:29" s="1215" customFormat="1" ht="21">
      <c r="A32" s="577"/>
      <c r="B32" s="566"/>
      <c r="C32" s="579" t="s">
        <v>3036</v>
      </c>
      <c r="D32" s="557"/>
      <c r="E32" s="579" t="s">
        <v>3036</v>
      </c>
      <c r="F32" s="555"/>
      <c r="G32" s="579" t="s">
        <v>3036</v>
      </c>
      <c r="H32" s="555"/>
      <c r="I32" s="579" t="s">
        <v>3036</v>
      </c>
      <c r="J32" s="555"/>
      <c r="K32" s="531"/>
      <c r="L32" s="2119"/>
      <c r="M32" s="2116"/>
      <c r="N32" s="2116"/>
      <c r="O32" s="2121"/>
      <c r="P32" s="3395"/>
      <c r="Q32" s="2541"/>
      <c r="R32" s="1553"/>
      <c r="S32" s="1554"/>
      <c r="T32" s="1553"/>
      <c r="U32" s="1554"/>
      <c r="V32" s="1553"/>
      <c r="W32" s="1554"/>
      <c r="X32" s="1555"/>
      <c r="Y32" s="3395"/>
      <c r="Z32" s="2538"/>
      <c r="AA32" s="1561">
        <v>1</v>
      </c>
      <c r="AB32" s="1561">
        <v>1</v>
      </c>
      <c r="AC32" s="1561">
        <v>1</v>
      </c>
    </row>
    <row r="33" spans="1:29" ht="21">
      <c r="A33" s="532"/>
      <c r="B33" s="566" t="s">
        <v>547</v>
      </c>
      <c r="C33" s="580" t="s">
        <v>3061</v>
      </c>
      <c r="D33" s="575">
        <v>100</v>
      </c>
      <c r="E33" s="580" t="s">
        <v>3061</v>
      </c>
      <c r="F33" s="540">
        <f>SUMIF(106:106,E33,107:107)-SUMIF(106:106,C33,107:107)+100</f>
        <v>100</v>
      </c>
      <c r="G33" s="580" t="s">
        <v>3061</v>
      </c>
      <c r="H33" s="540">
        <f>SUMIF(106:106,G33,107:107)-SUMIF(106:106,C33,107:107)+100</f>
        <v>100</v>
      </c>
      <c r="I33" s="580" t="s">
        <v>3061</v>
      </c>
      <c r="J33" s="540">
        <f>SUMIF(106:106,I33,107:107)-SUMIF(106:106,C33,107:107)+100</f>
        <v>100</v>
      </c>
      <c r="K33" s="535">
        <v>1</v>
      </c>
      <c r="L33" s="2126"/>
      <c r="M33" s="2116"/>
      <c r="N33" s="2116"/>
      <c r="O33" s="2125"/>
      <c r="P33" s="339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5"/>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99</v>
      </c>
      <c r="G34" s="562"/>
      <c r="H34" s="559">
        <f>SUMIF(108:108,G35,109:109)-SUMIF(108:108,C35,109:109)+100</f>
        <v>100</v>
      </c>
      <c r="I34" s="564"/>
      <c r="J34" s="559">
        <f>SUMIF(108:108,I35,109:109)-SUMIF(108:108,C35,109:109)+100</f>
        <v>99</v>
      </c>
      <c r="K34" s="535">
        <v>1</v>
      </c>
      <c r="L34" s="2126"/>
      <c r="M34" s="2116"/>
      <c r="N34" s="2116"/>
      <c r="O34" s="2125"/>
      <c r="P34" s="3395"/>
      <c r="Q34" s="1557" t="str">
        <f t="shared" si="8"/>
        <v>毗邻道路的类型与等级</v>
      </c>
      <c r="R34" s="1558" t="s">
        <v>8</v>
      </c>
      <c r="S34" s="1559">
        <f t="shared" si="10"/>
        <v>99</v>
      </c>
      <c r="T34" s="1558" t="s">
        <v>8</v>
      </c>
      <c r="U34" s="1559">
        <f t="shared" si="11"/>
        <v>100</v>
      </c>
      <c r="V34" s="1558" t="s">
        <v>8</v>
      </c>
      <c r="W34" s="1559">
        <f t="shared" si="12"/>
        <v>99</v>
      </c>
      <c r="X34" s="1552"/>
      <c r="Y34" s="3395"/>
      <c r="Z34" s="1560" t="str">
        <f t="shared" si="13"/>
        <v>毗邻道路的类型与等级</v>
      </c>
      <c r="AA34" s="1561">
        <f t="shared" si="3"/>
        <v>1.0101010101010102</v>
      </c>
      <c r="AB34" s="1561">
        <f t="shared" si="4"/>
        <v>1</v>
      </c>
      <c r="AC34" s="1561">
        <f t="shared" si="5"/>
        <v>1.0101010101010102</v>
      </c>
    </row>
    <row r="35" spans="1:29" ht="21.6" thickBot="1">
      <c r="A35" s="532"/>
      <c r="B35" s="566"/>
      <c r="C35" s="554" t="s">
        <v>3057</v>
      </c>
      <c r="D35" s="557"/>
      <c r="E35" s="576" t="s">
        <v>3059</v>
      </c>
      <c r="F35" s="555"/>
      <c r="G35" s="554" t="s">
        <v>3057</v>
      </c>
      <c r="H35" s="555"/>
      <c r="I35" s="576" t="s">
        <v>3059</v>
      </c>
      <c r="J35" s="555"/>
      <c r="K35" s="581"/>
      <c r="L35" s="2126"/>
      <c r="M35" s="2116"/>
      <c r="N35" s="2116"/>
      <c r="O35" s="2125"/>
      <c r="P35" s="3395"/>
      <c r="Q35" s="1557"/>
      <c r="R35" s="1558"/>
      <c r="S35" s="1559"/>
      <c r="T35" s="1558"/>
      <c r="U35" s="1559"/>
      <c r="V35" s="1558"/>
      <c r="W35" s="1559"/>
      <c r="X35" s="1552"/>
      <c r="Y35" s="3395"/>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5"/>
      <c r="Q36" s="1557" t="str">
        <f t="shared" si="8"/>
        <v>土地级别</v>
      </c>
      <c r="R36" s="1558" t="s">
        <v>8</v>
      </c>
      <c r="S36" s="1559">
        <f t="shared" si="10"/>
        <v>100</v>
      </c>
      <c r="T36" s="1558" t="s">
        <v>8</v>
      </c>
      <c r="U36" s="1559">
        <f t="shared" si="11"/>
        <v>100</v>
      </c>
      <c r="V36" s="1558" t="s">
        <v>8</v>
      </c>
      <c r="W36" s="1559">
        <f t="shared" si="12"/>
        <v>100</v>
      </c>
      <c r="X36" s="1552"/>
      <c r="Y36" s="3395"/>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5"/>
      <c r="Q37" s="1557">
        <f t="shared" si="8"/>
        <v>111</v>
      </c>
      <c r="R37" s="1558" t="s">
        <v>8</v>
      </c>
      <c r="S37" s="1559">
        <f t="shared" si="10"/>
        <v>100</v>
      </c>
      <c r="T37" s="1558" t="s">
        <v>8</v>
      </c>
      <c r="U37" s="1559">
        <f t="shared" si="11"/>
        <v>100</v>
      </c>
      <c r="V37" s="1558" t="s">
        <v>8</v>
      </c>
      <c r="W37" s="1559">
        <f t="shared" si="12"/>
        <v>100</v>
      </c>
      <c r="X37" s="1552"/>
      <c r="Y37" s="3395"/>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6" t="s">
        <v>550</v>
      </c>
      <c r="Q38" s="1557">
        <f t="shared" si="8"/>
        <v>111</v>
      </c>
      <c r="R38" s="1558" t="s">
        <v>8</v>
      </c>
      <c r="S38" s="1559">
        <f t="shared" si="10"/>
        <v>100</v>
      </c>
      <c r="T38" s="1558" t="s">
        <v>8</v>
      </c>
      <c r="U38" s="1559">
        <f t="shared" si="11"/>
        <v>100</v>
      </c>
      <c r="V38" s="1558" t="s">
        <v>8</v>
      </c>
      <c r="W38" s="1559">
        <f t="shared" si="12"/>
        <v>100</v>
      </c>
      <c r="X38" s="1552"/>
      <c r="Y38" s="3397"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7"/>
      <c r="Q39" s="1557">
        <f t="shared" si="8"/>
        <v>111</v>
      </c>
      <c r="R39" s="1562" t="s">
        <v>8</v>
      </c>
      <c r="S39" s="1563">
        <f t="shared" si="10"/>
        <v>100</v>
      </c>
      <c r="T39" s="1562" t="s">
        <v>8</v>
      </c>
      <c r="U39" s="1563">
        <f t="shared" si="11"/>
        <v>100</v>
      </c>
      <c r="V39" s="1562" t="s">
        <v>8</v>
      </c>
      <c r="W39" s="1563">
        <f t="shared" si="12"/>
        <v>100</v>
      </c>
      <c r="X39" s="1564"/>
      <c r="Y39" s="3397"/>
      <c r="Z39" s="1565">
        <f t="shared" si="13"/>
        <v>111</v>
      </c>
      <c r="AA39" s="1561">
        <f t="shared" si="3"/>
        <v>1</v>
      </c>
      <c r="AB39" s="1561">
        <f t="shared" si="4"/>
        <v>1</v>
      </c>
      <c r="AC39" s="1561">
        <f t="shared" si="5"/>
        <v>1</v>
      </c>
    </row>
    <row r="40" spans="1:29" ht="21">
      <c r="A40" s="2861" t="s">
        <v>2755</v>
      </c>
      <c r="B40" s="595" t="s">
        <v>552</v>
      </c>
      <c r="C40" s="596">
        <f>'数据-基础表'!A3</f>
        <v>44066.5</v>
      </c>
      <c r="D40" s="597">
        <v>100</v>
      </c>
      <c r="E40" s="596">
        <f>土地案例!J52</f>
        <v>46069.59</v>
      </c>
      <c r="F40" s="597">
        <f>LOOKUP(E40,119:119,120:120)-LOOKUP(C40,119:119,120:120)+100</f>
        <v>100</v>
      </c>
      <c r="G40" s="596">
        <f>土地案例!J54</f>
        <v>138768.20000000001</v>
      </c>
      <c r="H40" s="597">
        <f>LOOKUP(G40,119:119,120:120)-LOOKUP(C40,119:119,120:120)+100</f>
        <v>102</v>
      </c>
      <c r="I40" s="598">
        <f>土地案例!J55</f>
        <v>120241.3</v>
      </c>
      <c r="J40" s="597">
        <f>LOOKUP(I40,119:119,120:120)-LOOKUP(C40,119:119,120:120)+100</f>
        <v>102</v>
      </c>
      <c r="K40" s="581"/>
      <c r="L40" s="2126"/>
      <c r="M40" s="2116"/>
      <c r="N40" s="2116"/>
      <c r="O40" s="2125"/>
      <c r="P40" s="3397"/>
      <c r="Q40" s="1557" t="str">
        <f>B40</f>
        <v>宗地面积</v>
      </c>
      <c r="R40" s="1558" t="s">
        <v>8</v>
      </c>
      <c r="S40" s="1559">
        <f t="shared" si="10"/>
        <v>100</v>
      </c>
      <c r="T40" s="1558" t="s">
        <v>8</v>
      </c>
      <c r="U40" s="1559">
        <f t="shared" si="11"/>
        <v>102</v>
      </c>
      <c r="V40" s="1558" t="s">
        <v>8</v>
      </c>
      <c r="W40" s="1559">
        <f t="shared" si="12"/>
        <v>102</v>
      </c>
      <c r="X40" s="1552"/>
      <c r="Y40" s="3397"/>
      <c r="Z40" s="1560" t="str">
        <f t="shared" si="13"/>
        <v>宗地面积</v>
      </c>
      <c r="AA40" s="1561">
        <f t="shared" si="3"/>
        <v>1</v>
      </c>
      <c r="AB40" s="1561">
        <f t="shared" si="4"/>
        <v>0.98039215686274506</v>
      </c>
      <c r="AC40" s="1561">
        <f t="shared" si="5"/>
        <v>0.98039215686274506</v>
      </c>
    </row>
    <row r="41" spans="1:29" ht="21">
      <c r="A41" s="594"/>
      <c r="B41" s="527" t="s">
        <v>553</v>
      </c>
      <c r="C41" s="599" t="s">
        <v>3047</v>
      </c>
      <c r="D41" s="540">
        <v>100</v>
      </c>
      <c r="E41" s="599" t="s">
        <v>3047</v>
      </c>
      <c r="F41" s="540">
        <f>SUMIF(121:121,E41,122:122)-SUMIF(121:121,C41,122:122)+100</f>
        <v>100</v>
      </c>
      <c r="G41" s="599" t="s">
        <v>3047</v>
      </c>
      <c r="H41" s="540">
        <f>SUMIF(121:121,G41,122:122)-SUMIF(121:121,C41,122:122)+100</f>
        <v>100</v>
      </c>
      <c r="I41" s="599" t="s">
        <v>3047</v>
      </c>
      <c r="J41" s="540">
        <f>SUMIF(121:121,I41,122:122)-SUMIF(121:121,C41,122:122)+100</f>
        <v>100</v>
      </c>
      <c r="K41" s="584">
        <v>1</v>
      </c>
      <c r="L41" s="2126"/>
      <c r="M41" s="2116"/>
      <c r="N41" s="2116"/>
      <c r="O41" s="2125"/>
      <c r="P41" s="3397"/>
      <c r="Q41" s="1557" t="str">
        <f t="shared" ref="Q41:Q47" si="14">B41</f>
        <v>宗地形状</v>
      </c>
      <c r="R41" s="1558" t="s">
        <v>8</v>
      </c>
      <c r="S41" s="1559">
        <f t="shared" si="10"/>
        <v>100</v>
      </c>
      <c r="T41" s="1558" t="s">
        <v>8</v>
      </c>
      <c r="U41" s="1559">
        <f t="shared" si="11"/>
        <v>100</v>
      </c>
      <c r="V41" s="1558" t="s">
        <v>8</v>
      </c>
      <c r="W41" s="1559">
        <f t="shared" si="12"/>
        <v>100</v>
      </c>
      <c r="X41" s="1552"/>
      <c r="Y41" s="3397"/>
      <c r="Z41" s="1560" t="str">
        <f t="shared" si="13"/>
        <v>宗地形状</v>
      </c>
      <c r="AA41" s="1561">
        <f t="shared" si="3"/>
        <v>1</v>
      </c>
      <c r="AB41" s="1561">
        <f t="shared" si="4"/>
        <v>1</v>
      </c>
      <c r="AC41" s="1561">
        <f t="shared" si="5"/>
        <v>1</v>
      </c>
    </row>
    <row r="42" spans="1:29" ht="21">
      <c r="A42" s="594"/>
      <c r="B42" s="527" t="s">
        <v>554</v>
      </c>
      <c r="C42" s="599" t="s">
        <v>3044</v>
      </c>
      <c r="D42" s="540">
        <v>100</v>
      </c>
      <c r="E42" s="599" t="s">
        <v>3044</v>
      </c>
      <c r="F42" s="540">
        <f>SUMIF(123:123,E42,124:124)-SUMIF(123:123,C42,124:124)+100</f>
        <v>100</v>
      </c>
      <c r="G42" s="599" t="s">
        <v>3044</v>
      </c>
      <c r="H42" s="540">
        <f>SUMIF(123:123,G42,124:124)-SUMIF(123:123,C42,124:124)+100</f>
        <v>100</v>
      </c>
      <c r="I42" s="599" t="s">
        <v>3044</v>
      </c>
      <c r="J42" s="540">
        <f>SUMIF(123:123,I42,124:124)-SUMIF(123:123,C42,124:124)+100</f>
        <v>100</v>
      </c>
      <c r="K42" s="584">
        <v>1</v>
      </c>
      <c r="L42" s="2126"/>
      <c r="M42" s="2116"/>
      <c r="N42" s="2116"/>
      <c r="O42" s="2125"/>
      <c r="P42" s="3397"/>
      <c r="Q42" s="1557" t="str">
        <f t="shared" si="14"/>
        <v>临街宽度及深度</v>
      </c>
      <c r="R42" s="1558" t="s">
        <v>8</v>
      </c>
      <c r="S42" s="1559">
        <f t="shared" si="10"/>
        <v>100</v>
      </c>
      <c r="T42" s="1558" t="s">
        <v>8</v>
      </c>
      <c r="U42" s="1559">
        <f t="shared" si="11"/>
        <v>100</v>
      </c>
      <c r="V42" s="1558" t="s">
        <v>8</v>
      </c>
      <c r="W42" s="1559">
        <f t="shared" si="12"/>
        <v>100</v>
      </c>
      <c r="X42" s="1552"/>
      <c r="Y42" s="3397"/>
      <c r="Z42" s="1560" t="str">
        <f t="shared" si="13"/>
        <v>临街宽度及深度</v>
      </c>
      <c r="AA42" s="1561">
        <f t="shared" si="3"/>
        <v>1</v>
      </c>
      <c r="AB42" s="1561">
        <f t="shared" si="4"/>
        <v>1</v>
      </c>
      <c r="AC42" s="1561">
        <f t="shared" si="5"/>
        <v>1</v>
      </c>
    </row>
    <row r="43" spans="1:29" s="1215" customFormat="1" ht="21">
      <c r="A43" s="600"/>
      <c r="B43" s="1879" t="s">
        <v>2424</v>
      </c>
      <c r="C43" s="601" t="s">
        <v>3039</v>
      </c>
      <c r="D43" s="255">
        <v>100</v>
      </c>
      <c r="E43" s="601" t="s">
        <v>3039</v>
      </c>
      <c r="F43" s="540">
        <f>SUMIF(125:125,E43,126:126)-SUMIF(125:125,C43,126:126)+100</f>
        <v>100</v>
      </c>
      <c r="G43" s="601" t="s">
        <v>3039</v>
      </c>
      <c r="H43" s="540">
        <f>SUMIF(125:125,G43,126:126)-SUMIF(125:125,C43,126:126)+100</f>
        <v>100</v>
      </c>
      <c r="I43" s="601" t="s">
        <v>3039</v>
      </c>
      <c r="J43" s="540">
        <f>SUMIF(125:125,I43,126:126)-SUMIF(125:125,C43,126:126)+100</f>
        <v>100</v>
      </c>
      <c r="K43" s="584">
        <v>1</v>
      </c>
      <c r="L43" s="2119"/>
      <c r="M43" s="2116"/>
      <c r="N43" s="2116"/>
      <c r="O43" s="2121"/>
      <c r="P43" s="3397"/>
      <c r="Q43" s="1557" t="str">
        <f t="shared" si="14"/>
        <v>宗地开发程度</v>
      </c>
      <c r="R43" s="1553" t="s">
        <v>8</v>
      </c>
      <c r="S43" s="1554">
        <f t="shared" si="10"/>
        <v>100</v>
      </c>
      <c r="T43" s="1553" t="s">
        <v>8</v>
      </c>
      <c r="U43" s="1554">
        <f t="shared" si="11"/>
        <v>100</v>
      </c>
      <c r="V43" s="1553" t="s">
        <v>8</v>
      </c>
      <c r="W43" s="1554">
        <f t="shared" si="12"/>
        <v>100</v>
      </c>
      <c r="X43" s="1555"/>
      <c r="Y43" s="3397"/>
      <c r="Z43" s="1145" t="str">
        <f t="shared" si="13"/>
        <v>宗地开发程度</v>
      </c>
      <c r="AA43" s="1556">
        <f t="shared" si="3"/>
        <v>1</v>
      </c>
      <c r="AB43" s="1556">
        <f t="shared" si="4"/>
        <v>1</v>
      </c>
      <c r="AC43" s="1556">
        <f t="shared" si="5"/>
        <v>1</v>
      </c>
    </row>
    <row r="44" spans="1:29" ht="21.6" thickBot="1">
      <c r="A44" s="594"/>
      <c r="B44" s="527" t="s">
        <v>555</v>
      </c>
      <c r="C44" s="599" t="s">
        <v>3030</v>
      </c>
      <c r="D44" s="540">
        <v>100</v>
      </c>
      <c r="E44" s="599" t="s">
        <v>3030</v>
      </c>
      <c r="F44" s="540">
        <f>SUMIF(127:127,E44,128:128)-SUMIF(127:127,C44,128:128)+100</f>
        <v>100</v>
      </c>
      <c r="G44" s="599" t="s">
        <v>3030</v>
      </c>
      <c r="H44" s="540">
        <f>SUMIF(127:127,G44,128:128)-SUMIF(127:127,C44,128:128)+100</f>
        <v>100</v>
      </c>
      <c r="I44" s="599" t="s">
        <v>3030</v>
      </c>
      <c r="J44" s="540">
        <f>SUMIF(127:127,I44,128:128)-SUMIF(127:127,C44,128:128)+100</f>
        <v>100</v>
      </c>
      <c r="K44" s="584">
        <v>1</v>
      </c>
      <c r="L44" s="2126"/>
      <c r="M44" s="2116"/>
      <c r="N44" s="2116"/>
      <c r="O44" s="2125"/>
      <c r="P44" s="3397" t="s">
        <v>550</v>
      </c>
      <c r="Q44" s="1557" t="str">
        <f t="shared" si="14"/>
        <v>工程地质条件</v>
      </c>
      <c r="R44" s="1558" t="s">
        <v>8</v>
      </c>
      <c r="S44" s="1559">
        <f t="shared" si="10"/>
        <v>100</v>
      </c>
      <c r="T44" s="1558" t="s">
        <v>8</v>
      </c>
      <c r="U44" s="1559">
        <f t="shared" si="11"/>
        <v>100</v>
      </c>
      <c r="V44" s="1558" t="s">
        <v>8</v>
      </c>
      <c r="W44" s="1559">
        <f t="shared" si="12"/>
        <v>100</v>
      </c>
      <c r="X44" s="1552"/>
      <c r="Y44" s="3397"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7"/>
      <c r="Q45" s="1557">
        <f t="shared" si="14"/>
        <v>111</v>
      </c>
      <c r="R45" s="1558" t="s">
        <v>8</v>
      </c>
      <c r="S45" s="1559">
        <f t="shared" si="10"/>
        <v>100</v>
      </c>
      <c r="T45" s="1558" t="s">
        <v>8</v>
      </c>
      <c r="U45" s="1559">
        <f t="shared" si="11"/>
        <v>100</v>
      </c>
      <c r="V45" s="1558" t="s">
        <v>8</v>
      </c>
      <c r="W45" s="1559">
        <f t="shared" si="12"/>
        <v>100</v>
      </c>
      <c r="X45" s="1552"/>
      <c r="Y45" s="3397"/>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7"/>
      <c r="Q46" s="1557">
        <f t="shared" si="14"/>
        <v>111</v>
      </c>
      <c r="R46" s="1558" t="s">
        <v>8</v>
      </c>
      <c r="S46" s="1559">
        <f t="shared" si="10"/>
        <v>100</v>
      </c>
      <c r="T46" s="1558" t="s">
        <v>8</v>
      </c>
      <c r="U46" s="1559">
        <f t="shared" si="11"/>
        <v>100</v>
      </c>
      <c r="V46" s="1558" t="s">
        <v>8</v>
      </c>
      <c r="W46" s="1559">
        <f t="shared" si="12"/>
        <v>100</v>
      </c>
      <c r="X46" s="1552"/>
      <c r="Y46" s="3397"/>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7"/>
      <c r="Q47" s="1557">
        <f t="shared" si="14"/>
        <v>111</v>
      </c>
      <c r="R47" s="1562" t="s">
        <v>8</v>
      </c>
      <c r="S47" s="1563">
        <f t="shared" si="10"/>
        <v>100</v>
      </c>
      <c r="T47" s="1562" t="s">
        <v>8</v>
      </c>
      <c r="U47" s="1563">
        <f t="shared" si="11"/>
        <v>100</v>
      </c>
      <c r="V47" s="1562" t="s">
        <v>8</v>
      </c>
      <c r="W47" s="1563">
        <f t="shared" si="12"/>
        <v>100</v>
      </c>
      <c r="X47" s="1564"/>
      <c r="Y47" s="3397"/>
      <c r="Z47" s="1565">
        <f t="shared" si="13"/>
        <v>111</v>
      </c>
      <c r="AA47" s="1561">
        <f t="shared" si="3"/>
        <v>1</v>
      </c>
      <c r="AB47" s="1561">
        <f t="shared" si="4"/>
        <v>1</v>
      </c>
      <c r="AC47" s="1561">
        <f t="shared" si="5"/>
        <v>1</v>
      </c>
    </row>
    <row r="48" spans="1:29" ht="21">
      <c r="A48" s="607" t="s">
        <v>556</v>
      </c>
      <c r="B48" s="608" t="s">
        <v>3028</v>
      </c>
      <c r="C48" s="609" t="s">
        <v>1</v>
      </c>
      <c r="D48" s="610"/>
      <c r="E48" s="611">
        <f>ROUND(土地案例!AK52,0)</f>
        <v>7096</v>
      </c>
      <c r="F48" s="612"/>
      <c r="G48" s="613">
        <f>ROUND(土地案例!AK54,0)</f>
        <v>6709</v>
      </c>
      <c r="H48" s="614"/>
      <c r="I48" s="611">
        <f>ROUND(土地案例!AK55,0)</f>
        <v>8074</v>
      </c>
      <c r="J48" s="614"/>
      <c r="K48" s="1335"/>
      <c r="L48" s="2128"/>
      <c r="M48" s="2116"/>
      <c r="N48" s="2116"/>
      <c r="O48" s="2129"/>
      <c r="P48" s="3361" t="str">
        <f>A48</f>
        <v>成交单价</v>
      </c>
      <c r="Q48" s="3361"/>
      <c r="R48" s="3362">
        <f>E48</f>
        <v>7096</v>
      </c>
      <c r="S48" s="3362"/>
      <c r="T48" s="3362">
        <f>G48</f>
        <v>6709</v>
      </c>
      <c r="U48" s="3362"/>
      <c r="V48" s="3362">
        <f>I48</f>
        <v>8074</v>
      </c>
      <c r="W48" s="3362"/>
      <c r="X48" s="1544"/>
      <c r="Y48" s="1566"/>
      <c r="Z48" s="1544"/>
      <c r="AA48" s="1544"/>
      <c r="AB48" s="1544"/>
      <c r="AC48" s="1544"/>
    </row>
    <row r="49" spans="1:29" ht="21.6" thickBot="1">
      <c r="A49" s="615" t="s">
        <v>2693</v>
      </c>
      <c r="B49" s="616"/>
      <c r="C49" s="617">
        <f>R50</f>
        <v>7004</v>
      </c>
      <c r="D49" s="618"/>
      <c r="E49" s="617">
        <f>R49</f>
        <v>7400</v>
      </c>
      <c r="F49" s="619"/>
      <c r="G49" s="620">
        <f>T49</f>
        <v>6144</v>
      </c>
      <c r="H49" s="618"/>
      <c r="I49" s="617">
        <f>V49</f>
        <v>7469</v>
      </c>
      <c r="J49" s="618"/>
      <c r="K49" s="1336"/>
      <c r="L49" s="2128"/>
      <c r="M49" s="2116"/>
      <c r="N49" s="2116"/>
      <c r="O49" s="2129"/>
      <c r="P49" s="3361" t="str">
        <f>A49</f>
        <v>比较价格（元/平方米）</v>
      </c>
      <c r="Q49" s="3361"/>
      <c r="R49" s="3363">
        <f>ROUND(PRODUCT(R48,AA9:AA47),0)</f>
        <v>7400</v>
      </c>
      <c r="S49" s="3363"/>
      <c r="T49" s="3363">
        <f>ROUND(PRODUCT(T48,AB9:AB47),0)</f>
        <v>6144</v>
      </c>
      <c r="U49" s="3363"/>
      <c r="V49" s="3363">
        <f>ROUND(PRODUCT(V48,AC9:AC47),0)</f>
        <v>7469</v>
      </c>
      <c r="W49" s="3363"/>
      <c r="X49" s="1544"/>
      <c r="Y49" s="1544"/>
      <c r="Z49" s="1544"/>
      <c r="AA49" s="1544"/>
      <c r="AB49" s="1544"/>
      <c r="AC49" s="1544"/>
    </row>
    <row r="50" spans="1:29" ht="21.6" thickBot="1">
      <c r="A50" s="621" t="s">
        <v>2932</v>
      </c>
      <c r="B50" s="622"/>
      <c r="C50" s="623">
        <f>R50</f>
        <v>7004</v>
      </c>
      <c r="D50" s="623"/>
      <c r="E50" s="623"/>
      <c r="F50" s="623"/>
      <c r="G50" s="623"/>
      <c r="H50" s="623"/>
      <c r="I50" s="623"/>
      <c r="J50" s="623"/>
      <c r="K50" s="1337"/>
      <c r="L50" s="2128"/>
      <c r="M50" s="2116"/>
      <c r="N50" s="2116"/>
      <c r="O50" s="2129"/>
      <c r="P50" s="3358" t="str">
        <f>A50</f>
        <v>估价对象XX用房的比较价格（楼面单价，元/平方米）</v>
      </c>
      <c r="Q50" s="3359"/>
      <c r="R50" s="3360">
        <f>ROUND(AVERAGE(R49:V49),0)</f>
        <v>7004</v>
      </c>
      <c r="S50" s="3360"/>
      <c r="T50" s="3360"/>
      <c r="U50" s="3360"/>
      <c r="V50" s="3360"/>
      <c r="W50" s="3360"/>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4.284103720405863E-2</v>
      </c>
      <c r="F53" s="627" t="str">
        <f>IF(OR(E53&gt;=0.3,E53&lt;=-0.3),"超过30%","")</f>
        <v/>
      </c>
      <c r="G53" s="626">
        <f>IF(G48&lt;G49,G49/G48-1,G48/G49-1)</f>
        <v>9.1959635416666741E-2</v>
      </c>
      <c r="H53" s="627" t="str">
        <f>IF(OR(G53&gt;=0.3,G53&lt;=-0.3),"超过30%","")</f>
        <v/>
      </c>
      <c r="I53" s="626">
        <f>IF(I48&lt;I49,I49/I48-1,I48/I49-1)</f>
        <v>8.1001472754050008E-2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0.20442708333333326</v>
      </c>
      <c r="F54" s="627" t="str">
        <f>IF(OR(E54&gt;=0.2,E54&lt;=-0.2),"超过20%","")</f>
        <v>超过20%</v>
      </c>
      <c r="G54" s="626">
        <f>IF(G49&lt;I49,I49/G49-1,G49/I49-1)</f>
        <v>0.21565755208333326</v>
      </c>
      <c r="H54" s="627" t="str">
        <f>IF(OR(G54&gt;=0.2,G54&lt;=-0.2),"超过20%","")</f>
        <v>超过20%</v>
      </c>
      <c r="I54" s="626">
        <f>IF(I49&lt;E49,E49/I49-1,I49/E49-1)</f>
        <v>9.3243243243243956E-3</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5.768370845133397E-2</v>
      </c>
      <c r="F55" s="627" t="str">
        <f>IF(OR(E55&gt;=0.3,E55&lt;=-0.3),"超过30%","")</f>
        <v/>
      </c>
      <c r="G55" s="626">
        <f>IF(G48&lt;I48,I48/G48-1,G48/I48-1)</f>
        <v>0.20345804143687585</v>
      </c>
      <c r="H55" s="627" t="str">
        <f>IF(OR(G55&gt;=0.3,G55&lt;=-0.3),"超过30%","")</f>
        <v/>
      </c>
      <c r="I55" s="626">
        <f>IF(I48&lt;E48,E48/I48-1,I48/E48-1)</f>
        <v>0.13782412626832019</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86" t="s">
        <v>2281</v>
      </c>
      <c r="H57" s="3387"/>
      <c r="I57" s="1540" t="s">
        <v>1722</v>
      </c>
      <c r="J57" s="1540" t="str">
        <f>项目基本情况!F41</f>
        <v>陕西省西安市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7004</v>
      </c>
      <c r="C58" s="635">
        <v>1</v>
      </c>
      <c r="D58" s="2212">
        <v>1</v>
      </c>
      <c r="E58" s="635">
        <f>'数据-汇总表'!E8+'数据-汇总表'!E9</f>
        <v>158742</v>
      </c>
      <c r="F58" s="636">
        <f t="shared" ref="F58:F67" si="15">ROUND(B58*E58/10000,0)</f>
        <v>111183</v>
      </c>
      <c r="G58" s="3388"/>
      <c r="H58" s="338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90"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9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9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9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2328</v>
      </c>
      <c r="B63" s="638">
        <f t="shared" si="17"/>
        <v>0</v>
      </c>
      <c r="C63" s="378">
        <f t="shared" si="16"/>
        <v>0</v>
      </c>
      <c r="D63" s="2213">
        <v>0.25</v>
      </c>
      <c r="E63" s="641">
        <f>'数据-汇总表'!E11</f>
        <v>0</v>
      </c>
      <c r="F63" s="636">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44309</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2294</v>
      </c>
      <c r="E68" s="643">
        <f>IF(B48="楼面地价",SUM(E58:E67),'数据-汇总表'!D3)</f>
        <v>203051</v>
      </c>
      <c r="F68" s="644">
        <f>IF(B48="楼面地价",SUM(F58:F67),ROUND(C50*E68/10000,0))</f>
        <v>111183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9" t="str">
        <f>"北京市平均增长率"&amp;TEXT(SUMIF(基准地价!N21:N25,A73,基准地价!P21:P25),"0.00%")</f>
        <v>北京市平均增长率0.00%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8" t="s">
        <v>3053</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0（含）-1.5</v>
      </c>
      <c r="D81" s="682" t="str">
        <f t="shared" ref="D81:L81" si="21">D82&amp;"（含）"&amp;"-"&amp;E82</f>
        <v>1.5（含）-3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1.5</v>
      </c>
      <c r="E82" s="541">
        <v>3</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95</v>
      </c>
      <c r="E97" s="679">
        <f>D97-$K23</f>
        <v>90</v>
      </c>
      <c r="F97" s="679">
        <f>E97-$K23</f>
        <v>85</v>
      </c>
      <c r="G97" s="679">
        <f>F97-$K23</f>
        <v>80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2548</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2550</v>
      </c>
      <c r="C104" s="2561" t="s">
        <v>2551</v>
      </c>
      <c r="D104" s="2561" t="s">
        <v>2552</v>
      </c>
      <c r="E104" s="2561" t="s">
        <v>2553</v>
      </c>
      <c r="F104" s="2561" t="s">
        <v>2554</v>
      </c>
      <c r="G104" s="2561" t="s">
        <v>2555</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6" t="s">
        <v>3054</v>
      </c>
      <c r="D108" s="3186" t="s">
        <v>3055</v>
      </c>
      <c r="E108" s="3186" t="s">
        <v>3056</v>
      </c>
      <c r="F108" s="3186" t="s">
        <v>3058</v>
      </c>
      <c r="G108" s="3186" t="s">
        <v>3060</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38" t="str">
        <f t="shared" si="26"/>
        <v>(含)-</v>
      </c>
      <c r="K118" s="3038" t="str">
        <f t="shared" si="26"/>
        <v>(含)-</v>
      </c>
      <c r="L118" s="3039" t="str">
        <f t="shared" si="26"/>
        <v>(含)-</v>
      </c>
      <c r="M118" s="3040"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7" t="s">
        <v>3046</v>
      </c>
      <c r="D121" s="3187" t="s">
        <v>3048</v>
      </c>
      <c r="E121" s="3187" t="s">
        <v>3049</v>
      </c>
      <c r="F121" s="3187" t="s">
        <v>3050</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6" t="s">
        <v>3043</v>
      </c>
      <c r="D123" s="3186" t="s">
        <v>3045</v>
      </c>
      <c r="E123" s="3186" t="s">
        <v>3051</v>
      </c>
      <c r="F123" s="3187" t="s">
        <v>3052</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3037</v>
      </c>
      <c r="D125" s="1371" t="s">
        <v>3038</v>
      </c>
      <c r="E125" s="1371" t="s">
        <v>3040</v>
      </c>
      <c r="F125" s="1371" t="s">
        <v>3041</v>
      </c>
      <c r="G125" s="1371" t="s">
        <v>3042</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6" t="s">
        <v>3029</v>
      </c>
      <c r="D127" s="3186" t="s">
        <v>3031</v>
      </c>
      <c r="E127" s="3187" t="s">
        <v>3033</v>
      </c>
      <c r="F127" s="3187" t="s">
        <v>3034</v>
      </c>
      <c r="G127" s="3187" t="s">
        <v>3035</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4" sqref="J54"/>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67" t="s">
        <v>522</v>
      </c>
      <c r="D6" s="3368"/>
      <c r="E6" s="3402" t="s">
        <v>523</v>
      </c>
      <c r="F6" s="3403"/>
      <c r="G6" s="3367" t="s">
        <v>524</v>
      </c>
      <c r="H6" s="3368"/>
      <c r="I6" s="3367" t="s">
        <v>525</v>
      </c>
      <c r="J6" s="3368"/>
      <c r="K6" s="514" t="s">
        <v>526</v>
      </c>
      <c r="L6" s="2117"/>
      <c r="M6" s="2118"/>
      <c r="N6" s="2118"/>
      <c r="O6" s="2118"/>
      <c r="P6" s="3369" t="s">
        <v>527</v>
      </c>
      <c r="Q6" s="3370"/>
      <c r="R6" s="3375" t="s">
        <v>523</v>
      </c>
      <c r="S6" s="3376"/>
      <c r="T6" s="3375" t="s">
        <v>524</v>
      </c>
      <c r="U6" s="3376"/>
      <c r="V6" s="3362" t="s">
        <v>525</v>
      </c>
      <c r="W6" s="3362"/>
      <c r="X6" s="1552"/>
      <c r="Y6" s="3375" t="s">
        <v>527</v>
      </c>
      <c r="Z6" s="3376"/>
      <c r="AA6" s="3364" t="s">
        <v>523</v>
      </c>
      <c r="AB6" s="3365" t="s">
        <v>524</v>
      </c>
      <c r="AC6" s="3364" t="s">
        <v>525</v>
      </c>
    </row>
    <row r="7" spans="1:29">
      <c r="A7" s="515"/>
      <c r="B7" s="516"/>
      <c r="C7" s="3383" t="s">
        <v>2926</v>
      </c>
      <c r="D7" s="3384"/>
      <c r="E7" s="3404" t="s">
        <v>2927</v>
      </c>
      <c r="F7" s="3405"/>
      <c r="G7" s="3383" t="s">
        <v>2928</v>
      </c>
      <c r="H7" s="3384"/>
      <c r="I7" s="3383" t="s">
        <v>2929</v>
      </c>
      <c r="J7" s="3384"/>
      <c r="K7" s="514"/>
      <c r="L7" s="2117"/>
      <c r="M7" s="2118"/>
      <c r="N7" s="2118"/>
      <c r="O7" s="2118"/>
      <c r="P7" s="3371"/>
      <c r="Q7" s="3372"/>
      <c r="R7" s="3377"/>
      <c r="S7" s="3378"/>
      <c r="T7" s="3377"/>
      <c r="U7" s="3378"/>
      <c r="V7" s="3362"/>
      <c r="W7" s="3362"/>
      <c r="X7" s="1552"/>
      <c r="Y7" s="3377"/>
      <c r="Z7" s="3378"/>
      <c r="AA7" s="3365"/>
      <c r="AB7" s="3365"/>
      <c r="AC7" s="3365"/>
    </row>
    <row r="8" spans="1:29" ht="15" thickBot="1">
      <c r="A8" s="517"/>
      <c r="B8" s="518"/>
      <c r="C8" s="3398" t="s">
        <v>2930</v>
      </c>
      <c r="D8" s="3399"/>
      <c r="E8" s="3400" t="s">
        <v>2930</v>
      </c>
      <c r="F8" s="3401"/>
      <c r="G8" s="3398" t="s">
        <v>2930</v>
      </c>
      <c r="H8" s="3399"/>
      <c r="I8" s="3398" t="s">
        <v>2930</v>
      </c>
      <c r="J8" s="3399"/>
      <c r="K8" s="514" t="s">
        <v>528</v>
      </c>
      <c r="L8" s="2117"/>
      <c r="M8" s="2118"/>
      <c r="N8" s="2118"/>
      <c r="O8" s="2118"/>
      <c r="P8" s="3373"/>
      <c r="Q8" s="3374"/>
      <c r="R8" s="3377"/>
      <c r="S8" s="3378"/>
      <c r="T8" s="3379"/>
      <c r="U8" s="3380"/>
      <c r="V8" s="3362"/>
      <c r="W8" s="3362"/>
      <c r="X8" s="1552"/>
      <c r="Y8" s="3379"/>
      <c r="Z8" s="3380"/>
      <c r="AA8" s="3366"/>
      <c r="AB8" s="3366"/>
      <c r="AC8" s="3366"/>
    </row>
    <row r="9" spans="1:29" s="1215" customFormat="1" ht="15" thickBot="1">
      <c r="A9" s="2866"/>
      <c r="B9" s="2873" t="s">
        <v>529</v>
      </c>
      <c r="C9" s="519">
        <f>'数据-取费表'!B2</f>
        <v>43776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91" t="s">
        <v>530</v>
      </c>
      <c r="Q9" s="3393"/>
      <c r="R9" s="1553" t="s">
        <v>8</v>
      </c>
      <c r="S9" s="1554">
        <f t="shared" ref="S9:S17" si="0">F9</f>
        <v>0</v>
      </c>
      <c r="T9" s="1553" t="s">
        <v>8</v>
      </c>
      <c r="U9" s="1554">
        <f t="shared" ref="U9:U17" si="1">H9</f>
        <v>0</v>
      </c>
      <c r="V9" s="1553" t="s">
        <v>8</v>
      </c>
      <c r="W9" s="1554">
        <f t="shared" ref="W9:W17" si="2">J9</f>
        <v>0</v>
      </c>
      <c r="X9" s="1555"/>
      <c r="Y9" s="3391" t="s">
        <v>530</v>
      </c>
      <c r="Z9" s="3392"/>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91" t="s">
        <v>533</v>
      </c>
      <c r="Q10" s="3392"/>
      <c r="R10" s="1553" t="s">
        <v>8</v>
      </c>
      <c r="S10" s="1554">
        <f t="shared" si="0"/>
        <v>0</v>
      </c>
      <c r="T10" s="1553" t="s">
        <v>8</v>
      </c>
      <c r="U10" s="1554">
        <f t="shared" si="1"/>
        <v>0</v>
      </c>
      <c r="V10" s="1553" t="s">
        <v>8</v>
      </c>
      <c r="W10" s="1554">
        <f t="shared" si="2"/>
        <v>0</v>
      </c>
      <c r="X10" s="1555"/>
      <c r="Y10" s="3391" t="s">
        <v>533</v>
      </c>
      <c r="Z10" s="3392"/>
      <c r="AA10" s="1556" t="e">
        <f t="shared" ref="AA10:AA42" si="3">D10/F10</f>
        <v>#DIV/0!</v>
      </c>
      <c r="AB10" s="1556" t="e">
        <f t="shared" ref="AB10:AB42" si="4">D10/H10</f>
        <v>#DIV/0!</v>
      </c>
      <c r="AC10" s="1556" t="e">
        <f t="shared" ref="AC10:AC42" si="5">D10/J10</f>
        <v>#DIV/0!</v>
      </c>
    </row>
    <row r="11" spans="1:29" s="1215" customFormat="1" ht="14.4">
      <c r="A11" s="2868"/>
      <c r="B11" s="2875" t="s">
        <v>2756</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61" t="s">
        <v>535</v>
      </c>
      <c r="Q11" s="1146" t="str">
        <f t="shared" ref="Q11:Q17" si="6">B11</f>
        <v>用途</v>
      </c>
      <c r="R11" s="1553" t="s">
        <v>8</v>
      </c>
      <c r="S11" s="1554">
        <f t="shared" si="0"/>
        <v>100</v>
      </c>
      <c r="T11" s="1553" t="s">
        <v>8</v>
      </c>
      <c r="U11" s="1554">
        <f t="shared" si="1"/>
        <v>100</v>
      </c>
      <c r="V11" s="1553" t="s">
        <v>8</v>
      </c>
      <c r="W11" s="1554">
        <f t="shared" si="2"/>
        <v>100</v>
      </c>
      <c r="X11" s="1555"/>
      <c r="Y11" s="3307" t="s">
        <v>536</v>
      </c>
      <c r="Z11" s="1145" t="str">
        <f t="shared" ref="Z11:Z17" si="7">Q11</f>
        <v>用途</v>
      </c>
      <c r="AA11" s="1556">
        <f t="shared" si="3"/>
        <v>1</v>
      </c>
      <c r="AB11" s="1556">
        <f t="shared" si="4"/>
        <v>1</v>
      </c>
      <c r="AC11" s="1556">
        <f t="shared" si="5"/>
        <v>1</v>
      </c>
    </row>
    <row r="12" spans="1:29" s="1333" customFormat="1" ht="28.8">
      <c r="A12" s="2869"/>
      <c r="B12" s="2874" t="s">
        <v>2757</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61"/>
      <c r="Q12" s="1146" t="str">
        <f t="shared" si="6"/>
        <v>土地使用年限（年）</v>
      </c>
      <c r="R12" s="1553" t="s">
        <v>8</v>
      </c>
      <c r="S12" s="1554">
        <f t="shared" si="0"/>
        <v>102</v>
      </c>
      <c r="T12" s="1553" t="s">
        <v>8</v>
      </c>
      <c r="U12" s="1554">
        <f t="shared" si="1"/>
        <v>102</v>
      </c>
      <c r="V12" s="1553" t="s">
        <v>8</v>
      </c>
      <c r="W12" s="1554">
        <f t="shared" si="2"/>
        <v>102</v>
      </c>
      <c r="X12" s="1555"/>
      <c r="Y12" s="3307"/>
      <c r="Z12" s="1145" t="str">
        <f t="shared" si="7"/>
        <v>土地使用年限（年）</v>
      </c>
      <c r="AA12" s="1556">
        <f t="shared" si="3"/>
        <v>0.98039215686274506</v>
      </c>
      <c r="AB12" s="1556">
        <f t="shared" si="4"/>
        <v>0.98039215686274506</v>
      </c>
      <c r="AC12" s="1556">
        <f t="shared" si="5"/>
        <v>0.98039215686274506</v>
      </c>
    </row>
    <row r="13" spans="1:29" ht="15">
      <c r="A13" s="2870"/>
      <c r="B13" s="287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61"/>
      <c r="Q13" s="1146" t="str">
        <f t="shared" si="6"/>
        <v>容积率</v>
      </c>
      <c r="R13" s="1553" t="s">
        <v>8</v>
      </c>
      <c r="S13" s="1554" t="e">
        <f t="shared" si="0"/>
        <v>#N/A</v>
      </c>
      <c r="T13" s="1553" t="s">
        <v>8</v>
      </c>
      <c r="U13" s="1554" t="e">
        <f t="shared" si="1"/>
        <v>#N/A</v>
      </c>
      <c r="V13" s="1553" t="s">
        <v>8</v>
      </c>
      <c r="W13" s="1554" t="e">
        <f t="shared" si="2"/>
        <v>#N/A</v>
      </c>
      <c r="X13" s="1555"/>
      <c r="Y13" s="3307"/>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61"/>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61"/>
      <c r="Q15" s="1146">
        <f t="shared" si="6"/>
        <v>111</v>
      </c>
      <c r="R15" s="1553" t="s">
        <v>8</v>
      </c>
      <c r="S15" s="1554">
        <f t="shared" si="0"/>
        <v>100</v>
      </c>
      <c r="T15" s="1553" t="s">
        <v>8</v>
      </c>
      <c r="U15" s="1554">
        <f t="shared" si="1"/>
        <v>100</v>
      </c>
      <c r="V15" s="1553" t="s">
        <v>8</v>
      </c>
      <c r="W15" s="1554">
        <f t="shared" si="2"/>
        <v>100</v>
      </c>
      <c r="X15" s="1555"/>
      <c r="Y15" s="3307"/>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61"/>
      <c r="Q16" s="1146">
        <f t="shared" si="6"/>
        <v>111</v>
      </c>
      <c r="R16" s="1553" t="s">
        <v>8</v>
      </c>
      <c r="S16" s="1554">
        <f t="shared" si="0"/>
        <v>100</v>
      </c>
      <c r="T16" s="1553" t="s">
        <v>8</v>
      </c>
      <c r="U16" s="1554">
        <f t="shared" si="1"/>
        <v>100</v>
      </c>
      <c r="V16" s="1553" t="s">
        <v>8</v>
      </c>
      <c r="W16" s="1554">
        <f t="shared" si="2"/>
        <v>100</v>
      </c>
      <c r="X16" s="1555"/>
      <c r="Y16" s="3307"/>
      <c r="Z16" s="1145">
        <f t="shared" si="7"/>
        <v>111</v>
      </c>
      <c r="AA16" s="1556">
        <f t="shared" si="3"/>
        <v>1</v>
      </c>
      <c r="AB16" s="1556">
        <f t="shared" si="4"/>
        <v>1</v>
      </c>
      <c r="AC16" s="1556">
        <f t="shared" si="5"/>
        <v>1</v>
      </c>
    </row>
    <row r="17" spans="1:29" ht="69">
      <c r="A17" s="2864"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4" t="s">
        <v>540</v>
      </c>
      <c r="Q17" s="1557" t="str">
        <f t="shared" si="6"/>
        <v>产业集聚程度</v>
      </c>
      <c r="R17" s="1558" t="s">
        <v>8</v>
      </c>
      <c r="S17" s="1559">
        <f t="shared" si="0"/>
        <v>100</v>
      </c>
      <c r="T17" s="1558" t="s">
        <v>8</v>
      </c>
      <c r="U17" s="1559">
        <f t="shared" si="1"/>
        <v>100</v>
      </c>
      <c r="V17" s="1558" t="s">
        <v>8</v>
      </c>
      <c r="W17" s="1559">
        <f t="shared" si="2"/>
        <v>100</v>
      </c>
      <c r="X17" s="1552"/>
      <c r="Y17" s="3394"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5"/>
      <c r="Q18" s="1557"/>
      <c r="R18" s="1558"/>
      <c r="S18" s="1559"/>
      <c r="T18" s="1558"/>
      <c r="U18" s="1559"/>
      <c r="V18" s="1558"/>
      <c r="W18" s="1559"/>
      <c r="X18" s="1552"/>
      <c r="Y18" s="3395"/>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5"/>
      <c r="Q19" s="1557" t="str">
        <f>B19</f>
        <v>交通便捷度</v>
      </c>
      <c r="R19" s="1558" t="s">
        <v>8</v>
      </c>
      <c r="S19" s="1559">
        <f>F19</f>
        <v>100</v>
      </c>
      <c r="T19" s="1558" t="s">
        <v>8</v>
      </c>
      <c r="U19" s="1559">
        <f>H19</f>
        <v>100</v>
      </c>
      <c r="V19" s="1558" t="s">
        <v>8</v>
      </c>
      <c r="W19" s="1559">
        <f>J19</f>
        <v>100</v>
      </c>
      <c r="X19" s="1552"/>
      <c r="Y19" s="3395"/>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5"/>
      <c r="Q20" s="1557"/>
      <c r="R20" s="1558"/>
      <c r="S20" s="1559"/>
      <c r="T20" s="1558"/>
      <c r="U20" s="1559"/>
      <c r="V20" s="1558"/>
      <c r="W20" s="1559"/>
      <c r="X20" s="1552"/>
      <c r="Y20" s="3395"/>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5"/>
      <c r="Q21" s="1557" t="str">
        <f t="shared" ref="Q21:Q35" si="8">B21</f>
        <v>区域土地利用方向</v>
      </c>
      <c r="R21" s="1558" t="s">
        <v>8</v>
      </c>
      <c r="S21" s="1559">
        <f>F21</f>
        <v>100</v>
      </c>
      <c r="T21" s="1558" t="s">
        <v>8</v>
      </c>
      <c r="U21" s="1559">
        <f>H21</f>
        <v>100</v>
      </c>
      <c r="V21" s="1558" t="s">
        <v>8</v>
      </c>
      <c r="W21" s="1559">
        <f>J21</f>
        <v>100</v>
      </c>
      <c r="X21" s="1552"/>
      <c r="Y21" s="339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5"/>
      <c r="Q22" s="1557"/>
      <c r="R22" s="1558"/>
      <c r="S22" s="1559"/>
      <c r="T22" s="1558"/>
      <c r="U22" s="1559"/>
      <c r="V22" s="1558"/>
      <c r="W22" s="1559"/>
      <c r="X22" s="1552"/>
      <c r="Y22" s="3395"/>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5"/>
      <c r="Q23" s="1557" t="str">
        <f t="shared" si="8"/>
        <v>环境状况</v>
      </c>
      <c r="R23" s="1558" t="s">
        <v>8</v>
      </c>
      <c r="S23" s="1559">
        <f>F23</f>
        <v>100</v>
      </c>
      <c r="T23" s="1558" t="s">
        <v>8</v>
      </c>
      <c r="U23" s="1559">
        <f>H23</f>
        <v>100</v>
      </c>
      <c r="V23" s="1558" t="s">
        <v>8</v>
      </c>
      <c r="W23" s="1559">
        <f>J23</f>
        <v>100</v>
      </c>
      <c r="X23" s="1552"/>
      <c r="Y23" s="339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5"/>
      <c r="Q24" s="1557"/>
      <c r="R24" s="1558"/>
      <c r="S24" s="1559"/>
      <c r="T24" s="1558"/>
      <c r="U24" s="1559"/>
      <c r="V24" s="1558"/>
      <c r="W24" s="1559"/>
      <c r="X24" s="1552"/>
      <c r="Y24" s="3395"/>
      <c r="Z24" s="1560"/>
      <c r="AA24" s="1561">
        <v>1</v>
      </c>
      <c r="AB24" s="1561">
        <v>1</v>
      </c>
      <c r="AC24" s="1561">
        <v>1</v>
      </c>
    </row>
    <row r="25" spans="1:29" s="1215" customFormat="1" ht="41.4">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5"/>
      <c r="Q25" s="1146" t="str">
        <f t="shared" si="8"/>
        <v>公共配套设施</v>
      </c>
      <c r="R25" s="1553" t="s">
        <v>8</v>
      </c>
      <c r="S25" s="1554">
        <f>F25</f>
        <v>100</v>
      </c>
      <c r="T25" s="1553" t="s">
        <v>8</v>
      </c>
      <c r="U25" s="1554">
        <f>H25</f>
        <v>100</v>
      </c>
      <c r="V25" s="1553" t="s">
        <v>8</v>
      </c>
      <c r="W25" s="1554">
        <f>J25</f>
        <v>100</v>
      </c>
      <c r="X25" s="1555"/>
      <c r="Y25" s="3395"/>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5"/>
      <c r="Q26" s="1146"/>
      <c r="R26" s="1553"/>
      <c r="S26" s="1554"/>
      <c r="T26" s="1553"/>
      <c r="U26" s="1554"/>
      <c r="V26" s="1553"/>
      <c r="W26" s="1554"/>
      <c r="X26" s="1555"/>
      <c r="Y26" s="3395"/>
      <c r="Z26" s="1145"/>
      <c r="AA26" s="1556">
        <v>1</v>
      </c>
      <c r="AB26" s="1556">
        <v>1</v>
      </c>
      <c r="AC26" s="1556">
        <v>1</v>
      </c>
    </row>
    <row r="27" spans="1:29" s="1215" customFormat="1" ht="41.4">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5"/>
      <c r="Q27" s="2541" t="str">
        <f t="shared" ref="Q27" si="9">B27</f>
        <v>基础设施水平</v>
      </c>
      <c r="R27" s="1553" t="s">
        <v>8</v>
      </c>
      <c r="S27" s="1554">
        <f>F27</f>
        <v>100</v>
      </c>
      <c r="T27" s="1553" t="s">
        <v>8</v>
      </c>
      <c r="U27" s="1554">
        <f>H27</f>
        <v>100</v>
      </c>
      <c r="V27" s="1553" t="s">
        <v>8</v>
      </c>
      <c r="W27" s="1554">
        <f>J27</f>
        <v>100</v>
      </c>
      <c r="X27" s="1555"/>
      <c r="Y27" s="3395"/>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5"/>
      <c r="Q28" s="2541"/>
      <c r="R28" s="1553"/>
      <c r="S28" s="1554"/>
      <c r="T28" s="1553"/>
      <c r="U28" s="1554"/>
      <c r="V28" s="1553"/>
      <c r="W28" s="1554"/>
      <c r="X28" s="1555"/>
      <c r="Y28" s="339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5"/>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5"/>
      <c r="Q30" s="1557" t="str">
        <f t="shared" si="8"/>
        <v>毗邻道路的类型与等级</v>
      </c>
      <c r="R30" s="1558" t="s">
        <v>8</v>
      </c>
      <c r="S30" s="1559">
        <f t="shared" si="10"/>
        <v>100</v>
      </c>
      <c r="T30" s="1558" t="s">
        <v>8</v>
      </c>
      <c r="U30" s="1559">
        <f t="shared" si="11"/>
        <v>100</v>
      </c>
      <c r="V30" s="1558" t="s">
        <v>8</v>
      </c>
      <c r="W30" s="1559">
        <f t="shared" si="12"/>
        <v>100</v>
      </c>
      <c r="X30" s="1552"/>
      <c r="Y30" s="3395"/>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5"/>
      <c r="Q31" s="1557"/>
      <c r="R31" s="1558"/>
      <c r="S31" s="1559"/>
      <c r="T31" s="1558"/>
      <c r="U31" s="1559"/>
      <c r="V31" s="1558"/>
      <c r="W31" s="1559"/>
      <c r="X31" s="1552"/>
      <c r="Y31" s="339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5"/>
      <c r="Q32" s="1557" t="str">
        <f t="shared" si="8"/>
        <v>土地级别</v>
      </c>
      <c r="R32" s="1558" t="s">
        <v>8</v>
      </c>
      <c r="S32" s="1559">
        <f t="shared" si="10"/>
        <v>100</v>
      </c>
      <c r="T32" s="1558" t="s">
        <v>8</v>
      </c>
      <c r="U32" s="1559">
        <f t="shared" si="11"/>
        <v>100</v>
      </c>
      <c r="V32" s="1558" t="s">
        <v>8</v>
      </c>
      <c r="W32" s="1559">
        <f t="shared" si="12"/>
        <v>100</v>
      </c>
      <c r="X32" s="1552"/>
      <c r="Y32" s="3395"/>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5"/>
      <c r="Q33" s="1557">
        <f t="shared" si="8"/>
        <v>111</v>
      </c>
      <c r="R33" s="1558" t="s">
        <v>8</v>
      </c>
      <c r="S33" s="1559">
        <f t="shared" si="10"/>
        <v>100</v>
      </c>
      <c r="T33" s="1558" t="s">
        <v>8</v>
      </c>
      <c r="U33" s="1559">
        <f t="shared" si="11"/>
        <v>100</v>
      </c>
      <c r="V33" s="1558" t="s">
        <v>8</v>
      </c>
      <c r="W33" s="1559">
        <f t="shared" si="12"/>
        <v>100</v>
      </c>
      <c r="X33" s="1552"/>
      <c r="Y33" s="3395"/>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6" t="s">
        <v>550</v>
      </c>
      <c r="Q34" s="1557">
        <f t="shared" si="8"/>
        <v>111</v>
      </c>
      <c r="R34" s="1558" t="s">
        <v>8</v>
      </c>
      <c r="S34" s="1559">
        <f t="shared" si="10"/>
        <v>100</v>
      </c>
      <c r="T34" s="1558" t="s">
        <v>8</v>
      </c>
      <c r="U34" s="1559">
        <f t="shared" si="11"/>
        <v>100</v>
      </c>
      <c r="V34" s="1558" t="s">
        <v>8</v>
      </c>
      <c r="W34" s="1559">
        <f t="shared" si="12"/>
        <v>100</v>
      </c>
      <c r="X34" s="1552"/>
      <c r="Y34" s="3397"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7"/>
      <c r="Q35" s="1557">
        <f t="shared" si="8"/>
        <v>111</v>
      </c>
      <c r="R35" s="1562" t="s">
        <v>8</v>
      </c>
      <c r="S35" s="1563">
        <f t="shared" si="10"/>
        <v>100</v>
      </c>
      <c r="T35" s="1562" t="s">
        <v>8</v>
      </c>
      <c r="U35" s="1563">
        <f t="shared" si="11"/>
        <v>100</v>
      </c>
      <c r="V35" s="1562" t="s">
        <v>8</v>
      </c>
      <c r="W35" s="1563">
        <f t="shared" si="12"/>
        <v>100</v>
      </c>
      <c r="X35" s="1564"/>
      <c r="Y35" s="3397"/>
      <c r="Z35" s="1565">
        <f t="shared" si="13"/>
        <v>111</v>
      </c>
      <c r="AA35" s="1561">
        <f t="shared" si="3"/>
        <v>1</v>
      </c>
      <c r="AB35" s="1561">
        <f t="shared" si="4"/>
        <v>1</v>
      </c>
      <c r="AC35" s="1561">
        <f t="shared" si="5"/>
        <v>1</v>
      </c>
    </row>
    <row r="36" spans="1:29" ht="15">
      <c r="A36" s="286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7"/>
      <c r="Q36" s="1557" t="str">
        <f>B36</f>
        <v>宗地面积</v>
      </c>
      <c r="R36" s="1558" t="s">
        <v>8</v>
      </c>
      <c r="S36" s="1559" t="e">
        <f t="shared" si="10"/>
        <v>#N/A</v>
      </c>
      <c r="T36" s="1558" t="s">
        <v>8</v>
      </c>
      <c r="U36" s="1559" t="e">
        <f t="shared" si="11"/>
        <v>#N/A</v>
      </c>
      <c r="V36" s="1558" t="s">
        <v>8</v>
      </c>
      <c r="W36" s="1559" t="e">
        <f t="shared" si="12"/>
        <v>#N/A</v>
      </c>
      <c r="X36" s="1552"/>
      <c r="Y36" s="3397"/>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7"/>
      <c r="Q37" s="1557" t="str">
        <f t="shared" ref="Q37:Q42" si="14">B37</f>
        <v>宗地形状</v>
      </c>
      <c r="R37" s="1558" t="s">
        <v>8</v>
      </c>
      <c r="S37" s="1559">
        <f t="shared" si="10"/>
        <v>100</v>
      </c>
      <c r="T37" s="1558" t="s">
        <v>8</v>
      </c>
      <c r="U37" s="1559">
        <f t="shared" si="11"/>
        <v>100</v>
      </c>
      <c r="V37" s="1558" t="s">
        <v>8</v>
      </c>
      <c r="W37" s="1559">
        <f t="shared" si="12"/>
        <v>100</v>
      </c>
      <c r="X37" s="1552"/>
      <c r="Y37" s="3397"/>
      <c r="Z37" s="1560" t="str">
        <f t="shared" si="13"/>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7"/>
      <c r="Q38" s="1557" t="str">
        <f t="shared" si="14"/>
        <v>宗地开发程度</v>
      </c>
      <c r="R38" s="1553" t="s">
        <v>8</v>
      </c>
      <c r="S38" s="1554">
        <f t="shared" si="10"/>
        <v>100</v>
      </c>
      <c r="T38" s="1553" t="s">
        <v>8</v>
      </c>
      <c r="U38" s="1554">
        <f t="shared" si="11"/>
        <v>100</v>
      </c>
      <c r="V38" s="1553" t="s">
        <v>8</v>
      </c>
      <c r="W38" s="1554">
        <f t="shared" si="12"/>
        <v>100</v>
      </c>
      <c r="X38" s="1555"/>
      <c r="Y38" s="3397"/>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7" t="s">
        <v>601</v>
      </c>
      <c r="Q39" s="1557" t="str">
        <f t="shared" si="14"/>
        <v>工程地质条件</v>
      </c>
      <c r="R39" s="1558" t="s">
        <v>8</v>
      </c>
      <c r="S39" s="1559">
        <f t="shared" si="10"/>
        <v>100</v>
      </c>
      <c r="T39" s="1558" t="s">
        <v>8</v>
      </c>
      <c r="U39" s="1559">
        <f t="shared" si="11"/>
        <v>100</v>
      </c>
      <c r="V39" s="1558" t="s">
        <v>8</v>
      </c>
      <c r="W39" s="1559">
        <f t="shared" si="12"/>
        <v>100</v>
      </c>
      <c r="X39" s="1552"/>
      <c r="Y39" s="3397"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7"/>
      <c r="Q40" s="1557">
        <f t="shared" si="14"/>
        <v>111</v>
      </c>
      <c r="R40" s="1558" t="s">
        <v>8</v>
      </c>
      <c r="S40" s="1559">
        <f t="shared" si="10"/>
        <v>100</v>
      </c>
      <c r="T40" s="1558" t="s">
        <v>8</v>
      </c>
      <c r="U40" s="1559">
        <f t="shared" si="11"/>
        <v>100</v>
      </c>
      <c r="V40" s="1558" t="s">
        <v>8</v>
      </c>
      <c r="W40" s="1559">
        <f t="shared" si="12"/>
        <v>100</v>
      </c>
      <c r="X40" s="1552"/>
      <c r="Y40" s="3397"/>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7"/>
      <c r="Q41" s="1557">
        <f t="shared" si="14"/>
        <v>111</v>
      </c>
      <c r="R41" s="1558" t="s">
        <v>8</v>
      </c>
      <c r="S41" s="1559">
        <f t="shared" si="10"/>
        <v>100</v>
      </c>
      <c r="T41" s="1558" t="s">
        <v>8</v>
      </c>
      <c r="U41" s="1559">
        <f t="shared" si="11"/>
        <v>100</v>
      </c>
      <c r="V41" s="1558" t="s">
        <v>8</v>
      </c>
      <c r="W41" s="1559">
        <f t="shared" si="12"/>
        <v>100</v>
      </c>
      <c r="X41" s="1552"/>
      <c r="Y41" s="3397"/>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7"/>
      <c r="Q42" s="1557">
        <f t="shared" si="14"/>
        <v>111</v>
      </c>
      <c r="R42" s="1562" t="s">
        <v>8</v>
      </c>
      <c r="S42" s="1563">
        <f t="shared" si="10"/>
        <v>100</v>
      </c>
      <c r="T42" s="1562" t="s">
        <v>8</v>
      </c>
      <c r="U42" s="1563">
        <f t="shared" si="11"/>
        <v>100</v>
      </c>
      <c r="V42" s="1562" t="s">
        <v>8</v>
      </c>
      <c r="W42" s="1563">
        <f t="shared" si="12"/>
        <v>100</v>
      </c>
      <c r="X42" s="1564"/>
      <c r="Y42" s="3397"/>
      <c r="Z42" s="1565">
        <f t="shared" si="13"/>
        <v>111</v>
      </c>
      <c r="AA42" s="1561">
        <f t="shared" si="3"/>
        <v>1</v>
      </c>
      <c r="AB42" s="1561">
        <f t="shared" si="4"/>
        <v>1</v>
      </c>
      <c r="AC42" s="1561">
        <f t="shared" si="5"/>
        <v>1</v>
      </c>
    </row>
    <row r="43" spans="1:29" ht="14.4">
      <c r="A43" s="607" t="s">
        <v>556</v>
      </c>
      <c r="B43" s="608" t="s">
        <v>2931</v>
      </c>
      <c r="C43" s="609" t="s">
        <v>1</v>
      </c>
      <c r="D43" s="610"/>
      <c r="E43" s="611"/>
      <c r="F43" s="612"/>
      <c r="G43" s="613"/>
      <c r="H43" s="614"/>
      <c r="I43" s="611"/>
      <c r="J43" s="614"/>
      <c r="K43" s="1335"/>
      <c r="L43" s="2128"/>
      <c r="M43" s="2118"/>
      <c r="N43" s="2118"/>
      <c r="O43" s="2129"/>
      <c r="P43" s="3361" t="str">
        <f>A43</f>
        <v>成交单价</v>
      </c>
      <c r="Q43" s="3361"/>
      <c r="R43" s="3362">
        <f>E43</f>
        <v>0</v>
      </c>
      <c r="S43" s="3362"/>
      <c r="T43" s="3362">
        <f>G43</f>
        <v>0</v>
      </c>
      <c r="U43" s="3362"/>
      <c r="V43" s="3362">
        <f>I43</f>
        <v>0</v>
      </c>
      <c r="W43" s="3362"/>
      <c r="X43" s="1544"/>
      <c r="Y43" s="1566"/>
      <c r="Z43" s="1544"/>
      <c r="AA43" s="1544"/>
      <c r="AB43" s="1544"/>
      <c r="AC43" s="1544"/>
    </row>
    <row r="44" spans="1:29" ht="15" thickBot="1">
      <c r="A44" s="615" t="s">
        <v>2693</v>
      </c>
      <c r="B44" s="616"/>
      <c r="C44" s="617" t="e">
        <f>R45</f>
        <v>#DIV/0!</v>
      </c>
      <c r="D44" s="618"/>
      <c r="E44" s="617" t="e">
        <f>R44</f>
        <v>#DIV/0!</v>
      </c>
      <c r="F44" s="619"/>
      <c r="G44" s="620" t="e">
        <f>T44</f>
        <v>#DIV/0!</v>
      </c>
      <c r="H44" s="618"/>
      <c r="I44" s="617" t="e">
        <f>V44</f>
        <v>#DIV/0!</v>
      </c>
      <c r="J44" s="618"/>
      <c r="K44" s="1336"/>
      <c r="L44" s="2128"/>
      <c r="M44" s="2118"/>
      <c r="N44" s="2118"/>
      <c r="O44" s="2129"/>
      <c r="P44" s="3361" t="str">
        <f>A44</f>
        <v>比较价格（元/平方米）</v>
      </c>
      <c r="Q44" s="3361"/>
      <c r="R44" s="3363" t="e">
        <f>ROUND(PRODUCT(R43,AA9:AA42),0)</f>
        <v>#DIV/0!</v>
      </c>
      <c r="S44" s="3363"/>
      <c r="T44" s="3363" t="e">
        <f>ROUND(PRODUCT(T43,AB9:AB42),0)</f>
        <v>#DIV/0!</v>
      </c>
      <c r="U44" s="3363"/>
      <c r="V44" s="3363" t="e">
        <f>ROUND(PRODUCT(V43,AC9:AC42),0)</f>
        <v>#DIV/0!</v>
      </c>
      <c r="W44" s="3363"/>
      <c r="X44" s="1544"/>
      <c r="Y44" s="1544"/>
      <c r="Z44" s="1544"/>
      <c r="AA44" s="1544"/>
      <c r="AB44" s="1544"/>
      <c r="AC44" s="1544"/>
    </row>
    <row r="45" spans="1:29" ht="15" thickBot="1">
      <c r="A45" s="621" t="s">
        <v>2932</v>
      </c>
      <c r="B45" s="622"/>
      <c r="C45" s="623" t="e">
        <f>R45</f>
        <v>#DIV/0!</v>
      </c>
      <c r="D45" s="623"/>
      <c r="E45" s="623"/>
      <c r="F45" s="623"/>
      <c r="G45" s="623"/>
      <c r="H45" s="623"/>
      <c r="I45" s="623"/>
      <c r="J45" s="623"/>
      <c r="K45" s="1337"/>
      <c r="L45" s="2128"/>
      <c r="M45" s="2118"/>
      <c r="N45" s="2118"/>
      <c r="O45" s="2129"/>
      <c r="P45" s="3358" t="str">
        <f>A45</f>
        <v>估价对象XX用房的比较价格（楼面单价，元/平方米）</v>
      </c>
      <c r="Q45" s="3359"/>
      <c r="R45" s="3360" t="e">
        <f>ROUND(AVERAGE(R44:V44),0)</f>
        <v>#DIV/0!</v>
      </c>
      <c r="S45" s="3360"/>
      <c r="T45" s="3360"/>
      <c r="U45" s="3360"/>
      <c r="V45" s="3360"/>
      <c r="W45" s="336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2293</v>
      </c>
      <c r="E52" s="631" t="s">
        <v>562</v>
      </c>
      <c r="F52" s="1935" t="s">
        <v>563</v>
      </c>
      <c r="G52" s="3406" t="s">
        <v>2284</v>
      </c>
      <c r="H52" s="3407"/>
      <c r="I52" s="1936" t="s">
        <v>1945</v>
      </c>
      <c r="J52" s="1540" t="str">
        <f>项目基本情况!F41</f>
        <v>陕西省西安市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158742</v>
      </c>
      <c r="F53" s="1934" t="e">
        <f t="shared" ref="F53:F62" si="15">ROUND(B53*E53/10000,0)</f>
        <v>#DIV/0!</v>
      </c>
      <c r="G53" s="3408"/>
      <c r="H53" s="3409"/>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10"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10"/>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10"/>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10"/>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44309</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2294</v>
      </c>
      <c r="E63" s="643">
        <f>IF(B43="楼面地价",SUM(E53:E62),'数据-汇总表'!D3)</f>
        <v>44066.5</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2533</v>
      </c>
      <c r="B67" s="646"/>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2548</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2550</v>
      </c>
      <c r="C95" s="2561" t="s">
        <v>2551</v>
      </c>
      <c r="D95" s="2561" t="s">
        <v>2552</v>
      </c>
      <c r="E95" s="2561" t="s">
        <v>2553</v>
      </c>
      <c r="F95" s="2561" t="s">
        <v>2554</v>
      </c>
      <c r="G95" s="2561" t="s">
        <v>2555</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4" sqref="J54"/>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2280</v>
      </c>
      <c r="B4" s="2416" t="e">
        <f>ROUND(B2*10000/F1,0)</f>
        <v>#DIV/0!</v>
      </c>
      <c r="C4" s="1878" t="s">
        <v>2254</v>
      </c>
      <c r="D4" s="1878" t="e">
        <f>ROUND(B2/(F1/666.67),0)</f>
        <v>#DIV/0!</v>
      </c>
      <c r="E4" s="1878" t="s">
        <v>2255</v>
      </c>
      <c r="F4" s="1876"/>
      <c r="G4" s="1876"/>
      <c r="H4" s="1876"/>
      <c r="I4" s="1876"/>
      <c r="J4" s="1877"/>
      <c r="K4" s="3142"/>
      <c r="L4" s="1869" t="s">
        <v>2241</v>
      </c>
      <c r="M4" s="1870">
        <f>SUMPRODUCT((区片价!B49:B75=I2)*(区片价!C3:F3=E2)*(区片价!C49:F75))</f>
        <v>0</v>
      </c>
      <c r="N4" s="1871">
        <f>SUMPRODUCT((因素修正幅度!B49:B75=I2)*(因素修正幅度!C3:F3=E2)*(因素修正幅度!C49:F75))</f>
        <v>0</v>
      </c>
      <c r="O4" s="314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6" t="e">
        <f>ROUND(C6+C16,0)</f>
        <v>#DIV/0!</v>
      </c>
      <c r="E5" s="3066"/>
      <c r="F5" s="1411"/>
      <c r="G5" s="1412"/>
      <c r="H5" s="1412"/>
      <c r="I5" s="1412"/>
      <c r="J5" s="1413"/>
      <c r="K5" s="3143"/>
      <c r="L5" s="1869" t="s">
        <v>2242</v>
      </c>
      <c r="M5" s="1870">
        <f>SUMPRODUCT((区片价!B76:B109=I2)*(区片价!C3:F3=E2)*(区片价!C76:F109))</f>
        <v>0</v>
      </c>
      <c r="N5" s="1871">
        <f>SUMPRODUCT((因素修正幅度!B76:B109=I2)*(因素修正幅度!C3:F3=E2)*(因素修正幅度!C76:F109))</f>
        <v>0</v>
      </c>
      <c r="O5" s="314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2765</v>
      </c>
      <c r="X7" s="2881">
        <f>G2</f>
        <v>0</v>
      </c>
      <c r="Y7" s="2881" t="s">
        <v>2766</v>
      </c>
      <c r="Z7" s="2882">
        <f>G3</f>
        <v>0</v>
      </c>
      <c r="AA7" s="2176"/>
      <c r="AB7" s="2176"/>
      <c r="AC7" s="2177"/>
      <c r="AD7" s="2883"/>
      <c r="AE7" s="2883"/>
      <c r="AF7" s="2883"/>
      <c r="AG7" s="2883"/>
      <c r="AH7" s="2883"/>
      <c r="AI7" s="2883"/>
      <c r="AJ7" s="2884"/>
    </row>
    <row r="8" spans="1:39" ht="15">
      <c r="A8" s="342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12" t="s">
        <v>2783</v>
      </c>
      <c r="X8" s="3413"/>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2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1" t="s">
        <v>2779</v>
      </c>
      <c r="X9" s="2885" t="s">
        <v>2780</v>
      </c>
      <c r="Y9" s="3044"/>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1" t="s">
        <v>2781</v>
      </c>
      <c r="X11" s="1047" t="s">
        <v>2766</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1"/>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39" t="s">
        <v>1696</v>
      </c>
      <c r="C13" s="1440" t="s">
        <v>1697</v>
      </c>
      <c r="D13" s="1084" t="s">
        <v>1698</v>
      </c>
      <c r="E13" s="1084" t="s">
        <v>1699</v>
      </c>
      <c r="F13" s="1441" t="s">
        <v>948</v>
      </c>
      <c r="G13" s="1442" t="s">
        <v>1642</v>
      </c>
      <c r="H13" s="1443" t="s">
        <v>1642</v>
      </c>
      <c r="I13" s="1444" t="s">
        <v>1642</v>
      </c>
      <c r="J13" s="1445" t="s">
        <v>1642</v>
      </c>
      <c r="K13" s="3158"/>
      <c r="L13" s="3158"/>
      <c r="M13" s="3158"/>
      <c r="N13" s="3158"/>
      <c r="O13" s="3158"/>
      <c r="P13" s="1396"/>
      <c r="Q13" s="2173"/>
      <c r="R13" s="2891">
        <v>12</v>
      </c>
      <c r="S13" s="2880"/>
      <c r="T13" s="2891" t="e">
        <f t="shared" si="0"/>
        <v>#DIV/0!</v>
      </c>
      <c r="U13" s="2880"/>
      <c r="V13" s="2891" t="e">
        <f t="shared" si="1"/>
        <v>#DIV/0!</v>
      </c>
      <c r="W13" s="341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4"/>
      <c r="B14" s="1446"/>
      <c r="C14" s="1447"/>
      <c r="D14" s="1448"/>
      <c r="E14" s="1448"/>
      <c r="F14" s="1449"/>
      <c r="G14" s="1450" t="s">
        <v>949</v>
      </c>
      <c r="H14" s="1451"/>
      <c r="I14" s="1452"/>
      <c r="J14" s="1453"/>
      <c r="K14" s="3144"/>
      <c r="L14" s="3144"/>
      <c r="M14" s="3144"/>
      <c r="N14" s="3144"/>
      <c r="O14" s="314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3" t="s">
        <v>1700</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1838</v>
      </c>
      <c r="B16" s="1422" t="s">
        <v>950</v>
      </c>
      <c r="C16" s="1051" t="e">
        <f>ROUND(IF(F17="与级别开发程度一致",0,(G17-E17)/C17),0)</f>
        <v>#DIV/0!</v>
      </c>
      <c r="D16" s="3419" t="s">
        <v>954</v>
      </c>
      <c r="E16" s="3420"/>
      <c r="F16" s="3419" t="s">
        <v>951</v>
      </c>
      <c r="G16" s="3420"/>
      <c r="H16" s="1454"/>
      <c r="I16" s="1454"/>
      <c r="J16" s="1454"/>
      <c r="K16" s="1454"/>
      <c r="L16" s="1454"/>
      <c r="M16" s="1454"/>
      <c r="N16" s="1454"/>
      <c r="O16" s="3168"/>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6"/>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4" t="s">
        <v>955</v>
      </c>
      <c r="C18" s="3165">
        <f>SUMIF(修正!C18:C39,E3,修正!E18:E39)</f>
        <v>0</v>
      </c>
      <c r="D18" s="3166"/>
      <c r="E18" s="3167"/>
      <c r="F18" s="3149"/>
      <c r="G18" s="3143"/>
      <c r="H18" s="3143"/>
      <c r="I18" s="3143"/>
      <c r="J18" s="3157"/>
      <c r="K18" s="3143"/>
      <c r="L18" s="3143"/>
      <c r="M18" s="3143"/>
      <c r="N18" s="3143"/>
      <c r="O18" s="314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f>ROUND(IF(H19="按公示增长率计算",SUMPRODUCT((地价!A3:A27=YEAR(G19)&amp;"-"&amp;ROUNDUP(MONTH(G19)/3,0))*(地价!X2:AB2=E2)*(地价!X3:AB27)),IF(H19="地价指数",M20/M19,(1+I19)^O19)),4)</f>
        <v>0</v>
      </c>
      <c r="D19" s="1461" t="s">
        <v>957</v>
      </c>
      <c r="E19" s="1053">
        <v>41640</v>
      </c>
      <c r="F19" s="1461" t="s">
        <v>958</v>
      </c>
      <c r="G19" s="1054">
        <f>'数据-取费表'!B2</f>
        <v>43776</v>
      </c>
      <c r="H19" s="1462" t="s">
        <v>2992</v>
      </c>
      <c r="I19" s="2739" t="str">
        <f>IF(H19="季度增幅（自定义）",SUMIF(N21:N24,E2,O21:O24),"")</f>
        <v/>
      </c>
      <c r="J19" s="1458"/>
      <c r="K19" s="3143"/>
      <c r="L19" s="2989" t="s">
        <v>2841</v>
      </c>
      <c r="M19" s="2990">
        <f>ROUND(SUMIF(地价!B2:F2,E2,地价!B27:F27),0)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1">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5"/>
      <c r="L20" s="2991" t="s">
        <v>2842</v>
      </c>
      <c r="M20" s="3152">
        <f>ROUND(SUMPRODUCT((地价!A4:A27=YEAR(G19)&amp;"-"&amp;ROUNDUP(MONTH(G19)/3,0))*(地价!B2:F2=E2)*(地价!B4:F27)),0)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2761</v>
      </c>
      <c r="C21" s="1153">
        <f>IF(B21="容积率修正",IF(G3&lt;=10,D22,J22),C23)</f>
        <v>0</v>
      </c>
      <c r="D21" s="1468"/>
      <c r="E21" s="1468"/>
      <c r="F21" s="1468"/>
      <c r="G21" s="1468"/>
      <c r="H21" s="1468"/>
      <c r="I21" s="1468"/>
      <c r="J21" s="1469"/>
      <c r="K21" s="3143"/>
      <c r="L21" s="1468"/>
      <c r="M21" s="1468"/>
      <c r="N21" s="1465" t="s">
        <v>975</v>
      </c>
      <c r="O21" s="1528"/>
      <c r="P21" s="2731">
        <f>SUMPRODUCT((地价!A3:A27=YEAR(G19)&amp;"-"&amp;ROUNDUP(MONTH(G19)/3,0))*(地价!AD2:AH2=N21)*(地价!AD3:AH27))</f>
        <v>0</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6"/>
      <c r="L22" s="1468"/>
      <c r="M22" s="1468"/>
      <c r="N22" s="1465" t="s">
        <v>978</v>
      </c>
      <c r="O22" s="1528"/>
      <c r="P22" s="2731">
        <f>SUMPRODUCT((地价!A3:A27=YEAR(G19)&amp;"-"&amp;ROUNDUP(MONTH(G19)/3,0))*(地价!AD2:AH2=N22)*(地价!AD3:AH27))</f>
        <v>0</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7"/>
      <c r="L23" s="1396"/>
      <c r="M23" s="1396"/>
      <c r="N23" s="1465" t="s">
        <v>923</v>
      </c>
      <c r="O23" s="1528"/>
      <c r="P23" s="2731">
        <f>SUMPRODUCT((地价!A3:A27=YEAR(G19)&amp;"-"&amp;ROUNDUP(MONTH(G19)/3,0))*(地价!AD2:AH2=N23)*(地价!AD3:AH27))</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47"/>
      <c r="L24" s="1468"/>
      <c r="M24" s="1468"/>
      <c r="N24" s="1465" t="s">
        <v>981</v>
      </c>
      <c r="O24" s="3151"/>
      <c r="P24" s="2731">
        <f>SUMPRODUCT((地价!A3:A27=YEAR(G19)&amp;"-"&amp;ROUNDUP(MONTH(G19)/3,0))*(地价!AD2:AH2=N24)*(地价!AD3:AH27))</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3" t="s">
        <v>2648</v>
      </c>
      <c r="O25" s="3154"/>
      <c r="P25" s="2410">
        <f>SUMPRODUCT((地价!A3:A27=YEAR(G19)&amp;"-"&amp;ROUNDUP(MONTH(G19)/3,0))*(地价!AD2:AH2=N25)*(地价!AD3:AH27))</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48"/>
      <c r="L29" s="3148"/>
      <c r="M29" s="3148"/>
      <c r="N29" s="3148"/>
      <c r="O29" s="314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49"/>
      <c r="L32" s="3149"/>
      <c r="M32" s="3149"/>
      <c r="N32" s="3149"/>
      <c r="O32" s="314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29"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0"/>
      <c r="L33" s="3150"/>
      <c r="M33" s="3150"/>
      <c r="N33" s="3150"/>
      <c r="O33" s="315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0"/>
      <c r="L34" s="3150"/>
      <c r="M34" s="3150"/>
      <c r="N34" s="3150"/>
      <c r="O34" s="315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0"/>
      <c r="L35" s="3150"/>
      <c r="M35" s="3150"/>
      <c r="N35" s="3150"/>
      <c r="O35" s="315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3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0"/>
      <c r="L36" s="3150"/>
      <c r="M36" s="3150"/>
      <c r="N36" s="3150"/>
      <c r="O36" s="315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1" t="s">
        <v>2984</v>
      </c>
      <c r="C41" s="839" t="e">
        <f>ROUND(POWER(1+E41,H41-G41)*(POWER(1+E41,G41)-1)/(POWER(1+E41,H41)-1),4)</f>
        <v>#DIV/0!</v>
      </c>
      <c r="D41" s="378" t="s">
        <v>2982</v>
      </c>
      <c r="E41" s="3140">
        <f>G20</f>
        <v>0</v>
      </c>
      <c r="F41" s="378" t="s">
        <v>2983</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2" t="s">
        <v>1020</v>
      </c>
      <c r="B47" s="2374" t="str">
        <f>估价对象房地状况!C16</f>
        <v>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2" t="s">
        <v>1021</v>
      </c>
      <c r="B48" s="2371" t="str">
        <f>估价对象房地状况!C18</f>
        <v>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较好</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3"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次干道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2"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七通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t="str">
        <f>估价对象房地状况!C17</f>
        <v>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2" t="s">
        <v>1021</v>
      </c>
      <c r="B59" s="2371" t="str">
        <f>估价对象房地状况!C18</f>
        <v>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较好</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3"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次干道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2"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七通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2" t="s">
        <v>1032</v>
      </c>
      <c r="B69" s="2374" t="str">
        <f>估价对象房地状况!C15</f>
        <v>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2" t="s">
        <v>1033</v>
      </c>
      <c r="B70" s="2371" t="str">
        <f>估价对象房地状况!C18</f>
        <v>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较好</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t="str">
        <f>估价对象房地状况!C24</f>
        <v>次干道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七通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2"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2"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7" t="s">
        <v>1633</v>
      </c>
      <c r="B90" s="3427"/>
      <c r="C90" s="3427"/>
      <c r="D90" s="3427"/>
      <c r="E90" s="3427"/>
      <c r="F90" s="3427"/>
      <c r="G90" s="3427"/>
      <c r="H90" s="3427"/>
      <c r="I90" s="3427"/>
      <c r="J90" s="3427"/>
      <c r="K90" s="2413"/>
      <c r="L90" s="2413"/>
      <c r="M90" s="2413"/>
      <c r="N90" s="2413"/>
    </row>
    <row r="91" spans="1:40">
      <c r="A91" s="3428" t="s">
        <v>1443</v>
      </c>
      <c r="B91" s="3428" t="s">
        <v>1634</v>
      </c>
      <c r="C91" s="1135" t="s">
        <v>1635</v>
      </c>
      <c r="D91" s="1136"/>
      <c r="E91" s="1136"/>
      <c r="F91" s="1136"/>
      <c r="G91" s="1136"/>
      <c r="H91" s="1136"/>
      <c r="I91" s="1136"/>
      <c r="J91" s="1137"/>
      <c r="K91" s="1129"/>
      <c r="L91" s="1129"/>
      <c r="M91" s="1129"/>
      <c r="N91" s="1129"/>
    </row>
    <row r="92" spans="1:40">
      <c r="A92" s="3428"/>
      <c r="B92" s="342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14"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4"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5"/>
      <c r="B108" s="341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6"/>
      <c r="B109" s="341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1639</v>
      </c>
      <c r="B110" s="3421"/>
      <c r="C110" s="3421"/>
      <c r="D110" s="3421"/>
      <c r="E110" s="3421"/>
      <c r="F110" s="3421"/>
      <c r="G110" s="3421"/>
      <c r="H110" s="3421"/>
      <c r="I110" s="3421"/>
      <c r="J110" s="3421"/>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2987</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28" t="s">
        <v>1007</v>
      </c>
      <c r="B18" s="1149" t="s">
        <v>1446</v>
      </c>
      <c r="C18" s="1126" t="s">
        <v>1447</v>
      </c>
      <c r="D18" s="1127"/>
      <c r="E18" s="1149">
        <v>1</v>
      </c>
      <c r="F18" s="1128" t="s">
        <v>1448</v>
      </c>
      <c r="G18" s="1129"/>
      <c r="H18" s="1100"/>
      <c r="I18" s="1100"/>
    </row>
    <row r="19" spans="1:9" s="1583" customFormat="1" ht="19.5" customHeight="1">
      <c r="A19" s="3428"/>
      <c r="B19" s="3428" t="s">
        <v>1449</v>
      </c>
      <c r="C19" s="1126" t="s">
        <v>1450</v>
      </c>
      <c r="D19" s="1127"/>
      <c r="E19" s="1149">
        <v>0.9</v>
      </c>
      <c r="F19" s="1128" t="s">
        <v>1451</v>
      </c>
      <c r="G19" s="1129"/>
      <c r="H19" s="1100"/>
      <c r="I19" s="1100"/>
    </row>
    <row r="20" spans="1:9" s="1583" customFormat="1" ht="19.5" customHeight="1">
      <c r="A20" s="3428"/>
      <c r="B20" s="3428"/>
      <c r="C20" s="1126" t="s">
        <v>1452</v>
      </c>
      <c r="D20" s="1127"/>
      <c r="E20" s="1149">
        <v>1.1000000000000001</v>
      </c>
      <c r="F20" s="1128" t="s">
        <v>1453</v>
      </c>
      <c r="G20" s="1129"/>
      <c r="H20" s="1100"/>
      <c r="I20" s="1100"/>
    </row>
    <row r="21" spans="1:9" s="1583" customFormat="1" ht="19.5" customHeight="1">
      <c r="A21" s="3428"/>
      <c r="B21" s="3428"/>
      <c r="C21" s="1126" t="s">
        <v>1454</v>
      </c>
      <c r="D21" s="1127"/>
      <c r="E21" s="1149">
        <v>0.8</v>
      </c>
      <c r="F21" s="1128" t="s">
        <v>1455</v>
      </c>
      <c r="G21" s="1129"/>
      <c r="H21" s="1100"/>
      <c r="I21" s="1100"/>
    </row>
    <row r="22" spans="1:9" s="1583" customFormat="1" ht="19.5" customHeight="1">
      <c r="A22" s="3428"/>
      <c r="B22" s="3428"/>
      <c r="C22" s="1126" t="s">
        <v>1456</v>
      </c>
      <c r="D22" s="1127"/>
      <c r="E22" s="1149">
        <v>0.5</v>
      </c>
      <c r="F22" s="1128"/>
      <c r="G22" s="1129"/>
      <c r="H22" s="1100"/>
      <c r="I22" s="1100"/>
    </row>
    <row r="23" spans="1:9" s="1583" customFormat="1" ht="19.5" customHeight="1">
      <c r="A23" s="3428" t="s">
        <v>1029</v>
      </c>
      <c r="B23" s="1149" t="s">
        <v>1446</v>
      </c>
      <c r="C23" s="1126" t="s">
        <v>1457</v>
      </c>
      <c r="D23" s="1127"/>
      <c r="E23" s="1149">
        <v>1</v>
      </c>
      <c r="F23" s="1128" t="s">
        <v>1458</v>
      </c>
      <c r="G23" s="1129"/>
      <c r="H23" s="1100"/>
      <c r="I23" s="1100"/>
    </row>
    <row r="24" spans="1:9" s="1583" customFormat="1" ht="19.5" customHeight="1">
      <c r="A24" s="3428"/>
      <c r="B24" s="3428" t="s">
        <v>1449</v>
      </c>
      <c r="C24" s="1126" t="s">
        <v>1459</v>
      </c>
      <c r="D24" s="1127"/>
      <c r="E24" s="1149">
        <v>0.5</v>
      </c>
      <c r="F24" s="1128"/>
      <c r="G24" s="1129"/>
      <c r="H24" s="1100"/>
      <c r="I24" s="1100"/>
    </row>
    <row r="25" spans="1:9" s="1583" customFormat="1" ht="19.5" customHeight="1">
      <c r="A25" s="3428"/>
      <c r="B25" s="3428"/>
      <c r="C25" s="1126" t="s">
        <v>1460</v>
      </c>
      <c r="D25" s="1127"/>
      <c r="E25" s="1149">
        <v>1.1000000000000001</v>
      </c>
      <c r="F25" s="1128"/>
      <c r="G25" s="1129"/>
      <c r="H25" s="1100"/>
      <c r="I25" s="1100"/>
    </row>
    <row r="26" spans="1:9" s="1583" customFormat="1" ht="19.5" customHeight="1">
      <c r="A26" s="3428"/>
      <c r="B26" s="3428"/>
      <c r="C26" s="1126" t="s">
        <v>1461</v>
      </c>
      <c r="D26" s="1127"/>
      <c r="E26" s="1149">
        <v>1.1000000000000001</v>
      </c>
      <c r="F26" s="1128"/>
      <c r="G26" s="1129"/>
      <c r="H26" s="1100"/>
      <c r="I26" s="1100"/>
    </row>
    <row r="27" spans="1:9" s="1583" customFormat="1" ht="19.5" customHeight="1">
      <c r="A27" s="3428"/>
      <c r="B27" s="3428"/>
      <c r="C27" s="1126" t="s">
        <v>1462</v>
      </c>
      <c r="D27" s="1127"/>
      <c r="E27" s="1149">
        <v>0.9</v>
      </c>
      <c r="F27" s="1128" t="s">
        <v>1463</v>
      </c>
      <c r="G27" s="1129"/>
      <c r="H27" s="1100"/>
      <c r="I27" s="1100"/>
    </row>
    <row r="28" spans="1:9" s="1583" customFormat="1" ht="19.5" customHeight="1">
      <c r="A28" s="3428"/>
      <c r="B28" s="3428"/>
      <c r="C28" s="1126" t="s">
        <v>1464</v>
      </c>
      <c r="D28" s="1127"/>
      <c r="E28" s="1149">
        <v>0.9</v>
      </c>
      <c r="F28" s="1128" t="s">
        <v>1465</v>
      </c>
      <c r="G28" s="1129"/>
      <c r="H28" s="1100"/>
      <c r="I28" s="1100"/>
    </row>
    <row r="29" spans="1:9" s="1583" customFormat="1" ht="19.5" customHeight="1">
      <c r="A29" s="3428"/>
      <c r="B29" s="3428"/>
      <c r="C29" s="1126" t="s">
        <v>1466</v>
      </c>
      <c r="D29" s="1127"/>
      <c r="E29" s="1149">
        <v>0.9</v>
      </c>
      <c r="F29" s="1128" t="s">
        <v>1467</v>
      </c>
      <c r="G29" s="1129"/>
      <c r="H29" s="1100"/>
      <c r="I29" s="1100"/>
    </row>
    <row r="30" spans="1:9" s="1583" customFormat="1" ht="19.5" customHeight="1">
      <c r="A30" s="3428"/>
      <c r="B30" s="3428"/>
      <c r="C30" s="1126" t="s">
        <v>1468</v>
      </c>
      <c r="D30" s="1127"/>
      <c r="E30" s="1149">
        <v>0.9</v>
      </c>
      <c r="F30" s="1128" t="s">
        <v>1469</v>
      </c>
      <c r="G30" s="1129"/>
      <c r="H30" s="1100"/>
      <c r="I30" s="1100"/>
    </row>
    <row r="31" spans="1:9" s="1583" customFormat="1" ht="19.5" customHeight="1">
      <c r="A31" s="3428"/>
      <c r="B31" s="3428"/>
      <c r="C31" s="1126" t="s">
        <v>1470</v>
      </c>
      <c r="D31" s="1127"/>
      <c r="E31" s="1149">
        <v>0.8</v>
      </c>
      <c r="F31" s="1128" t="s">
        <v>1471</v>
      </c>
      <c r="G31" s="1129"/>
      <c r="H31" s="1100"/>
      <c r="I31" s="1100"/>
    </row>
    <row r="32" spans="1:9" s="1583" customFormat="1" ht="19.5" customHeight="1">
      <c r="A32" s="3428"/>
      <c r="B32" s="3428"/>
      <c r="C32" s="1126" t="s">
        <v>1472</v>
      </c>
      <c r="D32" s="1127"/>
      <c r="E32" s="1149">
        <v>0.8</v>
      </c>
      <c r="F32" s="1128" t="s">
        <v>1473</v>
      </c>
      <c r="G32" s="1129"/>
      <c r="H32" s="1100"/>
      <c r="I32" s="1100"/>
    </row>
    <row r="33" spans="1:9" s="1583" customFormat="1" ht="19.5" customHeight="1">
      <c r="A33" s="3428" t="s">
        <v>1474</v>
      </c>
      <c r="B33" s="1149" t="s">
        <v>1446</v>
      </c>
      <c r="C33" s="1126" t="s">
        <v>1475</v>
      </c>
      <c r="D33" s="1127"/>
      <c r="E33" s="1149">
        <v>1</v>
      </c>
      <c r="F33" s="1128" t="s">
        <v>1476</v>
      </c>
      <c r="G33" s="1129"/>
      <c r="H33" s="1100"/>
      <c r="I33" s="1100"/>
    </row>
    <row r="34" spans="1:9" s="1583" customFormat="1" ht="19.5" customHeight="1">
      <c r="A34" s="3428"/>
      <c r="B34" s="1149" t="s">
        <v>1449</v>
      </c>
      <c r="C34" s="1126" t="s">
        <v>1477</v>
      </c>
      <c r="D34" s="1127"/>
      <c r="E34" s="1149">
        <v>1.5</v>
      </c>
      <c r="F34" s="1128" t="s">
        <v>1478</v>
      </c>
      <c r="G34" s="1129"/>
      <c r="H34" s="1100"/>
      <c r="I34" s="1100"/>
    </row>
    <row r="35" spans="1:9" s="1583" customFormat="1" ht="19.5" customHeight="1">
      <c r="A35" s="3428" t="s">
        <v>1432</v>
      </c>
      <c r="B35" s="1149" t="s">
        <v>1446</v>
      </c>
      <c r="C35" s="1126" t="s">
        <v>1479</v>
      </c>
      <c r="D35" s="1127"/>
      <c r="E35" s="1149">
        <v>1</v>
      </c>
      <c r="F35" s="1128" t="s">
        <v>1480</v>
      </c>
      <c r="G35" s="1129"/>
      <c r="H35" s="1100"/>
      <c r="I35" s="1100"/>
    </row>
    <row r="36" spans="1:9" s="1583" customFormat="1" ht="19.5" customHeight="1">
      <c r="A36" s="3428"/>
      <c r="B36" s="3428" t="s">
        <v>1449</v>
      </c>
      <c r="C36" s="1126" t="s">
        <v>1481</v>
      </c>
      <c r="D36" s="1127"/>
      <c r="E36" s="1149">
        <v>1</v>
      </c>
      <c r="F36" s="1128" t="s">
        <v>1482</v>
      </c>
      <c r="G36" s="1129"/>
      <c r="H36" s="1100"/>
      <c r="I36" s="1100"/>
    </row>
    <row r="37" spans="1:9" s="1583" customFormat="1" ht="19.5" customHeight="1">
      <c r="A37" s="3428"/>
      <c r="B37" s="3428"/>
      <c r="C37" s="1126" t="s">
        <v>1483</v>
      </c>
      <c r="D37" s="1127"/>
      <c r="E37" s="1149">
        <v>1.5</v>
      </c>
      <c r="F37" s="1128" t="s">
        <v>1484</v>
      </c>
      <c r="G37" s="1129"/>
      <c r="H37" s="1100"/>
      <c r="I37" s="1100"/>
    </row>
    <row r="38" spans="1:9" s="1583" customFormat="1" ht="19.5" customHeight="1">
      <c r="A38" s="3428"/>
      <c r="B38" s="3428"/>
      <c r="C38" s="1126" t="s">
        <v>1485</v>
      </c>
      <c r="D38" s="1127"/>
      <c r="E38" s="1149">
        <v>1</v>
      </c>
      <c r="F38" s="1128" t="s">
        <v>1486</v>
      </c>
      <c r="G38" s="1129"/>
      <c r="H38" s="1100"/>
      <c r="I38" s="1100"/>
    </row>
    <row r="39" spans="1:9" s="1583" customFormat="1" ht="19.5" customHeight="1">
      <c r="A39" s="3428"/>
      <c r="B39" s="342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8" t="s">
        <v>1501</v>
      </c>
      <c r="C61" s="1063" t="s">
        <v>1502</v>
      </c>
      <c r="D61" s="1063" t="s">
        <v>1503</v>
      </c>
      <c r="E61" s="1134">
        <v>0.5</v>
      </c>
      <c r="F61" s="1149">
        <v>80</v>
      </c>
      <c r="H61" s="1100">
        <f>SUMIF(C59:C119,基准地价!C8,E59:E119)</f>
        <v>0</v>
      </c>
    </row>
    <row r="62" spans="1:8" s="1100" customFormat="1" ht="36">
      <c r="A62" s="1149">
        <v>2</v>
      </c>
      <c r="B62" s="3428"/>
      <c r="C62" s="1063" t="s">
        <v>1504</v>
      </c>
      <c r="D62" s="1063" t="s">
        <v>1505</v>
      </c>
      <c r="E62" s="1134">
        <v>0.5</v>
      </c>
      <c r="F62" s="1149">
        <v>80</v>
      </c>
    </row>
    <row r="63" spans="1:8" s="1100" customFormat="1" ht="48">
      <c r="A63" s="1149">
        <v>3</v>
      </c>
      <c r="B63" s="3428"/>
      <c r="C63" s="1063" t="s">
        <v>1506</v>
      </c>
      <c r="D63" s="1063" t="s">
        <v>1507</v>
      </c>
      <c r="E63" s="1134">
        <v>0.5</v>
      </c>
      <c r="F63" s="1149">
        <v>80</v>
      </c>
    </row>
    <row r="64" spans="1:8" s="1100" customFormat="1" ht="48">
      <c r="A64" s="1149">
        <v>4</v>
      </c>
      <c r="B64" s="3428"/>
      <c r="C64" s="1063" t="s">
        <v>1508</v>
      </c>
      <c r="D64" s="1063" t="s">
        <v>1509</v>
      </c>
      <c r="E64" s="1134">
        <v>0.4</v>
      </c>
      <c r="F64" s="1149">
        <v>60</v>
      </c>
    </row>
    <row r="65" spans="1:6" s="1100" customFormat="1" ht="48">
      <c r="A65" s="1149">
        <v>5</v>
      </c>
      <c r="B65" s="3428"/>
      <c r="C65" s="1063" t="s">
        <v>1510</v>
      </c>
      <c r="D65" s="1063" t="s">
        <v>1511</v>
      </c>
      <c r="E65" s="1134">
        <v>0.2</v>
      </c>
      <c r="F65" s="1149">
        <v>30</v>
      </c>
    </row>
    <row r="66" spans="1:6" s="1100" customFormat="1" ht="48">
      <c r="A66" s="1149">
        <v>6</v>
      </c>
      <c r="B66" s="3428"/>
      <c r="C66" s="1063" t="s">
        <v>1512</v>
      </c>
      <c r="D66" s="1063" t="s">
        <v>1513</v>
      </c>
      <c r="E66" s="1134">
        <v>0.3</v>
      </c>
      <c r="F66" s="1149">
        <v>50</v>
      </c>
    </row>
    <row r="67" spans="1:6" s="1100" customFormat="1" ht="48">
      <c r="A67" s="1149">
        <v>7</v>
      </c>
      <c r="B67" s="3428"/>
      <c r="C67" s="1063" t="s">
        <v>1514</v>
      </c>
      <c r="D67" s="1063" t="s">
        <v>1515</v>
      </c>
      <c r="E67" s="1134">
        <v>0.2</v>
      </c>
      <c r="F67" s="1149">
        <v>30</v>
      </c>
    </row>
    <row r="68" spans="1:6" s="1100" customFormat="1" ht="48">
      <c r="A68" s="1149">
        <v>8</v>
      </c>
      <c r="B68" s="3428"/>
      <c r="C68" s="1063" t="s">
        <v>1516</v>
      </c>
      <c r="D68" s="1063" t="s">
        <v>1517</v>
      </c>
      <c r="E68" s="1134">
        <v>0.2</v>
      </c>
      <c r="F68" s="1149">
        <v>30</v>
      </c>
    </row>
    <row r="69" spans="1:6" s="1100" customFormat="1" ht="48">
      <c r="A69" s="1149">
        <v>9</v>
      </c>
      <c r="B69" s="3428"/>
      <c r="C69" s="1063" t="s">
        <v>1518</v>
      </c>
      <c r="D69" s="1063" t="s">
        <v>1519</v>
      </c>
      <c r="E69" s="1134">
        <v>0.2</v>
      </c>
      <c r="F69" s="1149">
        <v>30</v>
      </c>
    </row>
    <row r="70" spans="1:6" s="1100" customFormat="1" ht="60">
      <c r="A70" s="1149">
        <v>10</v>
      </c>
      <c r="B70" s="3428"/>
      <c r="C70" s="1063" t="s">
        <v>1520</v>
      </c>
      <c r="D70" s="1063" t="s">
        <v>1521</v>
      </c>
      <c r="E70" s="1134">
        <v>0.2</v>
      </c>
      <c r="F70" s="1149">
        <v>30</v>
      </c>
    </row>
    <row r="71" spans="1:6" s="1100" customFormat="1" ht="60">
      <c r="A71" s="1149">
        <v>11</v>
      </c>
      <c r="B71" s="3428"/>
      <c r="C71" s="1063" t="s">
        <v>1522</v>
      </c>
      <c r="D71" s="1063" t="s">
        <v>1523</v>
      </c>
      <c r="E71" s="1134">
        <v>0.2</v>
      </c>
      <c r="F71" s="1149">
        <v>30</v>
      </c>
    </row>
    <row r="72" spans="1:6" s="1100" customFormat="1" ht="36">
      <c r="A72" s="1149">
        <v>12</v>
      </c>
      <c r="B72" s="3428"/>
      <c r="C72" s="1063" t="s">
        <v>1524</v>
      </c>
      <c r="D72" s="1063" t="s">
        <v>1525</v>
      </c>
      <c r="E72" s="1134">
        <v>0.5</v>
      </c>
      <c r="F72" s="1149">
        <v>80</v>
      </c>
    </row>
    <row r="73" spans="1:6" s="1100" customFormat="1" ht="36">
      <c r="A73" s="1149">
        <v>13</v>
      </c>
      <c r="B73" s="3428"/>
      <c r="C73" s="1063" t="s">
        <v>1526</v>
      </c>
      <c r="D73" s="1063" t="s">
        <v>1527</v>
      </c>
      <c r="E73" s="1134">
        <v>0.4</v>
      </c>
      <c r="F73" s="1149">
        <v>60</v>
      </c>
    </row>
    <row r="74" spans="1:6" s="1100" customFormat="1" ht="36">
      <c r="A74" s="1149">
        <v>14</v>
      </c>
      <c r="B74" s="3428"/>
      <c r="C74" s="1063" t="s">
        <v>1528</v>
      </c>
      <c r="D74" s="1063" t="s">
        <v>1529</v>
      </c>
      <c r="E74" s="1134">
        <v>0.2</v>
      </c>
      <c r="F74" s="1149">
        <v>30</v>
      </c>
    </row>
    <row r="75" spans="1:6" s="1100" customFormat="1" ht="36">
      <c r="A75" s="1149">
        <v>15</v>
      </c>
      <c r="B75" s="3428"/>
      <c r="C75" s="1063" t="s">
        <v>1530</v>
      </c>
      <c r="D75" s="1063" t="s">
        <v>1531</v>
      </c>
      <c r="E75" s="1134">
        <v>0.2</v>
      </c>
      <c r="F75" s="1149">
        <v>30</v>
      </c>
    </row>
    <row r="76" spans="1:6" s="1100" customFormat="1" ht="36">
      <c r="A76" s="1149">
        <v>16</v>
      </c>
      <c r="B76" s="3428" t="s">
        <v>1532</v>
      </c>
      <c r="C76" s="1063" t="s">
        <v>1533</v>
      </c>
      <c r="D76" s="1063" t="s">
        <v>1534</v>
      </c>
      <c r="E76" s="1134">
        <v>0.5</v>
      </c>
      <c r="F76" s="1149">
        <v>80</v>
      </c>
    </row>
    <row r="77" spans="1:6" s="1100" customFormat="1" ht="36">
      <c r="A77" s="1149">
        <v>17</v>
      </c>
      <c r="B77" s="3428"/>
      <c r="C77" s="1063" t="s">
        <v>1535</v>
      </c>
      <c r="D77" s="1063" t="s">
        <v>1536</v>
      </c>
      <c r="E77" s="1134">
        <v>0.5</v>
      </c>
      <c r="F77" s="1149">
        <v>80</v>
      </c>
    </row>
    <row r="78" spans="1:6" s="1100" customFormat="1" ht="36">
      <c r="A78" s="1149">
        <v>18</v>
      </c>
      <c r="B78" s="3428"/>
      <c r="C78" s="1063" t="s">
        <v>1537</v>
      </c>
      <c r="D78" s="1063" t="s">
        <v>1538</v>
      </c>
      <c r="E78" s="1134">
        <v>0.2</v>
      </c>
      <c r="F78" s="1149">
        <v>30</v>
      </c>
    </row>
    <row r="79" spans="1:6" s="1100" customFormat="1" ht="36">
      <c r="A79" s="1149">
        <v>19</v>
      </c>
      <c r="B79" s="3428"/>
      <c r="C79" s="1063" t="s">
        <v>1539</v>
      </c>
      <c r="D79" s="1063" t="s">
        <v>1540</v>
      </c>
      <c r="E79" s="1134">
        <v>0.5</v>
      </c>
      <c r="F79" s="1149">
        <v>80</v>
      </c>
    </row>
    <row r="80" spans="1:6" s="1100" customFormat="1" ht="36">
      <c r="A80" s="1149">
        <v>20</v>
      </c>
      <c r="B80" s="3428"/>
      <c r="C80" s="1063" t="s">
        <v>1541</v>
      </c>
      <c r="D80" s="1063" t="s">
        <v>1542</v>
      </c>
      <c r="E80" s="1134">
        <v>0.2</v>
      </c>
      <c r="F80" s="1149">
        <v>30</v>
      </c>
    </row>
    <row r="81" spans="1:6" s="1100" customFormat="1" ht="36">
      <c r="A81" s="1149">
        <v>21</v>
      </c>
      <c r="B81" s="3428"/>
      <c r="C81" s="1063" t="s">
        <v>1543</v>
      </c>
      <c r="D81" s="1063" t="s">
        <v>1544</v>
      </c>
      <c r="E81" s="1134">
        <v>0.2</v>
      </c>
      <c r="F81" s="1149">
        <v>30</v>
      </c>
    </row>
    <row r="82" spans="1:6" s="1100" customFormat="1" ht="60">
      <c r="A82" s="1149">
        <v>22</v>
      </c>
      <c r="B82" s="3428"/>
      <c r="C82" s="1063" t="s">
        <v>1545</v>
      </c>
      <c r="D82" s="1063" t="s">
        <v>1546</v>
      </c>
      <c r="E82" s="1134">
        <v>0.2</v>
      </c>
      <c r="F82" s="1149">
        <v>30</v>
      </c>
    </row>
    <row r="83" spans="1:6" s="1100" customFormat="1" ht="60">
      <c r="A83" s="1149">
        <v>23</v>
      </c>
      <c r="B83" s="3428"/>
      <c r="C83" s="1063" t="s">
        <v>1547</v>
      </c>
      <c r="D83" s="1063" t="s">
        <v>1548</v>
      </c>
      <c r="E83" s="1134">
        <v>0.2</v>
      </c>
      <c r="F83" s="1149">
        <v>30</v>
      </c>
    </row>
    <row r="84" spans="1:6" s="1100" customFormat="1" ht="48">
      <c r="A84" s="1149">
        <v>24</v>
      </c>
      <c r="B84" s="3428"/>
      <c r="C84" s="1063" t="s">
        <v>1549</v>
      </c>
      <c r="D84" s="1063" t="s">
        <v>1550</v>
      </c>
      <c r="E84" s="1134">
        <v>0.2</v>
      </c>
      <c r="F84" s="1149">
        <v>30</v>
      </c>
    </row>
    <row r="85" spans="1:6" s="1100" customFormat="1" ht="36">
      <c r="A85" s="1149">
        <v>25</v>
      </c>
      <c r="B85" s="3428"/>
      <c r="C85" s="1063" t="s">
        <v>1551</v>
      </c>
      <c r="D85" s="1063" t="s">
        <v>1552</v>
      </c>
      <c r="E85" s="1134">
        <v>0.5</v>
      </c>
      <c r="F85" s="1149">
        <v>80</v>
      </c>
    </row>
    <row r="86" spans="1:6" s="1100" customFormat="1" ht="36">
      <c r="A86" s="1149">
        <v>26</v>
      </c>
      <c r="B86" s="3428"/>
      <c r="C86" s="1063" t="s">
        <v>1553</v>
      </c>
      <c r="D86" s="1063" t="s">
        <v>1554</v>
      </c>
      <c r="E86" s="1134">
        <v>0.2</v>
      </c>
      <c r="F86" s="1149">
        <v>30</v>
      </c>
    </row>
    <row r="87" spans="1:6" s="1100" customFormat="1" ht="36">
      <c r="A87" s="1149">
        <v>27</v>
      </c>
      <c r="B87" s="3428"/>
      <c r="C87" s="1063" t="s">
        <v>1555</v>
      </c>
      <c r="D87" s="1063" t="s">
        <v>1556</v>
      </c>
      <c r="E87" s="1134">
        <v>0.2</v>
      </c>
      <c r="F87" s="1149">
        <v>30</v>
      </c>
    </row>
    <row r="88" spans="1:6" s="1100" customFormat="1" ht="36">
      <c r="A88" s="1149">
        <v>28</v>
      </c>
      <c r="B88" s="3428"/>
      <c r="C88" s="1063" t="s">
        <v>1557</v>
      </c>
      <c r="D88" s="1063" t="s">
        <v>1558</v>
      </c>
      <c r="E88" s="1134">
        <v>0.2</v>
      </c>
      <c r="F88" s="1149">
        <v>30</v>
      </c>
    </row>
    <row r="89" spans="1:6" s="1100" customFormat="1" ht="36">
      <c r="A89" s="1149">
        <v>29</v>
      </c>
      <c r="B89" s="3428"/>
      <c r="C89" s="1063" t="s">
        <v>1559</v>
      </c>
      <c r="D89" s="1063" t="s">
        <v>1560</v>
      </c>
      <c r="E89" s="1134">
        <v>0.2</v>
      </c>
      <c r="F89" s="1149">
        <v>30</v>
      </c>
    </row>
    <row r="90" spans="1:6" s="1100" customFormat="1" ht="36">
      <c r="A90" s="1149">
        <v>30</v>
      </c>
      <c r="B90" s="3428"/>
      <c r="C90" s="1063" t="s">
        <v>1561</v>
      </c>
      <c r="D90" s="1063" t="s">
        <v>1562</v>
      </c>
      <c r="E90" s="1134">
        <v>0.2</v>
      </c>
      <c r="F90" s="1149">
        <v>30</v>
      </c>
    </row>
    <row r="91" spans="1:6" s="1100" customFormat="1" ht="48">
      <c r="A91" s="1149">
        <v>31</v>
      </c>
      <c r="B91" s="3428"/>
      <c r="C91" s="1063" t="s">
        <v>1563</v>
      </c>
      <c r="D91" s="1063" t="s">
        <v>1564</v>
      </c>
      <c r="E91" s="1134">
        <v>0.2</v>
      </c>
      <c r="F91" s="1149">
        <v>30</v>
      </c>
    </row>
    <row r="92" spans="1:6" s="1100" customFormat="1" ht="36">
      <c r="A92" s="1149">
        <v>32</v>
      </c>
      <c r="B92" s="3428" t="s">
        <v>1565</v>
      </c>
      <c r="C92" s="1149" t="s">
        <v>1566</v>
      </c>
      <c r="D92" s="1063" t="s">
        <v>1567</v>
      </c>
      <c r="E92" s="1134">
        <v>0.2</v>
      </c>
      <c r="F92" s="1149">
        <v>30</v>
      </c>
    </row>
    <row r="93" spans="1:6" s="1100" customFormat="1" ht="36">
      <c r="A93" s="1149">
        <v>33</v>
      </c>
      <c r="B93" s="3428"/>
      <c r="C93" s="1149" t="s">
        <v>1568</v>
      </c>
      <c r="D93" s="1063" t="s">
        <v>1569</v>
      </c>
      <c r="E93" s="1134">
        <v>0.2</v>
      </c>
      <c r="F93" s="1149">
        <v>30</v>
      </c>
    </row>
    <row r="94" spans="1:6" s="1100" customFormat="1" ht="60">
      <c r="A94" s="1149">
        <v>34</v>
      </c>
      <c r="B94" s="3428"/>
      <c r="C94" s="1149" t="s">
        <v>1570</v>
      </c>
      <c r="D94" s="1063" t="s">
        <v>1571</v>
      </c>
      <c r="E94" s="1134">
        <v>0.2</v>
      </c>
      <c r="F94" s="1149">
        <v>30</v>
      </c>
    </row>
    <row r="95" spans="1:6" s="1100" customFormat="1" ht="48">
      <c r="A95" s="1149">
        <v>35</v>
      </c>
      <c r="B95" s="3428"/>
      <c r="C95" s="1149" t="s">
        <v>1572</v>
      </c>
      <c r="D95" s="1063" t="s">
        <v>1573</v>
      </c>
      <c r="E95" s="1134">
        <v>0.2</v>
      </c>
      <c r="F95" s="1149">
        <v>30</v>
      </c>
    </row>
    <row r="96" spans="1:6" s="1100" customFormat="1" ht="72">
      <c r="A96" s="1149">
        <v>36</v>
      </c>
      <c r="B96" s="3428"/>
      <c r="C96" s="1063" t="s">
        <v>1574</v>
      </c>
      <c r="D96" s="1063" t="s">
        <v>1575</v>
      </c>
      <c r="E96" s="1134">
        <v>0.2</v>
      </c>
      <c r="F96" s="1149">
        <v>30</v>
      </c>
    </row>
    <row r="97" spans="1:6" s="1100" customFormat="1" ht="36">
      <c r="A97" s="1149">
        <v>37</v>
      </c>
      <c r="B97" s="3428"/>
      <c r="C97" s="1149" t="s">
        <v>1576</v>
      </c>
      <c r="D97" s="1063" t="s">
        <v>1577</v>
      </c>
      <c r="E97" s="1134">
        <v>0.2</v>
      </c>
      <c r="F97" s="1149">
        <v>30</v>
      </c>
    </row>
    <row r="98" spans="1:6" s="1100" customFormat="1" ht="36">
      <c r="A98" s="1149">
        <v>38</v>
      </c>
      <c r="B98" s="3428"/>
      <c r="C98" s="1149" t="s">
        <v>1578</v>
      </c>
      <c r="D98" s="1063" t="s">
        <v>1579</v>
      </c>
      <c r="E98" s="1134">
        <v>0.2</v>
      </c>
      <c r="F98" s="1149">
        <v>30</v>
      </c>
    </row>
    <row r="99" spans="1:6" s="1100" customFormat="1" ht="36">
      <c r="A99" s="1149">
        <v>39</v>
      </c>
      <c r="B99" s="3428" t="s">
        <v>1580</v>
      </c>
      <c r="C99" s="1149" t="s">
        <v>1581</v>
      </c>
      <c r="D99" s="1063" t="s">
        <v>1582</v>
      </c>
      <c r="E99" s="1134">
        <v>0.3</v>
      </c>
      <c r="F99" s="1149">
        <v>50</v>
      </c>
    </row>
    <row r="100" spans="1:6" s="1100" customFormat="1" ht="36">
      <c r="A100" s="1149">
        <v>40</v>
      </c>
      <c r="B100" s="3428"/>
      <c r="C100" s="1149" t="s">
        <v>1583</v>
      </c>
      <c r="D100" s="1063" t="s">
        <v>1584</v>
      </c>
      <c r="E100" s="1134">
        <v>0.2</v>
      </c>
      <c r="F100" s="1149">
        <v>30</v>
      </c>
    </row>
    <row r="101" spans="1:6" s="1100" customFormat="1" ht="36">
      <c r="A101" s="1149">
        <v>41</v>
      </c>
      <c r="B101" s="3428"/>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8" t="s">
        <v>1595</v>
      </c>
      <c r="C105" s="1149" t="s">
        <v>1596</v>
      </c>
      <c r="D105" s="1063" t="s">
        <v>1597</v>
      </c>
      <c r="E105" s="1134">
        <v>0.2</v>
      </c>
      <c r="F105" s="1149">
        <v>30</v>
      </c>
    </row>
    <row r="106" spans="1:6" s="1100" customFormat="1" ht="48">
      <c r="A106" s="1149">
        <v>46</v>
      </c>
      <c r="B106" s="3428"/>
      <c r="C106" s="1149" t="s">
        <v>1598</v>
      </c>
      <c r="D106" s="1063" t="s">
        <v>1599</v>
      </c>
      <c r="E106" s="1134">
        <v>0.2</v>
      </c>
      <c r="F106" s="1149">
        <v>30</v>
      </c>
    </row>
    <row r="107" spans="1:6" s="1100" customFormat="1" ht="36">
      <c r="A107" s="1149">
        <v>47</v>
      </c>
      <c r="B107" s="3428" t="s">
        <v>1600</v>
      </c>
      <c r="C107" s="1149" t="s">
        <v>1601</v>
      </c>
      <c r="D107" s="1063" t="s">
        <v>1602</v>
      </c>
      <c r="E107" s="1134">
        <v>0.3</v>
      </c>
      <c r="F107" s="1149">
        <v>50</v>
      </c>
    </row>
    <row r="108" spans="1:6" s="1100" customFormat="1" ht="48">
      <c r="A108" s="1149">
        <v>48</v>
      </c>
      <c r="B108" s="342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8" t="s">
        <v>1611</v>
      </c>
      <c r="C111" s="1149" t="s">
        <v>1612</v>
      </c>
      <c r="D111" s="1063" t="s">
        <v>1613</v>
      </c>
      <c r="E111" s="1134">
        <v>0.2</v>
      </c>
      <c r="F111" s="1149">
        <v>30</v>
      </c>
    </row>
    <row r="112" spans="1:6" s="1100" customFormat="1" ht="36">
      <c r="A112" s="1149">
        <v>52</v>
      </c>
      <c r="B112" s="3428"/>
      <c r="C112" s="1149" t="s">
        <v>1614</v>
      </c>
      <c r="D112" s="1063" t="s">
        <v>1615</v>
      </c>
      <c r="E112" s="1134">
        <v>0.2</v>
      </c>
      <c r="F112" s="1149">
        <v>30</v>
      </c>
    </row>
    <row r="113" spans="1:14" s="1100" customFormat="1" ht="36">
      <c r="A113" s="1149">
        <v>53</v>
      </c>
      <c r="B113" s="3428"/>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8" t="s">
        <v>1624</v>
      </c>
      <c r="C116" s="1149" t="s">
        <v>1625</v>
      </c>
      <c r="D116" s="1063" t="s">
        <v>1626</v>
      </c>
      <c r="E116" s="1134">
        <v>0.2</v>
      </c>
      <c r="F116" s="1149">
        <v>30</v>
      </c>
    </row>
    <row r="117" spans="1:14" ht="36">
      <c r="A117" s="1149">
        <v>57</v>
      </c>
      <c r="B117" s="342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7" t="s">
        <v>1633</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2" t="s">
        <v>1039</v>
      </c>
      <c r="B1" s="3432"/>
      <c r="C1" s="3432"/>
      <c r="D1" s="3432"/>
      <c r="E1" s="3432"/>
      <c r="F1" s="343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3" t="s">
        <v>1052</v>
      </c>
      <c r="B2" s="3433"/>
      <c r="C2" s="3433"/>
      <c r="D2" s="3433"/>
      <c r="E2" s="3433"/>
      <c r="F2" s="343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36" t="s">
        <v>2079</v>
      </c>
      <c r="B1" s="3436"/>
    </row>
    <row r="2" spans="1:6" ht="15" thickBot="1">
      <c r="A2" s="1835"/>
      <c r="B2" s="1835"/>
    </row>
    <row r="3" spans="1:6" ht="15" thickBot="1">
      <c r="A3" s="1835"/>
      <c r="B3" s="1835"/>
      <c r="C3" s="1836" t="s">
        <v>2080</v>
      </c>
      <c r="D3" s="1836" t="s">
        <v>2081</v>
      </c>
      <c r="E3" s="1836" t="s">
        <v>2082</v>
      </c>
      <c r="F3" s="1836" t="s">
        <v>2083</v>
      </c>
    </row>
    <row r="4" spans="1:6" ht="15" thickBot="1">
      <c r="A4" s="1837" t="s">
        <v>2084</v>
      </c>
      <c r="B4" s="1838" t="s">
        <v>2085</v>
      </c>
      <c r="C4" s="1836"/>
      <c r="D4" s="1836"/>
      <c r="E4" s="1836"/>
      <c r="F4" s="1836"/>
    </row>
    <row r="5" spans="1:6" ht="15" thickBot="1">
      <c r="A5" s="1839" t="s">
        <v>2086</v>
      </c>
      <c r="B5" s="1840" t="s">
        <v>2087</v>
      </c>
      <c r="C5" s="1841">
        <v>8.8999999999999996E-2</v>
      </c>
      <c r="D5" s="1841">
        <v>7.3999999999999996E-2</v>
      </c>
      <c r="E5" s="1841">
        <v>7.4999999999999997E-2</v>
      </c>
      <c r="F5" s="1842">
        <v>0.1</v>
      </c>
    </row>
    <row r="6" spans="1:6" ht="15" thickBot="1">
      <c r="A6" s="1839" t="s">
        <v>1096</v>
      </c>
      <c r="B6" s="1843" t="s">
        <v>2088</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2089</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2090</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2091</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2092</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2093</v>
      </c>
      <c r="C72" s="1853"/>
      <c r="D72" s="1853"/>
      <c r="E72" s="1853"/>
      <c r="F72" s="1845">
        <v>0.05</v>
      </c>
    </row>
    <row r="73" spans="1:6" ht="24.6" thickBot="1">
      <c r="A73" s="1839" t="s">
        <v>925</v>
      </c>
      <c r="B73" s="1843" t="s">
        <v>2094</v>
      </c>
      <c r="C73" s="1853"/>
      <c r="D73" s="1853"/>
      <c r="E73" s="1853"/>
      <c r="F73" s="1845">
        <v>0.05</v>
      </c>
    </row>
    <row r="74" spans="1:6" ht="24.6" thickBot="1">
      <c r="A74" s="1839" t="s">
        <v>925</v>
      </c>
      <c r="B74" s="1843" t="s">
        <v>2095</v>
      </c>
      <c r="C74" s="1853"/>
      <c r="D74" s="1853"/>
      <c r="E74" s="1853"/>
      <c r="F74" s="1845">
        <v>0.05</v>
      </c>
    </row>
    <row r="75" spans="1:6" ht="24.6" thickBot="1">
      <c r="A75" s="1847" t="s">
        <v>925</v>
      </c>
      <c r="B75" s="1854" t="s">
        <v>2096</v>
      </c>
      <c r="C75" s="1850"/>
      <c r="D75" s="1850"/>
      <c r="E75" s="1850"/>
      <c r="F75" s="1855">
        <v>0.05</v>
      </c>
    </row>
    <row r="76" spans="1:6" ht="15" thickBot="1">
      <c r="A76" s="1839" t="s">
        <v>1407</v>
      </c>
      <c r="B76" s="1840" t="s">
        <v>2097</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2098</v>
      </c>
      <c r="C102" s="1853"/>
      <c r="D102" s="1853"/>
      <c r="E102" s="1853"/>
      <c r="F102" s="1845">
        <v>0.05</v>
      </c>
    </row>
    <row r="103" spans="1:6" ht="24.6" thickBot="1">
      <c r="A103" s="1839" t="s">
        <v>1407</v>
      </c>
      <c r="B103" s="1843" t="s">
        <v>2099</v>
      </c>
      <c r="C103" s="1853"/>
      <c r="D103" s="1853"/>
      <c r="E103" s="1853"/>
      <c r="F103" s="1845">
        <v>0.05</v>
      </c>
    </row>
    <row r="104" spans="1:6" ht="15" thickBot="1">
      <c r="A104" s="1839" t="s">
        <v>1407</v>
      </c>
      <c r="B104" s="1843" t="s">
        <v>2100</v>
      </c>
      <c r="C104" s="1853"/>
      <c r="D104" s="1853"/>
      <c r="E104" s="1853"/>
      <c r="F104" s="1845">
        <v>0.05</v>
      </c>
    </row>
    <row r="105" spans="1:6" ht="24.6" thickBot="1">
      <c r="A105" s="1839" t="s">
        <v>1407</v>
      </c>
      <c r="B105" s="1843" t="s">
        <v>2101</v>
      </c>
      <c r="C105" s="1853"/>
      <c r="D105" s="1853"/>
      <c r="E105" s="1853"/>
      <c r="F105" s="1845">
        <v>0.05</v>
      </c>
    </row>
    <row r="106" spans="1:6" ht="24.6" thickBot="1">
      <c r="A106" s="1839" t="s">
        <v>1407</v>
      </c>
      <c r="B106" s="1843" t="s">
        <v>2102</v>
      </c>
      <c r="C106" s="1853"/>
      <c r="D106" s="1853"/>
      <c r="E106" s="1853"/>
      <c r="F106" s="1845">
        <v>0.05</v>
      </c>
    </row>
    <row r="107" spans="1:6" ht="24.6" thickBot="1">
      <c r="A107" s="1839" t="s">
        <v>1407</v>
      </c>
      <c r="B107" s="1843" t="s">
        <v>2103</v>
      </c>
      <c r="C107" s="1853"/>
      <c r="D107" s="1853"/>
      <c r="E107" s="1853"/>
      <c r="F107" s="1845">
        <v>0.05</v>
      </c>
    </row>
    <row r="108" spans="1:6" ht="24.6" thickBot="1">
      <c r="A108" s="1839" t="s">
        <v>1407</v>
      </c>
      <c r="B108" s="1843" t="s">
        <v>2104</v>
      </c>
      <c r="C108" s="1853"/>
      <c r="D108" s="1853"/>
      <c r="E108" s="1853"/>
      <c r="F108" s="1845">
        <v>0.05</v>
      </c>
    </row>
    <row r="109" spans="1:6" ht="24.6" thickBot="1">
      <c r="A109" s="1847" t="s">
        <v>1407</v>
      </c>
      <c r="B109" s="1854" t="s">
        <v>2105</v>
      </c>
      <c r="C109" s="1850"/>
      <c r="D109" s="1850"/>
      <c r="E109" s="1850"/>
      <c r="F109" s="1855">
        <v>0.05</v>
      </c>
    </row>
    <row r="110" spans="1:6" ht="15" thickBot="1">
      <c r="A110" s="1839" t="s">
        <v>1409</v>
      </c>
      <c r="B110" s="1840" t="s">
        <v>2106</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2107</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2108</v>
      </c>
      <c r="C138" s="1844">
        <v>0.105</v>
      </c>
      <c r="D138" s="1844">
        <v>0.125</v>
      </c>
      <c r="E138" s="1844">
        <v>0.112</v>
      </c>
      <c r="F138" s="1852"/>
    </row>
    <row r="139" spans="1:6" ht="15" thickBot="1">
      <c r="A139" s="1839" t="s">
        <v>1409</v>
      </c>
      <c r="B139" s="1843" t="s">
        <v>2109</v>
      </c>
      <c r="C139" s="1844">
        <v>0.127</v>
      </c>
      <c r="D139" s="1844">
        <v>0.127</v>
      </c>
      <c r="E139" s="1844">
        <v>0.122</v>
      </c>
      <c r="F139" s="1845">
        <v>0.13</v>
      </c>
    </row>
    <row r="140" spans="1:6" ht="15" thickBot="1">
      <c r="A140" s="1839" t="s">
        <v>1409</v>
      </c>
      <c r="B140" s="1843" t="s">
        <v>2110</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2111</v>
      </c>
      <c r="C144" s="1857">
        <v>0.126</v>
      </c>
      <c r="D144" s="1857">
        <v>0.126</v>
      </c>
      <c r="E144" s="1857">
        <v>0.121</v>
      </c>
      <c r="F144" s="1852"/>
    </row>
    <row r="145" spans="1:6" ht="15" thickBot="1">
      <c r="A145" s="1847" t="s">
        <v>1409</v>
      </c>
      <c r="B145" s="1858" t="s">
        <v>2112</v>
      </c>
      <c r="C145" s="1859"/>
      <c r="D145" s="1859"/>
      <c r="E145" s="1859"/>
      <c r="F145" s="1860">
        <v>0.05</v>
      </c>
    </row>
    <row r="146" spans="1:6" ht="24.6" thickBot="1">
      <c r="A146" s="1861" t="s">
        <v>1409</v>
      </c>
      <c r="B146" s="1846" t="s">
        <v>2113</v>
      </c>
      <c r="C146" s="1853"/>
      <c r="D146" s="1853"/>
      <c r="E146" s="1853"/>
      <c r="F146" s="1862">
        <v>0.05</v>
      </c>
    </row>
    <row r="147" spans="1:6" ht="24.6" thickBot="1">
      <c r="A147" s="1839" t="s">
        <v>1409</v>
      </c>
      <c r="B147" s="1843" t="s">
        <v>2114</v>
      </c>
      <c r="C147" s="1853"/>
      <c r="D147" s="1853"/>
      <c r="E147" s="1853"/>
      <c r="F147" s="1845">
        <v>0.05</v>
      </c>
    </row>
    <row r="148" spans="1:6" ht="24.6" thickBot="1">
      <c r="A148" s="1839" t="s">
        <v>1409</v>
      </c>
      <c r="B148" s="1843" t="s">
        <v>2115</v>
      </c>
      <c r="C148" s="1853"/>
      <c r="D148" s="1853"/>
      <c r="E148" s="1853"/>
      <c r="F148" s="1845">
        <v>0.05</v>
      </c>
    </row>
    <row r="149" spans="1:6" ht="24.6" thickBot="1">
      <c r="A149" s="1839" t="s">
        <v>1409</v>
      </c>
      <c r="B149" s="1843" t="s">
        <v>2116</v>
      </c>
      <c r="C149" s="1853"/>
      <c r="D149" s="1853"/>
      <c r="E149" s="1853"/>
      <c r="F149" s="1845">
        <v>0.05</v>
      </c>
    </row>
    <row r="150" spans="1:6" ht="24.6" thickBot="1">
      <c r="A150" s="1839" t="s">
        <v>1409</v>
      </c>
      <c r="B150" s="1843" t="s">
        <v>2117</v>
      </c>
      <c r="C150" s="1853"/>
      <c r="D150" s="1853"/>
      <c r="E150" s="1853"/>
      <c r="F150" s="1845">
        <v>0.05</v>
      </c>
    </row>
    <row r="151" spans="1:6" ht="24.6" thickBot="1">
      <c r="A151" s="1839" t="s">
        <v>1409</v>
      </c>
      <c r="B151" s="1843" t="s">
        <v>2118</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2119</v>
      </c>
      <c r="C153" s="1853"/>
      <c r="D153" s="1853"/>
      <c r="E153" s="1853"/>
      <c r="F153" s="1845">
        <v>0.05</v>
      </c>
    </row>
    <row r="154" spans="1:6" ht="15" thickBot="1">
      <c r="A154" s="1839" t="s">
        <v>1409</v>
      </c>
      <c r="B154" s="1843" t="s">
        <v>2120</v>
      </c>
      <c r="C154" s="1853"/>
      <c r="D154" s="1853"/>
      <c r="E154" s="1853"/>
      <c r="F154" s="1845">
        <v>0.05</v>
      </c>
    </row>
    <row r="155" spans="1:6" ht="24.6" thickBot="1">
      <c r="A155" s="1839" t="s">
        <v>1409</v>
      </c>
      <c r="B155" s="1843" t="s">
        <v>2121</v>
      </c>
      <c r="C155" s="1853"/>
      <c r="D155" s="1853"/>
      <c r="E155" s="1853"/>
      <c r="F155" s="1845">
        <v>0.05</v>
      </c>
    </row>
    <row r="156" spans="1:6" ht="24.6" thickBot="1">
      <c r="A156" s="1839" t="s">
        <v>1409</v>
      </c>
      <c r="B156" s="1843" t="s">
        <v>2122</v>
      </c>
      <c r="C156" s="1853"/>
      <c r="D156" s="1853"/>
      <c r="E156" s="1853"/>
      <c r="F156" s="1845">
        <v>0.05</v>
      </c>
    </row>
    <row r="157" spans="1:6" ht="24.6" thickBot="1">
      <c r="A157" s="1847" t="s">
        <v>1409</v>
      </c>
      <c r="B157" s="1854" t="s">
        <v>2123</v>
      </c>
      <c r="C157" s="1850"/>
      <c r="D157" s="1850"/>
      <c r="E157" s="1850"/>
      <c r="F157" s="1855">
        <v>0.05</v>
      </c>
    </row>
    <row r="158" spans="1:6" ht="15" thickBot="1">
      <c r="A158" s="1839" t="s">
        <v>1411</v>
      </c>
      <c r="B158" s="1840" t="s">
        <v>2124</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2125</v>
      </c>
      <c r="C171" s="1844">
        <v>0.127</v>
      </c>
      <c r="D171" s="1844">
        <v>0.126</v>
      </c>
      <c r="E171" s="1844">
        <v>0.126</v>
      </c>
      <c r="F171" s="1845">
        <v>0.11799999999999999</v>
      </c>
    </row>
    <row r="172" spans="1:6" ht="15" thickBot="1">
      <c r="A172" s="1839" t="s">
        <v>1411</v>
      </c>
      <c r="B172" s="1843" t="s">
        <v>2126</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2127</v>
      </c>
      <c r="C174" s="1844">
        <v>0.13</v>
      </c>
      <c r="D174" s="1844">
        <v>0.13</v>
      </c>
      <c r="E174" s="1844">
        <v>0.13</v>
      </c>
      <c r="F174" s="1845">
        <v>0.13</v>
      </c>
    </row>
    <row r="175" spans="1:6" ht="15" thickBot="1">
      <c r="A175" s="1839" t="s">
        <v>1411</v>
      </c>
      <c r="B175" s="1843" t="s">
        <v>2128</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2129</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2130</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2131</v>
      </c>
      <c r="C185" s="1844">
        <v>0.127</v>
      </c>
      <c r="D185" s="1844">
        <v>0.127</v>
      </c>
      <c r="E185" s="1844">
        <v>0.128</v>
      </c>
      <c r="F185" s="1845">
        <v>0.13</v>
      </c>
    </row>
    <row r="186" spans="1:6" ht="24.6" thickBot="1">
      <c r="A186" s="1839" t="s">
        <v>1411</v>
      </c>
      <c r="B186" s="1843" t="s">
        <v>2132</v>
      </c>
      <c r="C186" s="1853"/>
      <c r="D186" s="1853"/>
      <c r="E186" s="1853"/>
      <c r="F186" s="1845">
        <v>0.05</v>
      </c>
    </row>
    <row r="187" spans="1:6" ht="15" thickBot="1">
      <c r="A187" s="1839" t="s">
        <v>1411</v>
      </c>
      <c r="B187" s="1843" t="s">
        <v>2133</v>
      </c>
      <c r="C187" s="1853"/>
      <c r="D187" s="1853"/>
      <c r="E187" s="1853"/>
      <c r="F187" s="1845">
        <v>0.05</v>
      </c>
    </row>
    <row r="188" spans="1:6" ht="24.6" thickBot="1">
      <c r="A188" s="1839" t="s">
        <v>1411</v>
      </c>
      <c r="B188" s="1843" t="s">
        <v>2134</v>
      </c>
      <c r="C188" s="1853"/>
      <c r="D188" s="1853"/>
      <c r="E188" s="1853"/>
      <c r="F188" s="1845">
        <v>0.05</v>
      </c>
    </row>
    <row r="189" spans="1:6" ht="24.6" thickBot="1">
      <c r="A189" s="1839" t="s">
        <v>1411</v>
      </c>
      <c r="B189" s="1843" t="s">
        <v>2135</v>
      </c>
      <c r="C189" s="1853"/>
      <c r="D189" s="1853"/>
      <c r="E189" s="1853"/>
      <c r="F189" s="1845">
        <v>0.05</v>
      </c>
    </row>
    <row r="190" spans="1:6" ht="24.6" thickBot="1">
      <c r="A190" s="1839" t="s">
        <v>1411</v>
      </c>
      <c r="B190" s="1843" t="s">
        <v>2136</v>
      </c>
      <c r="C190" s="1853"/>
      <c r="D190" s="1853"/>
      <c r="E190" s="1853"/>
      <c r="F190" s="1845">
        <v>0.05</v>
      </c>
    </row>
    <row r="191" spans="1:6" ht="24.6" thickBot="1">
      <c r="A191" s="1839" t="s">
        <v>1411</v>
      </c>
      <c r="B191" s="1843" t="s">
        <v>2137</v>
      </c>
      <c r="C191" s="1853"/>
      <c r="D191" s="1853"/>
      <c r="E191" s="1853"/>
      <c r="F191" s="1845">
        <v>0.05</v>
      </c>
    </row>
    <row r="192" spans="1:6" ht="24.6" thickBot="1">
      <c r="A192" s="1839" t="s">
        <v>1411</v>
      </c>
      <c r="B192" s="1843" t="s">
        <v>2138</v>
      </c>
      <c r="C192" s="1853"/>
      <c r="D192" s="1853"/>
      <c r="E192" s="1853"/>
      <c r="F192" s="1845">
        <v>0.05</v>
      </c>
    </row>
    <row r="193" spans="1:6" ht="24.6" thickBot="1">
      <c r="A193" s="1839" t="s">
        <v>1411</v>
      </c>
      <c r="B193" s="1843" t="s">
        <v>2139</v>
      </c>
      <c r="C193" s="1853"/>
      <c r="D193" s="1853"/>
      <c r="E193" s="1853"/>
      <c r="F193" s="1845">
        <v>0.05</v>
      </c>
    </row>
    <row r="194" spans="1:6" ht="24.6" thickBot="1">
      <c r="A194" s="1839" t="s">
        <v>1411</v>
      </c>
      <c r="B194" s="1843" t="s">
        <v>2140</v>
      </c>
      <c r="C194" s="1853"/>
      <c r="D194" s="1853"/>
      <c r="E194" s="1853"/>
      <c r="F194" s="1845">
        <v>0.05</v>
      </c>
    </row>
    <row r="195" spans="1:6" ht="15" thickBot="1">
      <c r="A195" s="1839" t="s">
        <v>1411</v>
      </c>
      <c r="B195" s="1843" t="s">
        <v>2141</v>
      </c>
      <c r="C195" s="1853"/>
      <c r="D195" s="1853"/>
      <c r="E195" s="1853"/>
      <c r="F195" s="1845">
        <v>0.05</v>
      </c>
    </row>
    <row r="196" spans="1:6" ht="24.6" thickBot="1">
      <c r="A196" s="1839" t="s">
        <v>1411</v>
      </c>
      <c r="B196" s="1843" t="s">
        <v>2142</v>
      </c>
      <c r="C196" s="1853"/>
      <c r="D196" s="1853"/>
      <c r="E196" s="1853"/>
      <c r="F196" s="1845">
        <v>0.05</v>
      </c>
    </row>
    <row r="197" spans="1:6" ht="24.6" thickBot="1">
      <c r="A197" s="1839" t="s">
        <v>1411</v>
      </c>
      <c r="B197" s="1843" t="s">
        <v>2143</v>
      </c>
      <c r="C197" s="1853"/>
      <c r="D197" s="1853"/>
      <c r="E197" s="1853"/>
      <c r="F197" s="1845">
        <v>0.05</v>
      </c>
    </row>
    <row r="198" spans="1:6" ht="24.6" thickBot="1">
      <c r="A198" s="1839" t="s">
        <v>1411</v>
      </c>
      <c r="B198" s="1843" t="s">
        <v>2144</v>
      </c>
      <c r="C198" s="1853"/>
      <c r="D198" s="1853"/>
      <c r="E198" s="1853"/>
      <c r="F198" s="1845">
        <v>0.05</v>
      </c>
    </row>
    <row r="199" spans="1:6" ht="24.6" thickBot="1">
      <c r="A199" s="1839" t="s">
        <v>1411</v>
      </c>
      <c r="B199" s="1843" t="s">
        <v>2145</v>
      </c>
      <c r="C199" s="1853"/>
      <c r="D199" s="1853"/>
      <c r="E199" s="1853"/>
      <c r="F199" s="1845">
        <v>0.05</v>
      </c>
    </row>
    <row r="200" spans="1:6" ht="24.6" thickBot="1">
      <c r="A200" s="1839" t="s">
        <v>1411</v>
      </c>
      <c r="B200" s="1843" t="s">
        <v>2146</v>
      </c>
      <c r="C200" s="1853"/>
      <c r="D200" s="1853"/>
      <c r="E200" s="1853"/>
      <c r="F200" s="1845">
        <v>0.05</v>
      </c>
    </row>
    <row r="201" spans="1:6" ht="24.6" thickBot="1">
      <c r="A201" s="1839" t="s">
        <v>1411</v>
      </c>
      <c r="B201" s="1843" t="s">
        <v>2147</v>
      </c>
      <c r="C201" s="1853"/>
      <c r="D201" s="1853"/>
      <c r="E201" s="1853"/>
      <c r="F201" s="1845">
        <v>0.05</v>
      </c>
    </row>
    <row r="202" spans="1:6" ht="24.6" thickBot="1">
      <c r="A202" s="1839" t="s">
        <v>1411</v>
      </c>
      <c r="B202" s="1843" t="s">
        <v>2148</v>
      </c>
      <c r="C202" s="1853"/>
      <c r="D202" s="1853"/>
      <c r="E202" s="1853"/>
      <c r="F202" s="1845">
        <v>0.05</v>
      </c>
    </row>
    <row r="203" spans="1:6" ht="24.6" thickBot="1">
      <c r="A203" s="1839" t="s">
        <v>1411</v>
      </c>
      <c r="B203" s="1843" t="s">
        <v>2149</v>
      </c>
      <c r="C203" s="1853"/>
      <c r="D203" s="1853"/>
      <c r="E203" s="1853"/>
      <c r="F203" s="1845">
        <v>0.05</v>
      </c>
    </row>
    <row r="204" spans="1:6" ht="15" thickBot="1">
      <c r="A204" s="1839" t="s">
        <v>1411</v>
      </c>
      <c r="B204" s="1843" t="s">
        <v>2150</v>
      </c>
      <c r="C204" s="1853"/>
      <c r="D204" s="1853"/>
      <c r="E204" s="1853"/>
      <c r="F204" s="1845">
        <v>0.05</v>
      </c>
    </row>
    <row r="205" spans="1:6" ht="15" thickBot="1">
      <c r="A205" s="1847" t="s">
        <v>1411</v>
      </c>
      <c r="B205" s="1854" t="s">
        <v>2151</v>
      </c>
      <c r="C205" s="1850"/>
      <c r="D205" s="1850"/>
      <c r="E205" s="1850"/>
      <c r="F205" s="1855">
        <v>0.05</v>
      </c>
    </row>
    <row r="206" spans="1:6" ht="15" thickBot="1">
      <c r="A206" s="1839" t="s">
        <v>1413</v>
      </c>
      <c r="B206" s="1840" t="s">
        <v>2152</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2153</v>
      </c>
      <c r="C210" s="1844">
        <v>0.15</v>
      </c>
      <c r="D210" s="1844">
        <v>0.15</v>
      </c>
      <c r="E210" s="1844">
        <v>0.15</v>
      </c>
      <c r="F210" s="1845">
        <v>0.13800000000000001</v>
      </c>
    </row>
    <row r="211" spans="1:6" ht="15" thickBot="1">
      <c r="A211" s="1839" t="s">
        <v>1413</v>
      </c>
      <c r="B211" s="1843" t="s">
        <v>2154</v>
      </c>
      <c r="C211" s="1844">
        <v>0.13700000000000001</v>
      </c>
      <c r="D211" s="1844">
        <v>0.13500000000000001</v>
      </c>
      <c r="E211" s="1844">
        <v>0.13600000000000001</v>
      </c>
      <c r="F211" s="1845">
        <v>0.1</v>
      </c>
    </row>
    <row r="212" spans="1:6" ht="15" thickBot="1">
      <c r="A212" s="1839" t="s">
        <v>1413</v>
      </c>
      <c r="B212" s="1843" t="s">
        <v>2155</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2156</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2157</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2158</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2159</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2160</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2161</v>
      </c>
      <c r="C231" s="1844">
        <v>0.128</v>
      </c>
      <c r="D231" s="1844">
        <v>0.125</v>
      </c>
      <c r="E231" s="1844">
        <v>0.13200000000000001</v>
      </c>
      <c r="F231" s="1852"/>
    </row>
    <row r="232" spans="1:6" ht="15" thickBot="1">
      <c r="A232" s="1839" t="s">
        <v>1413</v>
      </c>
      <c r="B232" s="1843" t="s">
        <v>2162</v>
      </c>
      <c r="C232" s="1844">
        <v>0.14499999999999999</v>
      </c>
      <c r="D232" s="1844">
        <v>0.14399999999999999</v>
      </c>
      <c r="E232" s="1844">
        <v>0.14599999999999999</v>
      </c>
      <c r="F232" s="1845">
        <v>0.13800000000000001</v>
      </c>
    </row>
    <row r="233" spans="1:6" ht="15" thickBot="1">
      <c r="A233" s="1839" t="s">
        <v>1413</v>
      </c>
      <c r="B233" s="1843" t="s">
        <v>2163</v>
      </c>
      <c r="C233" s="1844">
        <v>0.14499999999999999</v>
      </c>
      <c r="D233" s="1844">
        <v>0.14299999999999999</v>
      </c>
      <c r="E233" s="1844">
        <v>0.14199999999999999</v>
      </c>
      <c r="F233" s="1852"/>
    </row>
    <row r="234" spans="1:6" ht="15" thickBot="1">
      <c r="A234" s="1839" t="s">
        <v>1413</v>
      </c>
      <c r="B234" s="1843" t="s">
        <v>2164</v>
      </c>
      <c r="C234" s="1844">
        <v>0.14000000000000001</v>
      </c>
      <c r="D234" s="1844">
        <v>0.14000000000000001</v>
      </c>
      <c r="E234" s="1844">
        <v>0.14399999999999999</v>
      </c>
      <c r="F234" s="1852"/>
    </row>
    <row r="235" spans="1:6" ht="15" thickBot="1">
      <c r="A235" s="1839" t="s">
        <v>1413</v>
      </c>
      <c r="B235" s="1843" t="s">
        <v>2165</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2166</v>
      </c>
      <c r="C237" s="1853"/>
      <c r="D237" s="1853"/>
      <c r="E237" s="1853"/>
      <c r="F237" s="1845">
        <v>0.05</v>
      </c>
    </row>
    <row r="238" spans="1:6" ht="24.6" thickBot="1">
      <c r="A238" s="1839" t="s">
        <v>1413</v>
      </c>
      <c r="B238" s="1843" t="s">
        <v>2167</v>
      </c>
      <c r="C238" s="1853"/>
      <c r="D238" s="1853"/>
      <c r="E238" s="1853"/>
      <c r="F238" s="1845">
        <v>0.05</v>
      </c>
    </row>
    <row r="239" spans="1:6" ht="24.6" thickBot="1">
      <c r="A239" s="1839" t="s">
        <v>1413</v>
      </c>
      <c r="B239" s="1843" t="s">
        <v>2168</v>
      </c>
      <c r="C239" s="1853"/>
      <c r="D239" s="1853"/>
      <c r="E239" s="1853"/>
      <c r="F239" s="1845">
        <v>0.05</v>
      </c>
    </row>
    <row r="240" spans="1:6" ht="24.6" thickBot="1">
      <c r="A240" s="1839" t="s">
        <v>1413</v>
      </c>
      <c r="B240" s="1843" t="s">
        <v>2169</v>
      </c>
      <c r="C240" s="1853"/>
      <c r="D240" s="1853"/>
      <c r="E240" s="1853"/>
      <c r="F240" s="1845">
        <v>0.05</v>
      </c>
    </row>
    <row r="241" spans="1:6" ht="24.6" thickBot="1">
      <c r="A241" s="1839" t="s">
        <v>1413</v>
      </c>
      <c r="B241" s="1843" t="s">
        <v>2170</v>
      </c>
      <c r="C241" s="1853"/>
      <c r="D241" s="1853"/>
      <c r="E241" s="1853"/>
      <c r="F241" s="1845">
        <v>0.05</v>
      </c>
    </row>
    <row r="242" spans="1:6" ht="24.6" thickBot="1">
      <c r="A242" s="1839" t="s">
        <v>1413</v>
      </c>
      <c r="B242" s="1843" t="s">
        <v>2171</v>
      </c>
      <c r="C242" s="1853"/>
      <c r="D242" s="1853"/>
      <c r="E242" s="1853"/>
      <c r="F242" s="1845">
        <v>0.05</v>
      </c>
    </row>
    <row r="243" spans="1:6" ht="24.6" thickBot="1">
      <c r="A243" s="1839" t="s">
        <v>1413</v>
      </c>
      <c r="B243" s="1843" t="s">
        <v>2172</v>
      </c>
      <c r="C243" s="1853"/>
      <c r="D243" s="1853"/>
      <c r="E243" s="1853"/>
      <c r="F243" s="1845">
        <v>0.05</v>
      </c>
    </row>
    <row r="244" spans="1:6" ht="24.6" thickBot="1">
      <c r="A244" s="1847" t="s">
        <v>1413</v>
      </c>
      <c r="B244" s="1854" t="s">
        <v>2173</v>
      </c>
      <c r="C244" s="1850"/>
      <c r="D244" s="1850"/>
      <c r="E244" s="1850"/>
      <c r="F244" s="1855">
        <v>0.05</v>
      </c>
    </row>
    <row r="245" spans="1:6" ht="15" thickBot="1">
      <c r="A245" s="1839" t="s">
        <v>1415</v>
      </c>
      <c r="B245" s="1840" t="s">
        <v>2174</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2175</v>
      </c>
      <c r="C247" s="1844">
        <v>0.15</v>
      </c>
      <c r="D247" s="1844">
        <v>0.15</v>
      </c>
      <c r="E247" s="1844">
        <v>0.15</v>
      </c>
      <c r="F247" s="1845">
        <v>0.15</v>
      </c>
    </row>
    <row r="248" spans="1:6" ht="15" thickBot="1">
      <c r="A248" s="1839" t="s">
        <v>1415</v>
      </c>
      <c r="B248" s="1843" t="s">
        <v>2176</v>
      </c>
      <c r="C248" s="1844">
        <v>0.15</v>
      </c>
      <c r="D248" s="1844">
        <v>0.15</v>
      </c>
      <c r="E248" s="1844">
        <v>0.15</v>
      </c>
      <c r="F248" s="1845">
        <v>0.14000000000000001</v>
      </c>
    </row>
    <row r="249" spans="1:6" ht="15" thickBot="1">
      <c r="A249" s="1839" t="s">
        <v>1415</v>
      </c>
      <c r="B249" s="1843" t="s">
        <v>2177</v>
      </c>
      <c r="C249" s="1844">
        <v>0.15</v>
      </c>
      <c r="D249" s="1844">
        <v>0.14899999999999999</v>
      </c>
      <c r="E249" s="1844">
        <v>0.15</v>
      </c>
      <c r="F249" s="1845">
        <v>0.1</v>
      </c>
    </row>
    <row r="250" spans="1:6" ht="15" thickBot="1">
      <c r="A250" s="1839" t="s">
        <v>1415</v>
      </c>
      <c r="B250" s="1843" t="s">
        <v>2178</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2179</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2180</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2181</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2182</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2183</v>
      </c>
      <c r="C273" s="1844">
        <v>0.14199999999999999</v>
      </c>
      <c r="D273" s="1844">
        <v>0.14299999999999999</v>
      </c>
      <c r="E273" s="1844">
        <v>0.15</v>
      </c>
      <c r="F273" s="1845">
        <v>0.1</v>
      </c>
    </row>
    <row r="274" spans="1:6" ht="15" thickBot="1">
      <c r="A274" s="1839" t="s">
        <v>1415</v>
      </c>
      <c r="B274" s="1843" t="s">
        <v>2184</v>
      </c>
      <c r="C274" s="1844">
        <v>0.14799999999999999</v>
      </c>
      <c r="D274" s="1844">
        <v>0.14799999999999999</v>
      </c>
      <c r="E274" s="1844">
        <v>0.15</v>
      </c>
      <c r="F274" s="1845">
        <v>6.7000000000000004E-2</v>
      </c>
    </row>
    <row r="275" spans="1:6" ht="15" thickBot="1">
      <c r="A275" s="1839" t="s">
        <v>1415</v>
      </c>
      <c r="B275" s="1843" t="s">
        <v>2185</v>
      </c>
      <c r="C275" s="1844">
        <v>0.15</v>
      </c>
      <c r="D275" s="1844">
        <v>0.15</v>
      </c>
      <c r="E275" s="1844">
        <v>0.15</v>
      </c>
      <c r="F275" s="1845">
        <v>0.15</v>
      </c>
    </row>
    <row r="276" spans="1:6" ht="15" thickBot="1">
      <c r="A276" s="1839" t="s">
        <v>1415</v>
      </c>
      <c r="B276" s="1843" t="s">
        <v>2186</v>
      </c>
      <c r="C276" s="1844">
        <v>0.14499999999999999</v>
      </c>
      <c r="D276" s="1844">
        <v>0.14299999999999999</v>
      </c>
      <c r="E276" s="1844">
        <v>0.15</v>
      </c>
      <c r="F276" s="1845">
        <v>5.8999999999999997E-2</v>
      </c>
    </row>
    <row r="277" spans="1:6" ht="15" thickBot="1">
      <c r="A277" s="1839" t="s">
        <v>1415</v>
      </c>
      <c r="B277" s="1843" t="s">
        <v>2187</v>
      </c>
      <c r="C277" s="1844">
        <v>0.15</v>
      </c>
      <c r="D277" s="1844">
        <v>0.15</v>
      </c>
      <c r="E277" s="1844">
        <v>0.15</v>
      </c>
      <c r="F277" s="1845">
        <v>0.121</v>
      </c>
    </row>
    <row r="278" spans="1:6" ht="15" thickBot="1">
      <c r="A278" s="1839" t="s">
        <v>1415</v>
      </c>
      <c r="B278" s="1843" t="s">
        <v>2188</v>
      </c>
      <c r="C278" s="1844">
        <v>0.15</v>
      </c>
      <c r="D278" s="1844">
        <v>0.15</v>
      </c>
      <c r="E278" s="1844">
        <v>0.15</v>
      </c>
      <c r="F278" s="1845">
        <v>0.13800000000000001</v>
      </c>
    </row>
    <row r="279" spans="1:6" ht="24.6" thickBot="1">
      <c r="A279" s="1839" t="s">
        <v>1415</v>
      </c>
      <c r="B279" s="1843" t="s">
        <v>2189</v>
      </c>
      <c r="C279" s="1853"/>
      <c r="D279" s="1853"/>
      <c r="E279" s="1853"/>
      <c r="F279" s="1845">
        <v>0.05</v>
      </c>
    </row>
    <row r="280" spans="1:6" ht="24.6" thickBot="1">
      <c r="A280" s="1839" t="s">
        <v>1415</v>
      </c>
      <c r="B280" s="1843" t="s">
        <v>2190</v>
      </c>
      <c r="C280" s="1853"/>
      <c r="D280" s="1853"/>
      <c r="E280" s="1853"/>
      <c r="F280" s="1845">
        <v>0.05</v>
      </c>
    </row>
    <row r="281" spans="1:6" ht="24.6" thickBot="1">
      <c r="A281" s="1839" t="s">
        <v>1415</v>
      </c>
      <c r="B281" s="1843" t="s">
        <v>2191</v>
      </c>
      <c r="C281" s="1853"/>
      <c r="D281" s="1853"/>
      <c r="E281" s="1853"/>
      <c r="F281" s="1845">
        <v>0.05</v>
      </c>
    </row>
    <row r="282" spans="1:6" ht="24.6" thickBot="1">
      <c r="A282" s="1839" t="s">
        <v>1415</v>
      </c>
      <c r="B282" s="1843" t="s">
        <v>2192</v>
      </c>
      <c r="C282" s="1853"/>
      <c r="D282" s="1853"/>
      <c r="E282" s="1853"/>
      <c r="F282" s="1845">
        <v>0.05</v>
      </c>
    </row>
    <row r="283" spans="1:6" ht="24.6" thickBot="1">
      <c r="A283" s="1839" t="s">
        <v>1415</v>
      </c>
      <c r="B283" s="1843" t="s">
        <v>2193</v>
      </c>
      <c r="C283" s="1853"/>
      <c r="D283" s="1853"/>
      <c r="E283" s="1853"/>
      <c r="F283" s="1845">
        <v>0.05</v>
      </c>
    </row>
    <row r="284" spans="1:6" ht="24.6" thickBot="1">
      <c r="A284" s="1839" t="s">
        <v>1415</v>
      </c>
      <c r="B284" s="1843" t="s">
        <v>2194</v>
      </c>
      <c r="C284" s="1853"/>
      <c r="D284" s="1853"/>
      <c r="E284" s="1853"/>
      <c r="F284" s="1845">
        <v>0.05</v>
      </c>
    </row>
    <row r="285" spans="1:6" ht="24.6" thickBot="1">
      <c r="A285" s="1839" t="s">
        <v>1415</v>
      </c>
      <c r="B285" s="1843" t="s">
        <v>2195</v>
      </c>
      <c r="C285" s="1853"/>
      <c r="D285" s="1853"/>
      <c r="E285" s="1853"/>
      <c r="F285" s="1845">
        <v>0.05</v>
      </c>
    </row>
    <row r="286" spans="1:6" ht="24.6" thickBot="1">
      <c r="A286" s="1839" t="s">
        <v>1415</v>
      </c>
      <c r="B286" s="1843" t="s">
        <v>2196</v>
      </c>
      <c r="C286" s="1853"/>
      <c r="D286" s="1853"/>
      <c r="E286" s="1853"/>
      <c r="F286" s="1845">
        <v>0.05</v>
      </c>
    </row>
    <row r="287" spans="1:6" ht="24.6" thickBot="1">
      <c r="A287" s="1839" t="s">
        <v>1415</v>
      </c>
      <c r="B287" s="1843" t="s">
        <v>2197</v>
      </c>
      <c r="C287" s="1853"/>
      <c r="D287" s="1853"/>
      <c r="E287" s="1853"/>
      <c r="F287" s="1845">
        <v>0.05</v>
      </c>
    </row>
    <row r="288" spans="1:6" ht="24.6" thickBot="1">
      <c r="A288" s="1839" t="s">
        <v>1415</v>
      </c>
      <c r="B288" s="1843" t="s">
        <v>2198</v>
      </c>
      <c r="C288" s="1853"/>
      <c r="D288" s="1853"/>
      <c r="E288" s="1853"/>
      <c r="F288" s="1845">
        <v>0.05</v>
      </c>
    </row>
    <row r="289" spans="1:6" ht="24.6" thickBot="1">
      <c r="A289" s="1847" t="s">
        <v>1415</v>
      </c>
      <c r="B289" s="1854" t="s">
        <v>2199</v>
      </c>
      <c r="C289" s="1850"/>
      <c r="D289" s="1850"/>
      <c r="E289" s="1850"/>
      <c r="F289" s="1855">
        <v>0.05</v>
      </c>
    </row>
    <row r="290" spans="1:6" ht="15" thickBot="1">
      <c r="A290" s="1839" t="s">
        <v>1419</v>
      </c>
      <c r="B290" s="1840" t="s">
        <v>2200</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2201</v>
      </c>
      <c r="C292" s="1844">
        <v>0.15</v>
      </c>
      <c r="D292" s="1844">
        <v>0.15</v>
      </c>
      <c r="E292" s="1844">
        <v>0.15</v>
      </c>
      <c r="F292" s="1845">
        <v>0.14699999999999999</v>
      </c>
    </row>
    <row r="293" spans="1:6" ht="15" thickBot="1">
      <c r="A293" s="1839" t="s">
        <v>1419</v>
      </c>
      <c r="B293" s="1843" t="s">
        <v>2202</v>
      </c>
      <c r="C293" s="1853"/>
      <c r="D293" s="1853"/>
      <c r="E293" s="1853"/>
      <c r="F293" s="1845">
        <v>0.1</v>
      </c>
    </row>
    <row r="294" spans="1:6" ht="15" thickBot="1">
      <c r="A294" s="1839" t="s">
        <v>1419</v>
      </c>
      <c r="B294" s="1843" t="s">
        <v>2203</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2204</v>
      </c>
      <c r="C296" s="1844">
        <v>0.15</v>
      </c>
      <c r="D296" s="1844">
        <v>0.15</v>
      </c>
      <c r="E296" s="1844">
        <v>0.15</v>
      </c>
      <c r="F296" s="1845">
        <v>0.15</v>
      </c>
    </row>
    <row r="297" spans="1:6" ht="15" thickBot="1">
      <c r="A297" s="1839" t="s">
        <v>1419</v>
      </c>
      <c r="B297" s="1843" t="s">
        <v>2205</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2206</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2207</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2208</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2209</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2210</v>
      </c>
      <c r="C310" s="1844">
        <v>0.15</v>
      </c>
      <c r="D310" s="1844">
        <v>0.15</v>
      </c>
      <c r="E310" s="1844">
        <v>0.15</v>
      </c>
      <c r="F310" s="1845">
        <v>0.13700000000000001</v>
      </c>
    </row>
    <row r="311" spans="1:6" ht="15" thickBot="1">
      <c r="A311" s="1839" t="s">
        <v>1419</v>
      </c>
      <c r="B311" s="1843" t="s">
        <v>2211</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2212</v>
      </c>
      <c r="C313" s="1844">
        <v>0.15</v>
      </c>
      <c r="D313" s="1844">
        <v>0.15</v>
      </c>
      <c r="E313" s="1844">
        <v>0.15</v>
      </c>
      <c r="F313" s="1845">
        <v>0.15</v>
      </c>
    </row>
    <row r="314" spans="1:6" ht="24.6" thickBot="1">
      <c r="A314" s="1839" t="s">
        <v>1419</v>
      </c>
      <c r="B314" s="1843" t="s">
        <v>2213</v>
      </c>
      <c r="C314" s="1853"/>
      <c r="D314" s="1853"/>
      <c r="E314" s="1853"/>
      <c r="F314" s="1845">
        <v>0.05</v>
      </c>
    </row>
    <row r="315" spans="1:6" ht="24.6" thickBot="1">
      <c r="A315" s="1839" t="s">
        <v>1419</v>
      </c>
      <c r="B315" s="1843" t="s">
        <v>2214</v>
      </c>
      <c r="C315" s="1853"/>
      <c r="D315" s="1853"/>
      <c r="E315" s="1853"/>
      <c r="F315" s="1845">
        <v>0.05</v>
      </c>
    </row>
    <row r="316" spans="1:6" ht="24.6" thickBot="1">
      <c r="A316" s="1847" t="s">
        <v>1419</v>
      </c>
      <c r="B316" s="1854" t="s">
        <v>2215</v>
      </c>
      <c r="C316" s="1850"/>
      <c r="D316" s="1850"/>
      <c r="E316" s="1850"/>
      <c r="F316" s="1855">
        <v>0.05</v>
      </c>
    </row>
    <row r="317" spans="1:6" ht="15" thickBot="1">
      <c r="A317" s="1839" t="s">
        <v>2216</v>
      </c>
      <c r="B317" s="1840" t="s">
        <v>2217</v>
      </c>
      <c r="C317" s="1841">
        <v>0.15</v>
      </c>
      <c r="D317" s="1841">
        <v>0.15</v>
      </c>
      <c r="E317" s="1841">
        <v>0.15</v>
      </c>
      <c r="F317" s="1842">
        <v>0.15</v>
      </c>
    </row>
    <row r="318" spans="1:6" ht="15" thickBot="1">
      <c r="A318" s="1839" t="s">
        <v>2216</v>
      </c>
      <c r="B318" s="1843" t="s">
        <v>2218</v>
      </c>
      <c r="C318" s="1844">
        <v>0.107</v>
      </c>
      <c r="D318" s="1844">
        <v>0.11</v>
      </c>
      <c r="E318" s="1844">
        <v>0.112</v>
      </c>
      <c r="F318" s="1852"/>
    </row>
    <row r="319" spans="1:6" ht="15" thickBot="1">
      <c r="A319" s="1839" t="s">
        <v>2216</v>
      </c>
      <c r="B319" s="1843" t="s">
        <v>2219</v>
      </c>
      <c r="C319" s="1844">
        <v>0.15</v>
      </c>
      <c r="D319" s="1844">
        <v>0.15</v>
      </c>
      <c r="E319" s="1844">
        <v>0.15</v>
      </c>
      <c r="F319" s="1845">
        <v>0.15</v>
      </c>
    </row>
    <row r="320" spans="1:6" ht="15" thickBot="1">
      <c r="A320" s="1839" t="s">
        <v>2216</v>
      </c>
      <c r="B320" s="1843" t="s">
        <v>1107</v>
      </c>
      <c r="C320" s="1844">
        <v>0.15</v>
      </c>
      <c r="D320" s="1844">
        <v>0.15</v>
      </c>
      <c r="E320" s="1844">
        <v>0.15</v>
      </c>
      <c r="F320" s="1852"/>
    </row>
    <row r="321" spans="1:6" ht="15" thickBot="1">
      <c r="A321" s="1839" t="s">
        <v>2216</v>
      </c>
      <c r="B321" s="1843" t="s">
        <v>2220</v>
      </c>
      <c r="C321" s="1844">
        <v>0.15</v>
      </c>
      <c r="D321" s="1844">
        <v>0.15</v>
      </c>
      <c r="E321" s="1844">
        <v>0.15</v>
      </c>
      <c r="F321" s="1852"/>
    </row>
    <row r="322" spans="1:6" ht="15" thickBot="1">
      <c r="A322" s="1839" t="s">
        <v>2216</v>
      </c>
      <c r="B322" s="1843" t="s">
        <v>2221</v>
      </c>
      <c r="C322" s="1844">
        <v>0.15</v>
      </c>
      <c r="D322" s="1844">
        <v>0.15</v>
      </c>
      <c r="E322" s="1844">
        <v>0.15</v>
      </c>
      <c r="F322" s="1845">
        <v>0.15</v>
      </c>
    </row>
    <row r="323" spans="1:6" ht="15" thickBot="1">
      <c r="A323" s="1839" t="s">
        <v>2216</v>
      </c>
      <c r="B323" s="1843" t="s">
        <v>2222</v>
      </c>
      <c r="C323" s="1844">
        <v>0.15</v>
      </c>
      <c r="D323" s="1844">
        <v>0.15</v>
      </c>
      <c r="E323" s="1844">
        <v>0.15</v>
      </c>
      <c r="F323" s="1852"/>
    </row>
    <row r="324" spans="1:6" ht="15" thickBot="1">
      <c r="A324" s="1839" t="s">
        <v>2216</v>
      </c>
      <c r="B324" s="1843" t="s">
        <v>2223</v>
      </c>
      <c r="C324" s="1844">
        <v>0.15</v>
      </c>
      <c r="D324" s="1844">
        <v>0.15</v>
      </c>
      <c r="E324" s="1844">
        <v>0.15</v>
      </c>
      <c r="F324" s="1852"/>
    </row>
    <row r="325" spans="1:6" ht="15" thickBot="1">
      <c r="A325" s="1839" t="s">
        <v>2216</v>
      </c>
      <c r="B325" s="1843" t="s">
        <v>2224</v>
      </c>
      <c r="C325" s="1844">
        <v>0.15</v>
      </c>
      <c r="D325" s="1844">
        <v>0.15</v>
      </c>
      <c r="E325" s="1844">
        <v>0.15</v>
      </c>
      <c r="F325" s="1845">
        <v>0.14699999999999999</v>
      </c>
    </row>
    <row r="326" spans="1:6" ht="15" thickBot="1">
      <c r="A326" s="1839" t="s">
        <v>2216</v>
      </c>
      <c r="B326" s="1843" t="s">
        <v>1176</v>
      </c>
      <c r="C326" s="1844">
        <v>0.15</v>
      </c>
      <c r="D326" s="1844">
        <v>0.15</v>
      </c>
      <c r="E326" s="1844">
        <v>0.15</v>
      </c>
      <c r="F326" s="1852"/>
    </row>
    <row r="327" spans="1:6" ht="15" thickBot="1">
      <c r="A327" s="1839" t="s">
        <v>2216</v>
      </c>
      <c r="B327" s="1843" t="s">
        <v>2225</v>
      </c>
      <c r="C327" s="1844">
        <v>0.15</v>
      </c>
      <c r="D327" s="1844">
        <v>0.15</v>
      </c>
      <c r="E327" s="1844">
        <v>0.15</v>
      </c>
      <c r="F327" s="1845">
        <v>0.15</v>
      </c>
    </row>
    <row r="328" spans="1:6" ht="15" thickBot="1">
      <c r="A328" s="1839" t="s">
        <v>2216</v>
      </c>
      <c r="B328" s="1843" t="s">
        <v>1196</v>
      </c>
      <c r="C328" s="1844">
        <v>0.15</v>
      </c>
      <c r="D328" s="1844">
        <v>0.15</v>
      </c>
      <c r="E328" s="1844">
        <v>0.15</v>
      </c>
      <c r="F328" s="1845">
        <v>0.14099999999999999</v>
      </c>
    </row>
    <row r="329" spans="1:6" ht="15" thickBot="1">
      <c r="A329" s="1839" t="s">
        <v>2216</v>
      </c>
      <c r="B329" s="1843" t="s">
        <v>1206</v>
      </c>
      <c r="C329" s="1844">
        <v>0.15</v>
      </c>
      <c r="D329" s="1844">
        <v>0.15</v>
      </c>
      <c r="E329" s="1844">
        <v>0.15</v>
      </c>
      <c r="F329" s="1845">
        <v>0.15</v>
      </c>
    </row>
    <row r="330" spans="1:6" ht="15" thickBot="1">
      <c r="A330" s="1839" t="s">
        <v>2216</v>
      </c>
      <c r="B330" s="1843" t="s">
        <v>1216</v>
      </c>
      <c r="C330" s="1844">
        <v>0.15</v>
      </c>
      <c r="D330" s="1844">
        <v>0.15</v>
      </c>
      <c r="E330" s="1844">
        <v>0.15</v>
      </c>
      <c r="F330" s="1852"/>
    </row>
    <row r="331" spans="1:6" ht="15" thickBot="1">
      <c r="A331" s="1839" t="s">
        <v>2216</v>
      </c>
      <c r="B331" s="1843" t="s">
        <v>2226</v>
      </c>
      <c r="C331" s="1844">
        <v>0.15</v>
      </c>
      <c r="D331" s="1844">
        <v>0.15</v>
      </c>
      <c r="E331" s="1844">
        <v>0.15</v>
      </c>
      <c r="F331" s="1845">
        <v>0.15</v>
      </c>
    </row>
    <row r="332" spans="1:6" ht="15" thickBot="1">
      <c r="A332" s="1839" t="s">
        <v>2216</v>
      </c>
      <c r="B332" s="1843" t="s">
        <v>1236</v>
      </c>
      <c r="C332" s="1844">
        <v>0.15</v>
      </c>
      <c r="D332" s="1844">
        <v>0.15</v>
      </c>
      <c r="E332" s="1844">
        <v>0.15</v>
      </c>
      <c r="F332" s="1845">
        <v>0.15</v>
      </c>
    </row>
    <row r="333" spans="1:6" ht="15" thickBot="1">
      <c r="A333" s="1839" t="s">
        <v>2216</v>
      </c>
      <c r="B333" s="1843" t="s">
        <v>2227</v>
      </c>
      <c r="C333" s="1844">
        <v>0.15</v>
      </c>
      <c r="D333" s="1844">
        <v>0.15</v>
      </c>
      <c r="E333" s="1844">
        <v>0.15</v>
      </c>
      <c r="F333" s="1845">
        <v>0.14099999999999999</v>
      </c>
    </row>
    <row r="334" spans="1:6" ht="15" thickBot="1">
      <c r="A334" s="1839" t="s">
        <v>2216</v>
      </c>
      <c r="B334" s="1843" t="s">
        <v>1256</v>
      </c>
      <c r="C334" s="1844">
        <v>0.15</v>
      </c>
      <c r="D334" s="1844">
        <v>0.15</v>
      </c>
      <c r="E334" s="1844">
        <v>0.15</v>
      </c>
      <c r="F334" s="1845">
        <v>0.15</v>
      </c>
    </row>
    <row r="335" spans="1:6" ht="15" thickBot="1">
      <c r="A335" s="1839" t="s">
        <v>2216</v>
      </c>
      <c r="B335" s="1843" t="s">
        <v>1266</v>
      </c>
      <c r="C335" s="1844">
        <v>0.15</v>
      </c>
      <c r="D335" s="1844">
        <v>0.15</v>
      </c>
      <c r="E335" s="1844">
        <v>0.15</v>
      </c>
      <c r="F335" s="1852"/>
    </row>
    <row r="336" spans="1:6" ht="15" thickBot="1">
      <c r="A336" s="1839" t="s">
        <v>2216</v>
      </c>
      <c r="B336" s="1843" t="s">
        <v>2228</v>
      </c>
      <c r="C336" s="1844">
        <v>0.15</v>
      </c>
      <c r="D336" s="1844">
        <v>0.15</v>
      </c>
      <c r="E336" s="1844">
        <v>0.15</v>
      </c>
      <c r="F336" s="1845">
        <v>0.11799999999999999</v>
      </c>
    </row>
    <row r="337" spans="1:6" ht="15" thickBot="1">
      <c r="A337" s="1847" t="s">
        <v>2216</v>
      </c>
      <c r="B337" s="1854" t="s">
        <v>1284</v>
      </c>
      <c r="C337" s="1850"/>
      <c r="D337" s="1850"/>
      <c r="E337" s="1850"/>
      <c r="F337" s="1855">
        <v>0.14299999999999999</v>
      </c>
    </row>
    <row r="338" spans="1:6" ht="15" thickBot="1">
      <c r="A338" s="1839" t="s">
        <v>2229</v>
      </c>
      <c r="B338" s="1840" t="s">
        <v>2230</v>
      </c>
      <c r="C338" s="1841">
        <v>0.15</v>
      </c>
      <c r="D338" s="1841">
        <v>0.15</v>
      </c>
      <c r="E338" s="1841">
        <v>0.15</v>
      </c>
      <c r="F338" s="1863"/>
    </row>
    <row r="339" spans="1:6" ht="15" thickBot="1">
      <c r="A339" s="1839" t="s">
        <v>2229</v>
      </c>
      <c r="B339" s="1843" t="s">
        <v>2231</v>
      </c>
      <c r="C339" s="1844">
        <v>0.15</v>
      </c>
      <c r="D339" s="1844">
        <v>0.15</v>
      </c>
      <c r="E339" s="1844">
        <v>0.15</v>
      </c>
      <c r="F339" s="1852"/>
    </row>
    <row r="340" spans="1:6" ht="15" thickBot="1">
      <c r="A340" s="1839" t="s">
        <v>2229</v>
      </c>
      <c r="B340" s="1843" t="s">
        <v>2232</v>
      </c>
      <c r="C340" s="1844">
        <v>0.15</v>
      </c>
      <c r="D340" s="1844">
        <v>0.15</v>
      </c>
      <c r="E340" s="1844">
        <v>0.15</v>
      </c>
      <c r="F340" s="1852"/>
    </row>
    <row r="341" spans="1:6" ht="15" thickBot="1">
      <c r="A341" s="1839" t="s">
        <v>2233</v>
      </c>
      <c r="B341" s="1843" t="s">
        <v>2234</v>
      </c>
      <c r="C341" s="1844">
        <v>0.15</v>
      </c>
      <c r="D341" s="1844">
        <v>0.15</v>
      </c>
      <c r="E341" s="1844">
        <v>0.15</v>
      </c>
      <c r="F341" s="1845">
        <v>0.15</v>
      </c>
    </row>
    <row r="342" spans="1:6" ht="15" thickBot="1">
      <c r="A342" s="1839" t="s">
        <v>2229</v>
      </c>
      <c r="B342" s="1843" t="s">
        <v>2235</v>
      </c>
      <c r="C342" s="1844">
        <v>0.15</v>
      </c>
      <c r="D342" s="1844">
        <v>0.15</v>
      </c>
      <c r="E342" s="1844">
        <v>0.15</v>
      </c>
      <c r="F342" s="1845">
        <v>0.15</v>
      </c>
    </row>
    <row r="343" spans="1:6" ht="15" thickBot="1">
      <c r="A343" s="1839" t="s">
        <v>2229</v>
      </c>
      <c r="B343" s="1843" t="s">
        <v>2236</v>
      </c>
      <c r="C343" s="1844">
        <v>0.15</v>
      </c>
      <c r="D343" s="1844">
        <v>0.15</v>
      </c>
      <c r="E343" s="1844">
        <v>0.15</v>
      </c>
      <c r="F343" s="1845">
        <v>0.15</v>
      </c>
    </row>
    <row r="344" spans="1:6" ht="1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4" t="s">
        <v>2576</v>
      </c>
      <c r="C1" s="3444"/>
      <c r="D1" s="3444"/>
      <c r="E1" s="3444"/>
      <c r="F1" s="3444"/>
      <c r="G1" s="3443" t="s">
        <v>2577</v>
      </c>
      <c r="H1" s="3443"/>
      <c r="I1" s="3443"/>
      <c r="J1" s="3443"/>
      <c r="K1" s="3443"/>
      <c r="L1" s="3443"/>
      <c r="N1" s="3443" t="s">
        <v>2578</v>
      </c>
      <c r="O1" s="3443"/>
      <c r="P1" s="3443"/>
      <c r="Q1" s="3443"/>
      <c r="R1" s="2617"/>
      <c r="S1" s="3443" t="s">
        <v>2579</v>
      </c>
      <c r="T1" s="3443"/>
      <c r="U1" s="3443"/>
      <c r="V1" s="3443"/>
      <c r="X1" s="3442" t="s">
        <v>2639</v>
      </c>
      <c r="Y1" s="3443"/>
      <c r="Z1" s="3443"/>
      <c r="AA1" s="3443"/>
      <c r="AB1" s="3443"/>
      <c r="AD1" s="3442" t="s">
        <v>2643</v>
      </c>
      <c r="AE1" s="3443"/>
      <c r="AF1" s="3443"/>
      <c r="AG1" s="3443"/>
      <c r="AH1" s="3443"/>
    </row>
    <row r="2" spans="1:34" s="2718" customFormat="1" ht="15" thickBot="1">
      <c r="B2" s="2726" t="s">
        <v>2580</v>
      </c>
      <c r="C2" s="2726" t="s">
        <v>2641</v>
      </c>
      <c r="D2" s="2719" t="s">
        <v>1644</v>
      </c>
      <c r="E2" s="2719" t="s">
        <v>1949</v>
      </c>
      <c r="F2" s="2726" t="s">
        <v>2642</v>
      </c>
      <c r="G2" s="2722"/>
      <c r="H2" s="2721"/>
      <c r="I2" s="2726" t="s">
        <v>2952</v>
      </c>
      <c r="J2" s="2719" t="s">
        <v>2954</v>
      </c>
      <c r="K2" s="2719" t="s">
        <v>2955</v>
      </c>
      <c r="L2" s="2726" t="s">
        <v>2956</v>
      </c>
      <c r="N2" s="2726" t="s">
        <v>2580</v>
      </c>
      <c r="O2" s="2719" t="s">
        <v>2953</v>
      </c>
      <c r="P2" s="2719" t="s">
        <v>1949</v>
      </c>
      <c r="Q2" s="2726" t="s">
        <v>2642</v>
      </c>
      <c r="R2" s="2720"/>
      <c r="S2" s="2726" t="s">
        <v>2580</v>
      </c>
      <c r="T2" s="2719" t="s">
        <v>2953</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7" customFormat="1" ht="14.4">
      <c r="A3" s="3089" t="s">
        <v>2965</v>
      </c>
      <c r="B3" s="3078"/>
      <c r="C3" s="3078"/>
      <c r="D3" s="3079"/>
      <c r="E3" s="3079"/>
      <c r="F3" s="3078"/>
      <c r="G3" s="3080"/>
      <c r="H3" s="3081"/>
      <c r="I3" s="3088">
        <f>ROUND(AVERAGE($I4:$I27),2)</f>
        <v>2.04</v>
      </c>
      <c r="J3" s="3088">
        <f>ROUND(AVERAGE($J4:$J27),2)</f>
        <v>1.44</v>
      </c>
      <c r="K3" s="3088">
        <f>ROUND(AVERAGE($K4:$K27),2)</f>
        <v>2.23</v>
      </c>
      <c r="L3" s="3088">
        <f>ROUND(AVERAGE($L4:$L27),2)</f>
        <v>1.4</v>
      </c>
      <c r="N3" s="3080"/>
      <c r="O3" s="3082"/>
      <c r="P3" s="3082"/>
      <c r="Q3" s="3082"/>
      <c r="R3" s="3082"/>
      <c r="S3" s="3080"/>
      <c r="T3" s="3082"/>
      <c r="U3" s="3082"/>
      <c r="V3" s="3082"/>
      <c r="W3" s="3085"/>
      <c r="X3" s="3083">
        <f>ROUND(SUMPRODUCT(PRODUCT(1+N3:N$26)),4)</f>
        <v>1.5422</v>
      </c>
      <c r="Y3" s="3083">
        <f>ROUND(SUMPRODUCT(PRODUCT(1+O3:O$26)),4)</f>
        <v>1.3557999999999999</v>
      </c>
      <c r="Z3" s="3083">
        <f t="shared" ref="Z3:Z24" si="0">Y3</f>
        <v>1.3557999999999999</v>
      </c>
      <c r="AA3" s="3083">
        <f>ROUND(SUMPRODUCT(PRODUCT(1+P3:P$26)),4)</f>
        <v>1.6036999999999999</v>
      </c>
      <c r="AB3" s="3083">
        <f>ROUND(SUMPRODUCT(PRODUCT(1+Q3:Q$26)),4)</f>
        <v>1.3573</v>
      </c>
      <c r="AD3" s="3084">
        <f>ROUND(AVERAGE(I3:I$27)/100,4)</f>
        <v>2.0400000000000001E-2</v>
      </c>
      <c r="AE3" s="3084">
        <f>ROUND(AVERAGE(J3:J$27)/100,4)</f>
        <v>1.44E-2</v>
      </c>
      <c r="AF3" s="3084">
        <f t="shared" ref="AF3:AF25" si="1">AE3</f>
        <v>1.44E-2</v>
      </c>
      <c r="AG3" s="3084">
        <f>ROUND(AVERAGE(K3:K$27)/100,4)</f>
        <v>2.23E-2</v>
      </c>
      <c r="AH3" s="3084">
        <f>ROUND(AVERAGE(L3:L$27)/100,4)</f>
        <v>1.4E-2</v>
      </c>
    </row>
    <row r="4" spans="1:34" s="2711" customFormat="1" ht="14.4">
      <c r="B4" s="2712"/>
      <c r="C4" s="2712"/>
      <c r="D4" s="2713"/>
      <c r="E4" s="2713"/>
      <c r="F4" s="2712"/>
      <c r="G4" s="2717"/>
      <c r="H4" s="2714"/>
      <c r="I4" s="3073"/>
      <c r="J4" s="3073"/>
      <c r="K4" s="3073"/>
      <c r="L4" s="3073"/>
      <c r="N4" s="2717"/>
      <c r="O4" s="2715"/>
      <c r="P4" s="2715"/>
      <c r="Q4" s="2715"/>
      <c r="R4" s="2715"/>
      <c r="S4" s="2717"/>
      <c r="T4" s="2715"/>
      <c r="U4" s="2715"/>
      <c r="V4" s="2715"/>
      <c r="W4" s="3086"/>
      <c r="X4" s="2716"/>
      <c r="Y4" s="2716"/>
      <c r="Z4" s="2716"/>
      <c r="AA4" s="2716"/>
      <c r="AB4" s="2716"/>
      <c r="AD4" s="2636"/>
      <c r="AE4" s="2636"/>
      <c r="AF4" s="2636"/>
      <c r="AG4" s="2636"/>
      <c r="AH4" s="2636"/>
    </row>
    <row r="5" spans="1:34" s="3061" customFormat="1" ht="13.8" thickBot="1">
      <c r="A5" s="3059"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0">
        <v>3</v>
      </c>
      <c r="I5" s="3074">
        <v>0</v>
      </c>
      <c r="J5" s="3074">
        <v>0</v>
      </c>
      <c r="K5" s="3074">
        <v>0</v>
      </c>
      <c r="L5" s="3074">
        <v>0</v>
      </c>
      <c r="N5" s="2724">
        <f t="shared" ref="N5" si="7">I5/100</f>
        <v>0</v>
      </c>
      <c r="O5" s="2724">
        <f t="shared" ref="O5" si="8">J5/100</f>
        <v>0</v>
      </c>
      <c r="P5" s="2724">
        <f t="shared" ref="P5" si="9">K5/100</f>
        <v>0</v>
      </c>
      <c r="Q5" s="2724">
        <f t="shared" ref="Q5" si="10">L5/100</f>
        <v>0</v>
      </c>
      <c r="R5" s="3062"/>
      <c r="S5" s="3063"/>
      <c r="T5" s="3062"/>
      <c r="U5" s="3062"/>
      <c r="V5" s="3062"/>
      <c r="W5" s="3087" t="s">
        <v>2966</v>
      </c>
      <c r="X5" s="3064">
        <f>ROUND(IF(项目基本情况!B8="出让",SUMPRODUCT(PRODUCT(1+N5:N$27)),SUMPRODUCT(PRODUCT(1+N5:N$26))),4)</f>
        <v>1.5422</v>
      </c>
      <c r="Y5" s="3064">
        <f>ROUND(IF(项目基本情况!B8="出让",SUMPRODUCT(PRODUCT(1+O5:O$27)),SUMPRODUCT(PRODUCT(1+O5:O$26))),4)</f>
        <v>1.3557999999999999</v>
      </c>
      <c r="Z5" s="3064">
        <f t="shared" ref="Z5" si="11">Y5</f>
        <v>1.3557999999999999</v>
      </c>
      <c r="AA5" s="3064">
        <f>ROUND(IF(项目基本情况!B8="出让",SUMPRODUCT(PRODUCT(1+P5:P$27)),SUMPRODUCT(PRODUCT(1+P5:P$26))),4)</f>
        <v>1.6036999999999999</v>
      </c>
      <c r="AB5" s="3064">
        <f>ROUND(IF(项目基本情况!B8="出让",SUMPRODUCT(PRODUCT(1+Q5:Q$27)),SUMPRODUCT(PRODUCT(1+Q5:Q$26))),4)</f>
        <v>1.3573</v>
      </c>
      <c r="AD5" s="3065">
        <f>ROUND(AVERAGE(I5:I$27)/100,4)</f>
        <v>2.0400000000000001E-2</v>
      </c>
      <c r="AE5" s="3065">
        <f>ROUND(AVERAGE(J5:J$27)/100,4)</f>
        <v>1.44E-2</v>
      </c>
      <c r="AF5" s="3065">
        <f t="shared" ref="AF5" si="12">AE5</f>
        <v>1.44E-2</v>
      </c>
      <c r="AG5" s="3065">
        <f>ROUND(AVERAGE(K5:K$27)/100,4)</f>
        <v>2.23E-2</v>
      </c>
      <c r="AH5" s="3065">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2">
        <v>1.53</v>
      </c>
      <c r="J6" s="3182">
        <v>1.01</v>
      </c>
      <c r="K6" s="3182">
        <v>1.62</v>
      </c>
      <c r="L6" s="3183">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438">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38"/>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38"/>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39"/>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1">
        <v>439</v>
      </c>
      <c r="C12" s="3091">
        <v>327</v>
      </c>
      <c r="D12" s="3091">
        <f t="shared" si="65"/>
        <v>327</v>
      </c>
      <c r="E12" s="3091">
        <v>627</v>
      </c>
      <c r="F12" s="3092">
        <v>283</v>
      </c>
      <c r="G12" s="3437">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38"/>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38"/>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39"/>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37">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38"/>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38"/>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41"/>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967</v>
      </c>
      <c r="B20" s="2623">
        <v>333</v>
      </c>
      <c r="C20" s="2623">
        <v>277</v>
      </c>
      <c r="D20" s="2623">
        <f t="shared" si="87"/>
        <v>277</v>
      </c>
      <c r="E20" s="2623">
        <v>459</v>
      </c>
      <c r="F20" s="2624">
        <v>249</v>
      </c>
      <c r="G20" s="3440">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38"/>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38"/>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41"/>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963</v>
      </c>
      <c r="B24" s="2645">
        <v>318</v>
      </c>
      <c r="C24" s="2645">
        <v>268</v>
      </c>
      <c r="D24" s="2645">
        <f t="shared" si="87"/>
        <v>268</v>
      </c>
      <c r="E24" s="2645">
        <v>437</v>
      </c>
      <c r="F24" s="2646">
        <v>237</v>
      </c>
      <c r="G24" s="3440">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38"/>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38"/>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41"/>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8" t="s">
        <v>2583</v>
      </c>
      <c r="B28" s="2623">
        <v>299</v>
      </c>
      <c r="C28" s="2623">
        <v>252</v>
      </c>
      <c r="D28" s="2623">
        <f t="shared" si="87"/>
        <v>252</v>
      </c>
      <c r="E28" s="2623">
        <v>409</v>
      </c>
      <c r="F28" s="2624">
        <v>227</v>
      </c>
      <c r="G28" s="3445">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46"/>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46"/>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47"/>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2587</v>
      </c>
      <c r="B32" s="2661">
        <v>278</v>
      </c>
      <c r="C32" s="2661">
        <v>234</v>
      </c>
      <c r="D32" s="2661">
        <f t="shared" si="87"/>
        <v>234</v>
      </c>
      <c r="E32" s="2661">
        <v>379</v>
      </c>
      <c r="F32" s="2662">
        <v>220</v>
      </c>
      <c r="G32" s="3440">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38"/>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38"/>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2590</v>
      </c>
      <c r="B35" s="2631">
        <f>B34/(1+N34)</f>
        <v>275.19025476197027</v>
      </c>
      <c r="C35" s="2663">
        <v>232</v>
      </c>
      <c r="D35" s="2663">
        <f t="shared" si="87"/>
        <v>232</v>
      </c>
      <c r="E35" s="2631">
        <f t="shared" si="98"/>
        <v>375.65990977608692</v>
      </c>
      <c r="F35" s="2631">
        <f t="shared" si="98"/>
        <v>214.12518283971252</v>
      </c>
      <c r="G35" s="3441"/>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2591</v>
      </c>
      <c r="B36" s="2623">
        <v>275</v>
      </c>
      <c r="C36" s="2623">
        <v>232</v>
      </c>
      <c r="D36" s="2623">
        <f t="shared" si="87"/>
        <v>232</v>
      </c>
      <c r="E36" s="2623">
        <v>376</v>
      </c>
      <c r="F36" s="2624">
        <v>213</v>
      </c>
      <c r="G36" s="3440">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38">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38">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41">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2595</v>
      </c>
      <c r="B40" s="2623">
        <v>269</v>
      </c>
      <c r="C40" s="2623">
        <v>221</v>
      </c>
      <c r="D40" s="2623">
        <f t="shared" si="87"/>
        <v>221</v>
      </c>
      <c r="E40" s="2623">
        <v>373</v>
      </c>
      <c r="F40" s="2624">
        <v>196</v>
      </c>
      <c r="G40" s="3440">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38">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38">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41">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2599</v>
      </c>
      <c r="B44" s="2623">
        <v>220</v>
      </c>
      <c r="C44" s="2623">
        <v>187</v>
      </c>
      <c r="D44" s="2623">
        <f t="shared" si="87"/>
        <v>187</v>
      </c>
      <c r="E44" s="2623">
        <v>301</v>
      </c>
      <c r="F44" s="2624">
        <v>168</v>
      </c>
      <c r="G44" s="3440">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38">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38">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41">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2603</v>
      </c>
      <c r="B48" s="2661">
        <v>214</v>
      </c>
      <c r="C48" s="2661">
        <v>188</v>
      </c>
      <c r="D48" s="2661">
        <f t="shared" si="87"/>
        <v>188</v>
      </c>
      <c r="E48" s="2661">
        <v>289</v>
      </c>
      <c r="F48" s="2662">
        <v>166</v>
      </c>
      <c r="G48" s="3440">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38">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38">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41">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2607</v>
      </c>
      <c r="B52" s="2623">
        <v>188</v>
      </c>
      <c r="C52" s="2623">
        <v>165</v>
      </c>
      <c r="D52" s="2623">
        <f t="shared" si="87"/>
        <v>165</v>
      </c>
      <c r="E52" s="2623">
        <v>254</v>
      </c>
      <c r="F52" s="2624">
        <v>148</v>
      </c>
      <c r="G52" s="3440">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38">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38">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41">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2611</v>
      </c>
      <c r="B56" s="2645">
        <v>159</v>
      </c>
      <c r="C56" s="2645">
        <v>141</v>
      </c>
      <c r="D56" s="2645">
        <f t="shared" si="87"/>
        <v>141</v>
      </c>
      <c r="E56" s="2645">
        <v>195</v>
      </c>
      <c r="F56" s="2646">
        <v>122</v>
      </c>
      <c r="G56" s="3440">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38">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38">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41">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2615</v>
      </c>
      <c r="B60" s="2645">
        <v>138</v>
      </c>
      <c r="C60" s="2645">
        <v>131</v>
      </c>
      <c r="D60" s="2645">
        <f t="shared" si="87"/>
        <v>131</v>
      </c>
      <c r="E60" s="2645">
        <v>155</v>
      </c>
      <c r="F60" s="2646">
        <v>114</v>
      </c>
      <c r="G60" s="3440">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38">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38">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41">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2619</v>
      </c>
      <c r="B64" s="2661">
        <v>121</v>
      </c>
      <c r="C64" s="2661">
        <v>122</v>
      </c>
      <c r="D64" s="2661">
        <f t="shared" si="87"/>
        <v>122</v>
      </c>
      <c r="E64" s="2661">
        <v>124</v>
      </c>
      <c r="F64" s="2662">
        <v>107</v>
      </c>
      <c r="G64" s="3440">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38">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38">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41">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2623</v>
      </c>
      <c r="B68" s="2682">
        <v>111</v>
      </c>
      <c r="C68" s="2682">
        <v>114</v>
      </c>
      <c r="D68" s="2682">
        <f t="shared" si="87"/>
        <v>114</v>
      </c>
      <c r="E68" s="2682">
        <v>108</v>
      </c>
      <c r="F68" s="2683">
        <v>104</v>
      </c>
      <c r="G68" s="3440">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38">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38">
        <v>2003</v>
      </c>
      <c r="H70" s="2622">
        <v>2</v>
      </c>
      <c r="I70" s="2684"/>
      <c r="J70" s="2684"/>
      <c r="K70" s="2684"/>
      <c r="L70" s="2684"/>
      <c r="X70" s="2676"/>
      <c r="Y70" s="2676"/>
      <c r="Z70" s="2676"/>
    </row>
    <row r="71" spans="1:26" ht="13.8" thickBot="1">
      <c r="A71" s="2618" t="s">
        <v>2626</v>
      </c>
      <c r="B71" s="2686">
        <f t="shared" si="123"/>
        <v>107.25</v>
      </c>
      <c r="C71" s="2686">
        <f t="shared" si="123"/>
        <v>108.75</v>
      </c>
      <c r="D71" s="2686">
        <f t="shared" si="87"/>
        <v>108.75</v>
      </c>
      <c r="E71" s="2686">
        <f t="shared" si="124"/>
        <v>105.75</v>
      </c>
      <c r="F71" s="2686">
        <f t="shared" si="124"/>
        <v>102.5</v>
      </c>
      <c r="G71" s="3441">
        <v>2003</v>
      </c>
      <c r="H71" s="2687">
        <v>1</v>
      </c>
      <c r="I71" s="2684"/>
      <c r="J71" s="2684"/>
      <c r="K71" s="2684"/>
      <c r="L71" s="2684"/>
      <c r="S71" s="2626"/>
      <c r="T71" s="2627"/>
      <c r="U71" s="2627"/>
      <c r="X71" s="2676"/>
      <c r="Y71" s="2676"/>
      <c r="Z71" s="2676"/>
    </row>
    <row r="72" spans="1:26" ht="13.8" thickBot="1">
      <c r="A72" s="2618" t="s">
        <v>2627</v>
      </c>
      <c r="B72" s="2688">
        <v>106</v>
      </c>
      <c r="C72" s="2688">
        <v>107</v>
      </c>
      <c r="D72" s="2688">
        <f t="shared" si="87"/>
        <v>107</v>
      </c>
      <c r="E72" s="2688">
        <v>105</v>
      </c>
      <c r="F72" s="2689">
        <v>102</v>
      </c>
      <c r="G72" s="3440">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38">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38">
        <v>2002</v>
      </c>
      <c r="H74" s="2622">
        <v>2</v>
      </c>
      <c r="I74" s="2684"/>
      <c r="J74" s="2684"/>
      <c r="K74" s="2684"/>
      <c r="L74" s="2684"/>
      <c r="X74" s="2676"/>
      <c r="Y74" s="2676"/>
      <c r="Z74" s="2676"/>
    </row>
    <row r="75" spans="1:26" s="2653" customFormat="1" ht="13.8" thickBot="1">
      <c r="A75" s="2649" t="s">
        <v>2630</v>
      </c>
      <c r="B75" s="2690">
        <f t="shared" si="125"/>
        <v>103</v>
      </c>
      <c r="C75" s="2690">
        <f t="shared" si="125"/>
        <v>104</v>
      </c>
      <c r="D75" s="2690">
        <f t="shared" si="87"/>
        <v>104</v>
      </c>
      <c r="E75" s="2690">
        <f t="shared" si="126"/>
        <v>103.5</v>
      </c>
      <c r="F75" s="2690">
        <f t="shared" si="126"/>
        <v>100.5</v>
      </c>
      <c r="G75" s="3441">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8"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2945</v>
      </c>
      <c r="B1" s="3051"/>
      <c r="C1" s="3051"/>
      <c r="D1" s="3051"/>
      <c r="E1" s="3051"/>
      <c r="F1" s="3051"/>
    </row>
    <row r="2" spans="1:6" ht="15.6">
      <c r="A2" s="3052" t="s">
        <v>2940</v>
      </c>
      <c r="B2" s="3053" t="e">
        <f ca="1">SUMIF(B7:B14,"&lt;&gt;#ref!",B7:B14)</f>
        <v>#DIV/0!</v>
      </c>
      <c r="C2" s="3052" t="s">
        <v>2941</v>
      </c>
      <c r="D2" s="3051"/>
      <c r="E2" s="3051"/>
      <c r="F2" s="3051"/>
    </row>
    <row r="3" spans="1:6" ht="15.6">
      <c r="A3" s="3052" t="s">
        <v>2973</v>
      </c>
      <c r="B3" s="3053" t="e">
        <f ca="1">ROUND(B2*10000/E3,0)</f>
        <v>#DIV/0!</v>
      </c>
      <c r="C3" s="3052" t="s">
        <v>2078</v>
      </c>
      <c r="D3" s="3052" t="s">
        <v>2942</v>
      </c>
      <c r="E3" s="3053">
        <f ca="1">SUMIF(E7:E14,"&lt;&gt;#ref!",E7:E14)</f>
        <v>0</v>
      </c>
      <c r="F3" s="3051"/>
    </row>
    <row r="4" spans="1:6" ht="15.6">
      <c r="A4" s="3052" t="s">
        <v>2949</v>
      </c>
      <c r="B4" s="3053" t="e">
        <f ca="1">ROUND(B2*10000/E4,0)</f>
        <v>#DIV/0!</v>
      </c>
      <c r="C4" s="3052" t="s">
        <v>2078</v>
      </c>
      <c r="D4" s="3052" t="s">
        <v>2950</v>
      </c>
      <c r="E4" s="3053">
        <f ca="1">SUMIF(F7:F14,"&lt;&gt;#ref!",F7:F14)</f>
        <v>0</v>
      </c>
      <c r="F4" s="3051"/>
    </row>
    <row r="5" spans="1:6" ht="15.6">
      <c r="A5" s="3054"/>
      <c r="B5" s="1865"/>
      <c r="C5" s="1865"/>
      <c r="D5" s="1865"/>
      <c r="E5" s="1865"/>
      <c r="F5" s="3051"/>
    </row>
    <row r="6" spans="1:6" ht="31.2">
      <c r="A6" s="3055" t="s">
        <v>2946</v>
      </c>
      <c r="B6" s="3052" t="s">
        <v>2943</v>
      </c>
      <c r="C6" s="3053"/>
      <c r="D6" s="1865"/>
      <c r="E6" s="3052" t="s">
        <v>2944</v>
      </c>
      <c r="F6" s="3052" t="s">
        <v>2948</v>
      </c>
    </row>
    <row r="7" spans="1:6" ht="15.6">
      <c r="A7" s="260" t="s">
        <v>2947</v>
      </c>
      <c r="B7" s="3056" t="e">
        <f ca="1">SUMIF(INDIRECT("'"&amp;A7&amp;"'"&amp;"!A:A"),"总价",INDIRECT("'"&amp;A7&amp;"'"&amp;"!B:B"))</f>
        <v>#DIV/0!</v>
      </c>
      <c r="C7" s="3052" t="s">
        <v>2941</v>
      </c>
      <c r="D7" s="1865"/>
      <c r="E7" s="3057">
        <f ca="1">SUMIF(INDIRECT("'"&amp;A7&amp;"'"&amp;"!C:C"),"建筑面积",INDIRECT("'"&amp;A7&amp;"'"&amp;"!D:D"))</f>
        <v>0</v>
      </c>
      <c r="F7" s="3057">
        <f ca="1">SUMIF(INDIRECT("'"&amp;A7&amp;"'"&amp;"!E:E"),"土地面积",INDIRECT("'"&amp;A7&amp;"'"&amp;"!F:F"))</f>
        <v>0</v>
      </c>
    </row>
    <row r="8" spans="1:6" ht="15.6">
      <c r="A8" s="260"/>
      <c r="B8" s="3056" t="e">
        <f t="shared" ref="B8:B14" ca="1" si="0">SUMIF(INDIRECT("'"&amp;A8&amp;"'"&amp;"!A:A"),"总价",INDIRECT("'"&amp;A8&amp;"'"&amp;"!B:B"))</f>
        <v>#REF!</v>
      </c>
      <c r="C8" s="3052" t="s">
        <v>2941</v>
      </c>
      <c r="D8" s="1865"/>
      <c r="E8" s="3057" t="e">
        <f t="shared" ref="E8:E14" ca="1" si="1">SUMIF(INDIRECT("'"&amp;A8&amp;"'"&amp;"!C:C"),"建筑面积",INDIRECT("'"&amp;A8&amp;"'"&amp;"!D:D"))</f>
        <v>#REF!</v>
      </c>
      <c r="F8" s="3057" t="e">
        <f t="shared" ref="F8:F14" ca="1" si="2">SUMIF(INDIRECT("'"&amp;A8&amp;"'"&amp;"!E:E"),"土地面积",INDIRECT("'"&amp;A8&amp;"'"&amp;"!F:F"))</f>
        <v>#REF!</v>
      </c>
    </row>
    <row r="9" spans="1:6" ht="15.6">
      <c r="A9" s="260"/>
      <c r="B9" s="3056" t="e">
        <f t="shared" ca="1" si="0"/>
        <v>#REF!</v>
      </c>
      <c r="C9" s="3052" t="s">
        <v>2941</v>
      </c>
      <c r="D9" s="1865"/>
      <c r="E9" s="3057" t="e">
        <f t="shared" ca="1" si="1"/>
        <v>#REF!</v>
      </c>
      <c r="F9" s="3057" t="e">
        <f t="shared" ca="1" si="2"/>
        <v>#REF!</v>
      </c>
    </row>
    <row r="10" spans="1:6" ht="15.6">
      <c r="A10" s="260"/>
      <c r="B10" s="3056" t="e">
        <f t="shared" ca="1" si="0"/>
        <v>#REF!</v>
      </c>
      <c r="C10" s="3052" t="s">
        <v>2941</v>
      </c>
      <c r="D10" s="1865"/>
      <c r="E10" s="3057" t="e">
        <f t="shared" ca="1" si="1"/>
        <v>#REF!</v>
      </c>
      <c r="F10" s="3057" t="e">
        <f t="shared" ca="1" si="2"/>
        <v>#REF!</v>
      </c>
    </row>
    <row r="11" spans="1:6" ht="15.6">
      <c r="A11" s="260"/>
      <c r="B11" s="3056" t="e">
        <f t="shared" ca="1" si="0"/>
        <v>#REF!</v>
      </c>
      <c r="C11" s="3052" t="s">
        <v>2941</v>
      </c>
      <c r="D11" s="1865"/>
      <c r="E11" s="3057" t="e">
        <f t="shared" ca="1" si="1"/>
        <v>#REF!</v>
      </c>
      <c r="F11" s="3057" t="e">
        <f t="shared" ca="1" si="2"/>
        <v>#REF!</v>
      </c>
    </row>
    <row r="12" spans="1:6" ht="15.6">
      <c r="A12" s="260"/>
      <c r="B12" s="3056" t="e">
        <f t="shared" ca="1" si="0"/>
        <v>#REF!</v>
      </c>
      <c r="C12" s="3052" t="s">
        <v>2941</v>
      </c>
      <c r="D12" s="1865"/>
      <c r="E12" s="3057" t="e">
        <f t="shared" ca="1" si="1"/>
        <v>#REF!</v>
      </c>
      <c r="F12" s="3057" t="e">
        <f t="shared" ca="1" si="2"/>
        <v>#REF!</v>
      </c>
    </row>
    <row r="13" spans="1:6" ht="15.6">
      <c r="A13" s="260"/>
      <c r="B13" s="3056" t="e">
        <f t="shared" ca="1" si="0"/>
        <v>#REF!</v>
      </c>
      <c r="C13" s="3052" t="s">
        <v>2941</v>
      </c>
      <c r="D13" s="1865"/>
      <c r="E13" s="3057" t="e">
        <f t="shared" ca="1" si="1"/>
        <v>#REF!</v>
      </c>
      <c r="F13" s="3057" t="e">
        <f t="shared" ca="1" si="2"/>
        <v>#REF!</v>
      </c>
    </row>
    <row r="14" spans="1:6" ht="15.6">
      <c r="A14" s="3050"/>
      <c r="B14" s="3056" t="e">
        <f t="shared" ca="1" si="0"/>
        <v>#REF!</v>
      </c>
      <c r="C14" s="3052" t="s">
        <v>2941</v>
      </c>
      <c r="D14" s="1865"/>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受贵公司委托，我公司对陕西省西安市电子城街道办事处北沈家桥出让国有建设用地使用权抵押价格进行了预评估。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陕西省西安市电子城街道办事处北沈家桥出让国有建设用地使用权。根据《国有土地使用证》[]，估价对象（分摊）出让国有建设用地使用权面积为44066.5平方米。根据《建设工程规划许可证》[]、《出让合同》[]，估价对象规划建筑面积为205689平方米。</v>
      </c>
    </row>
    <row r="7" spans="1:4" ht="52.2">
      <c r="A7" s="1779" t="s">
        <v>2747</v>
      </c>
    </row>
    <row r="8" spans="1:4" ht="17.399999999999999">
      <c r="A8" s="1778" t="s">
        <v>1906</v>
      </c>
    </row>
    <row r="9" spans="1:4" ht="69.599999999999994">
      <c r="A9" s="1780" t="str">
        <f>IF(项目基本情况!B8="抵押",IF(项目基本情况!B5=项目基本情况!B6,定义!C51,定义!B51),定义!D51)</f>
        <v>0拟使用陕西省西安市电子城街道办事处北沈家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2019年11月7日（评估专业人员勘察现场之日）</v>
      </c>
    </row>
    <row r="12" spans="1:4" ht="17.399999999999999">
      <c r="A12" s="1781" t="s">
        <v>2025</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根据《国有土地使用证》[]，估价对象（分摊）出让国有建设用地使用权面积为44066.5平方米。根据《建设工程规划许可证》[]、《出让合同》[]，估价对象规划建筑面积为205689平方米。</v>
      </c>
    </row>
    <row r="21" spans="1:1" ht="17.399999999999999">
      <c r="A21" s="1775" t="s">
        <v>2074</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本次估价对象为出让国有建设用地使用权，《国有土地使用证》[]证载土地终止日期为住宅2085年8月23日、商业2055年8月23日。截至估价期日，出让国有建设用地使用权剩余土地使用年限为。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11月7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2374</v>
      </c>
      <c r="F1" s="2351">
        <f ca="1">J54</f>
        <v>-3</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7">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49" t="s">
        <v>2463</v>
      </c>
      <c r="C8" s="1809">
        <f ca="1">ROUND(F8*F10*F9*(1-F11)/10000,0)</f>
        <v>0</v>
      </c>
      <c r="D8" s="1806" t="s">
        <v>2534</v>
      </c>
      <c r="E8" s="61" t="s">
        <v>637</v>
      </c>
      <c r="F8" s="785">
        <f ca="1">INDIRECT("'数据-取费表'!u"&amp;$G$1)</f>
        <v>0</v>
      </c>
      <c r="G8" s="1577"/>
      <c r="H8" s="2467" t="s">
        <v>1824</v>
      </c>
      <c r="I8" s="3449" t="s">
        <v>2463</v>
      </c>
      <c r="J8" s="783">
        <f ca="1">ROUND(M8*M10*M9*(1-M11)/10000,0)</f>
        <v>0</v>
      </c>
      <c r="K8" s="341" t="s">
        <v>2534</v>
      </c>
      <c r="L8" s="784" t="s">
        <v>1738</v>
      </c>
      <c r="M8" s="785">
        <f ca="1">INDIRECT("'数据-取费表'!z"&amp;$G$1)</f>
        <v>0</v>
      </c>
    </row>
    <row r="9" spans="1:25" ht="18" customHeight="1">
      <c r="A9" s="2463"/>
      <c r="B9" s="3450"/>
      <c r="C9" s="1810"/>
      <c r="D9" s="1807"/>
      <c r="E9" s="61" t="s">
        <v>638</v>
      </c>
      <c r="F9" s="785">
        <f ca="1">IF(INDIRECT("'数据-取费表'!ah"&amp;$G$1)="",INDIRECT("'数据-取费表'!k"&amp;$G$1),INDIRECT("'数据-取费表'!ah"&amp;$G$1))</f>
        <v>0</v>
      </c>
      <c r="G9" s="1577"/>
      <c r="H9" s="2452"/>
      <c r="I9" s="3450"/>
      <c r="J9" s="788"/>
      <c r="K9" s="789"/>
      <c r="L9" s="784" t="s">
        <v>1739</v>
      </c>
      <c r="M9" s="785">
        <f ca="1">F9</f>
        <v>0</v>
      </c>
    </row>
    <row r="10" spans="1:25" ht="18" customHeight="1">
      <c r="A10" s="2456"/>
      <c r="B10" s="3451"/>
      <c r="C10" s="1810"/>
      <c r="D10" s="1807"/>
      <c r="E10" s="61" t="s">
        <v>639</v>
      </c>
      <c r="F10" s="785">
        <f ca="1">INDIRECT("'数据-取费表'!ai"&amp;$G$1)</f>
        <v>0</v>
      </c>
      <c r="G10" s="1577"/>
      <c r="H10" s="2452"/>
      <c r="I10" s="3451"/>
      <c r="J10" s="788"/>
      <c r="K10" s="789"/>
      <c r="L10" s="784" t="s">
        <v>1740</v>
      </c>
      <c r="M10" s="785">
        <f ca="1">INDIRECT("'数据-取费表'!ai"&amp;$G$1)</f>
        <v>0</v>
      </c>
    </row>
    <row r="11" spans="1:25" ht="18" customHeight="1">
      <c r="A11" s="786"/>
      <c r="B11" s="3452"/>
      <c r="C11" s="1810"/>
      <c r="D11" s="1807"/>
      <c r="E11" s="61" t="s">
        <v>640</v>
      </c>
      <c r="F11" s="794">
        <f ca="1">INDIRECT("'数据-取费表'!w"&amp;$G$1)</f>
        <v>0</v>
      </c>
      <c r="G11" s="1577"/>
      <c r="H11" s="2468"/>
      <c r="I11" s="3451"/>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2970</v>
      </c>
      <c r="E12" s="2461" t="s">
        <v>2464</v>
      </c>
      <c r="F12" s="2584"/>
      <c r="G12" s="1577"/>
      <c r="H12" s="2524" t="s">
        <v>1825</v>
      </c>
      <c r="I12" s="2529" t="s">
        <v>2459</v>
      </c>
      <c r="J12" s="783">
        <f ca="1">ROUND(IF(M12="押一",J8/12*M13,IF(M12="押二",J8/12*2*M13,IF(M12="押三",J8/12*3*M13,J13*M13))),0)</f>
        <v>0</v>
      </c>
      <c r="K12" s="2464" t="s">
        <v>2970</v>
      </c>
      <c r="L12" s="2461" t="s">
        <v>2464</v>
      </c>
      <c r="M12" s="2584"/>
    </row>
    <row r="13" spans="1:25" ht="18" customHeight="1">
      <c r="A13" s="790"/>
      <c r="B13" s="2458" t="s">
        <v>2573</v>
      </c>
      <c r="C13" s="2462"/>
      <c r="D13" s="789"/>
      <c r="E13" s="2461" t="s">
        <v>2456</v>
      </c>
      <c r="F13" s="796">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2825</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5.6500000000000002E-2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1.4E-3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2822</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5.3800000000000001E-2</v>
      </c>
      <c r="D30" s="812" t="s">
        <v>709</v>
      </c>
      <c r="E30" s="784" t="s">
        <v>649</v>
      </c>
      <c r="F30" s="809">
        <f>'数据-取费表'!B41</f>
        <v>5.6500000000000002E-2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3" t="s">
        <v>1872</v>
      </c>
      <c r="I31" s="2963" t="s">
        <v>2824</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5.6500000000000002E-2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448"/>
      <c r="J36" s="2063"/>
      <c r="K36" s="2064"/>
      <c r="L36" s="2063"/>
      <c r="M36" s="2063"/>
    </row>
    <row r="37" spans="1:18" ht="18" customHeight="1">
      <c r="A37" s="815"/>
      <c r="B37" s="793"/>
      <c r="C37" s="69"/>
      <c r="D37" s="816"/>
      <c r="E37" s="784" t="s">
        <v>674</v>
      </c>
      <c r="F37" s="785">
        <f ca="1">INDIRECT("'数据-取费表'!r"&amp;$G$1)</f>
        <v>0</v>
      </c>
      <c r="G37" s="2046"/>
      <c r="H37" s="2049"/>
      <c r="I37" s="3448"/>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68" t="s">
        <v>2958</v>
      </c>
      <c r="F43" s="3069">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7">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0"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2" t="str">
        <f ca="1">IF(M48="住宅",0,IF(L49&gt;J52,L61,J61))</f>
        <v>0</v>
      </c>
      <c r="O47" s="2357" t="s">
        <v>2410</v>
      </c>
      <c r="P47" s="1577"/>
      <c r="Q47" s="1588"/>
      <c r="R47" s="1577"/>
    </row>
    <row r="48" spans="1:18" s="2043" customFormat="1" ht="18" customHeight="1" thickBot="1">
      <c r="A48" s="2068"/>
      <c r="C48" s="2071"/>
      <c r="D48" s="2072"/>
      <c r="E48" s="2072"/>
      <c r="F48" s="2073"/>
      <c r="G48" s="2074"/>
      <c r="I48" s="3093" t="s">
        <v>2344</v>
      </c>
      <c r="J48" s="2344"/>
      <c r="K48" s="3099" t="s">
        <v>2349</v>
      </c>
      <c r="L48" s="3103">
        <f ca="1">INDIRECT("'数据-取费表'!d"&amp;$G$1)</f>
        <v>0</v>
      </c>
      <c r="M48" s="3067"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2" t="s">
        <v>2345</v>
      </c>
      <c r="J49" s="2345"/>
      <c r="K49" s="3100"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2" t="s">
        <v>2346</v>
      </c>
      <c r="J50" s="2346"/>
      <c r="K50" s="3101"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2" t="s">
        <v>2347</v>
      </c>
      <c r="J51" s="3097">
        <f>SUMPRODUCT((I64:I66=J48)*(J63:L63=J49)*(J64:L66))</f>
        <v>0</v>
      </c>
      <c r="K51" s="3101" t="s">
        <v>2353</v>
      </c>
      <c r="L51" s="2347"/>
      <c r="O51" s="2364" t="s">
        <v>2383</v>
      </c>
      <c r="P51" s="2362" t="s">
        <v>2407</v>
      </c>
      <c r="Q51" s="2363">
        <f ca="1">C31</f>
        <v>0</v>
      </c>
      <c r="R51" s="2362" t="s">
        <v>2380</v>
      </c>
    </row>
    <row r="52" spans="1:18" s="2043" customFormat="1" ht="18" customHeight="1" thickBot="1">
      <c r="A52" s="2080"/>
      <c r="F52" s="2069"/>
      <c r="I52" s="3094" t="s">
        <v>2348</v>
      </c>
      <c r="J52" s="3098">
        <f>IF(J50="",J51,J50+J51-YEAR('数据-取费表'!B3))</f>
        <v>0</v>
      </c>
      <c r="K52" s="3072" t="s">
        <v>2354</v>
      </c>
      <c r="L52" s="3104">
        <f ca="1">ROUND(-PV(INDIRECT("'数据-取费表'!h"&amp;$G$1),L49,(C40-C14*J36),0),0)</f>
        <v>0</v>
      </c>
      <c r="O52" s="2364" t="s">
        <v>2384</v>
      </c>
      <c r="P52" s="2362" t="s">
        <v>2385</v>
      </c>
      <c r="Q52" s="2365" t="e">
        <f ca="1">J59</f>
        <v>#VALUE!</v>
      </c>
      <c r="R52" s="2366"/>
    </row>
    <row r="53" spans="1:18" s="2043" customFormat="1" ht="18" customHeight="1" thickBot="1">
      <c r="A53" s="2080"/>
      <c r="F53" s="2069"/>
      <c r="I53" s="3095" t="s">
        <v>2421</v>
      </c>
      <c r="J53" s="2348"/>
      <c r="K53" s="3095" t="s">
        <v>2420</v>
      </c>
      <c r="L53" s="2348"/>
      <c r="O53" s="2364" t="s">
        <v>2386</v>
      </c>
      <c r="P53" s="2362" t="s">
        <v>2387</v>
      </c>
      <c r="Q53" s="2365">
        <f>J53</f>
        <v>0</v>
      </c>
      <c r="R53" s="2366"/>
    </row>
    <row r="54" spans="1:18" s="2043" customFormat="1" ht="31.8" thickBot="1">
      <c r="A54" s="2080"/>
      <c r="I54" s="3096" t="s">
        <v>2974</v>
      </c>
      <c r="J54" s="3175">
        <f ca="1">IF(M48="住宅",MAX(J52,L49-'数据-取费表'!B20),MIN(J52,L49-'数据-取费表'!B20))</f>
        <v>-3</v>
      </c>
      <c r="K54" s="3453"/>
      <c r="L54" s="3454"/>
      <c r="O54" s="2364" t="s">
        <v>2388</v>
      </c>
      <c r="P54" s="2362" t="s">
        <v>2389</v>
      </c>
      <c r="Q54" s="2363">
        <f ca="1">J54</f>
        <v>-3</v>
      </c>
      <c r="R54" s="2362" t="s">
        <v>2390</v>
      </c>
    </row>
    <row r="55" spans="1:18" s="2043" customFormat="1" ht="18" customHeight="1" thickBot="1">
      <c r="A55" s="2080"/>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1" t="s">
        <v>2391</v>
      </c>
      <c r="P55" s="2362" t="s">
        <v>2408</v>
      </c>
      <c r="Q55" s="2363">
        <f ca="1">Q49+Q50</f>
        <v>0</v>
      </c>
      <c r="R55" s="2366" t="s">
        <v>2392</v>
      </c>
    </row>
    <row r="56" spans="1:18" s="2043" customFormat="1" ht="16.2" thickBot="1">
      <c r="A56" s="2080"/>
      <c r="B56" s="2081"/>
      <c r="C56" s="2081"/>
      <c r="I56" s="3107" t="s">
        <v>2355</v>
      </c>
      <c r="J56" s="3047" t="e">
        <f ca="1">ROUND(IF(J48="钢混",J58/J51,1-(1-2%)*(J51-J58)/J51),3)</f>
        <v>#VALUE!</v>
      </c>
      <c r="K56" s="3108" t="s">
        <v>2356</v>
      </c>
      <c r="L56" s="2349"/>
      <c r="O56" s="2367" t="s">
        <v>2411</v>
      </c>
      <c r="P56" s="1577"/>
      <c r="Q56" s="1588"/>
      <c r="R56" s="1577"/>
    </row>
    <row r="57" spans="1:18" s="2043" customFormat="1" ht="47.4" thickBot="1">
      <c r="A57" s="2080"/>
      <c r="B57" s="2081"/>
      <c r="C57" s="2081"/>
      <c r="I57" s="3109" t="s">
        <v>2357</v>
      </c>
      <c r="J57" s="3119" t="s">
        <v>1678</v>
      </c>
      <c r="K57" s="3072" t="s">
        <v>2362</v>
      </c>
      <c r="L57" s="1892">
        <f ca="1">IF(L49&lt;J52,"——",L49-J52)</f>
        <v>0</v>
      </c>
      <c r="O57" s="2358" t="s">
        <v>2375</v>
      </c>
      <c r="P57" s="2359" t="s">
        <v>2376</v>
      </c>
      <c r="Q57" s="2360" t="s">
        <v>2377</v>
      </c>
      <c r="R57" s="2359" t="s">
        <v>2378</v>
      </c>
    </row>
    <row r="58" spans="1:18" s="2043" customFormat="1" ht="31.8" thickBot="1">
      <c r="A58" s="2080"/>
      <c r="B58" s="2081"/>
      <c r="C58" s="2081"/>
      <c r="I58" s="3110" t="s">
        <v>2358</v>
      </c>
      <c r="J58" s="3111" t="str">
        <f ca="1">IF(OR(M48="住宅",J52&lt;L49,J57="是"),"——",J52-L49)</f>
        <v>——</v>
      </c>
      <c r="K58" s="3072" t="s">
        <v>2363</v>
      </c>
      <c r="L58" s="1892">
        <f ca="1">IF(L49&lt;J52,"——",IF(L56="比较法",L50,IF(L56="基准地价",L51,L52)))</f>
        <v>0</v>
      </c>
      <c r="O58" s="2361" t="s">
        <v>2379</v>
      </c>
      <c r="P58" s="2362" t="s">
        <v>2405</v>
      </c>
      <c r="Q58" s="2363">
        <f ca="1">C41+J31</f>
        <v>0</v>
      </c>
      <c r="R58" s="2362" t="s">
        <v>2380</v>
      </c>
    </row>
    <row r="59" spans="1:18" s="2043" customFormat="1" ht="31.8" thickBot="1">
      <c r="A59" s="2080"/>
      <c r="B59" s="2081"/>
      <c r="C59" s="2081"/>
      <c r="I59" s="3110" t="s">
        <v>2359</v>
      </c>
      <c r="J59" s="3048" t="e">
        <f ca="1">IF(J56&lt;0.4,0.4,J56)</f>
        <v>#VALUE!</v>
      </c>
      <c r="K59" s="3072"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31.8" thickBot="1">
      <c r="A60" s="2080"/>
      <c r="B60" s="2081"/>
      <c r="C60" s="2081"/>
      <c r="I60" s="3110" t="s">
        <v>2360</v>
      </c>
      <c r="J60" s="3111" t="str">
        <f ca="1">IF(OR(M48="住宅",J52&lt;L49,J57="是"),"——",ROUND(C30*J59,0))</f>
        <v>——</v>
      </c>
      <c r="K60" s="3072"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6.2" thickBot="1">
      <c r="A61" s="2080"/>
      <c r="B61" s="2081"/>
      <c r="C61" s="2081"/>
      <c r="I61" s="3112" t="s">
        <v>2361</v>
      </c>
      <c r="J61" s="3113" t="str">
        <f ca="1">IF(OR(M48="住宅",J52&lt;L49,J57="是"),"0",ROUND(J60/(1+J53)^J54,0))</f>
        <v>0</v>
      </c>
      <c r="K61" s="3114" t="s">
        <v>2366</v>
      </c>
      <c r="L61" s="3113" t="e">
        <f ca="1">IF(OR(M48="住宅",L49&lt;J52),0,ROUND(L58*(L59/L60-1),0))</f>
        <v>#DIV/0!</v>
      </c>
      <c r="O61" s="2364" t="s">
        <v>2384</v>
      </c>
      <c r="P61" s="2362" t="s">
        <v>2393</v>
      </c>
      <c r="Q61" s="2365">
        <f>L53</f>
        <v>0</v>
      </c>
      <c r="R61" s="2366"/>
    </row>
    <row r="62" spans="1:18" s="2043" customFormat="1" ht="19.2" thickBot="1">
      <c r="A62" s="2080"/>
      <c r="B62" s="2081"/>
      <c r="C62" s="2081"/>
      <c r="K62" s="2070"/>
      <c r="O62" s="2364" t="s">
        <v>2386</v>
      </c>
      <c r="P62" s="2362" t="s">
        <v>2394</v>
      </c>
      <c r="Q62" s="2363">
        <f ca="1">L59</f>
        <v>0</v>
      </c>
      <c r="R62" s="2366" t="s">
        <v>2395</v>
      </c>
    </row>
    <row r="63" spans="1:18" s="2043" customFormat="1" ht="19.2" thickBot="1">
      <c r="A63" s="2080"/>
      <c r="B63" s="2081"/>
      <c r="C63" s="2081"/>
      <c r="I63" s="3115" t="s">
        <v>2367</v>
      </c>
      <c r="J63" s="3116" t="s">
        <v>2368</v>
      </c>
      <c r="K63" s="3116" t="s">
        <v>2369</v>
      </c>
      <c r="L63" s="3116" t="s">
        <v>2350</v>
      </c>
      <c r="M63" s="3117" t="s">
        <v>2939</v>
      </c>
      <c r="O63" s="2364" t="s">
        <v>2388</v>
      </c>
      <c r="P63" s="2362" t="s">
        <v>2396</v>
      </c>
      <c r="Q63" s="2363">
        <f ca="1">L60</f>
        <v>0</v>
      </c>
      <c r="R63" s="2366" t="s">
        <v>2397</v>
      </c>
    </row>
    <row r="64" spans="1:18" s="2043" customFormat="1" ht="16.2" thickBot="1">
      <c r="A64" s="2080"/>
      <c r="B64" s="2081"/>
      <c r="C64" s="2081"/>
      <c r="I64" s="3115" t="s">
        <v>2370</v>
      </c>
      <c r="J64" s="3116">
        <v>70</v>
      </c>
      <c r="K64" s="3116">
        <v>50</v>
      </c>
      <c r="L64" s="3116">
        <v>80</v>
      </c>
      <c r="M64" s="3118">
        <v>0.02</v>
      </c>
      <c r="O64" s="2361" t="s">
        <v>2391</v>
      </c>
      <c r="P64" s="2362" t="s">
        <v>2408</v>
      </c>
      <c r="Q64" s="2363" t="e">
        <f ca="1">Q58+Q59</f>
        <v>#DIV/0!</v>
      </c>
      <c r="R64" s="2366" t="s">
        <v>2392</v>
      </c>
    </row>
    <row r="65" spans="1:18" s="2043" customFormat="1" ht="16.2" thickBot="1">
      <c r="A65" s="2080"/>
      <c r="B65" s="2081"/>
      <c r="C65" s="2081"/>
      <c r="I65" s="3115" t="s">
        <v>2371</v>
      </c>
      <c r="J65" s="3116">
        <v>50</v>
      </c>
      <c r="K65" s="3116">
        <v>35</v>
      </c>
      <c r="L65" s="3116">
        <v>60</v>
      </c>
      <c r="M65" s="846">
        <v>0</v>
      </c>
      <c r="O65" s="2367" t="s">
        <v>2415</v>
      </c>
      <c r="P65" s="1577"/>
      <c r="Q65" s="1588"/>
      <c r="R65" s="1577"/>
    </row>
    <row r="66" spans="1:18" s="2043" customFormat="1" ht="16.2" thickBot="1">
      <c r="A66" s="2080"/>
      <c r="B66" s="2081"/>
      <c r="C66" s="2081"/>
      <c r="I66" s="3115" t="s">
        <v>2372</v>
      </c>
      <c r="J66" s="3116">
        <v>40</v>
      </c>
      <c r="K66" s="3116">
        <v>30</v>
      </c>
      <c r="L66" s="3116">
        <v>50</v>
      </c>
      <c r="M66" s="3118">
        <v>0.02</v>
      </c>
      <c r="O66" s="2358" t="s">
        <v>2375</v>
      </c>
      <c r="P66" s="2359" t="s">
        <v>2376</v>
      </c>
      <c r="Q66" s="2360" t="s">
        <v>2377</v>
      </c>
      <c r="R66" s="2359" t="s">
        <v>2378</v>
      </c>
    </row>
    <row r="67" spans="1:18" s="2043" customFormat="1" ht="16.2" thickBot="1">
      <c r="A67" s="2080"/>
      <c r="B67" s="2081"/>
      <c r="C67" s="2081"/>
      <c r="K67" s="2070"/>
      <c r="O67" s="2361" t="s">
        <v>2379</v>
      </c>
      <c r="P67" s="2362" t="s">
        <v>2405</v>
      </c>
      <c r="Q67" s="2363">
        <f ca="1">C41+J31</f>
        <v>0</v>
      </c>
      <c r="R67" s="2362" t="s">
        <v>2380</v>
      </c>
    </row>
    <row r="68" spans="1:18" s="2043" customFormat="1" ht="19.2" thickBot="1">
      <c r="A68" s="2080"/>
      <c r="B68" s="2081"/>
      <c r="C68" s="2081"/>
      <c r="K68" s="2070"/>
      <c r="O68" s="2361" t="s">
        <v>2381</v>
      </c>
      <c r="P68" s="2362" t="s">
        <v>2412</v>
      </c>
      <c r="Q68" s="2363" t="e">
        <f ca="1">L61</f>
        <v>#DIV/0!</v>
      </c>
      <c r="R68" s="2366" t="s">
        <v>2414</v>
      </c>
    </row>
    <row r="69" spans="1:18" s="2043" customFormat="1" ht="20.399999999999999" thickBot="1">
      <c r="A69" s="2080"/>
      <c r="B69" s="2081"/>
      <c r="C69" s="2081"/>
      <c r="K69" s="2070"/>
      <c r="O69" s="2364" t="s">
        <v>2383</v>
      </c>
      <c r="P69" s="2362" t="s">
        <v>2413</v>
      </c>
      <c r="Q69" s="2368">
        <f ca="1">L52</f>
        <v>0</v>
      </c>
      <c r="R69" s="2369" t="s">
        <v>2416</v>
      </c>
    </row>
    <row r="70" spans="1:18" s="2043" customFormat="1" ht="19.2" thickBot="1">
      <c r="A70" s="2080"/>
      <c r="B70" s="2081"/>
      <c r="C70" s="2081"/>
      <c r="K70" s="2070"/>
      <c r="O70" s="2364" t="s">
        <v>2384</v>
      </c>
      <c r="P70" s="2370" t="s">
        <v>2398</v>
      </c>
      <c r="Q70" s="2363">
        <f ca="1">ROUND(Q71-Q72*Q73,0)</f>
        <v>0</v>
      </c>
      <c r="R70" s="2366"/>
    </row>
    <row r="71" spans="1:18" s="2043" customFormat="1" ht="16.2" thickBot="1">
      <c r="A71" s="2080"/>
      <c r="B71" s="2081"/>
      <c r="C71" s="2081"/>
      <c r="K71" s="2070"/>
      <c r="O71" s="2364" t="s">
        <v>2399</v>
      </c>
      <c r="P71" s="2370" t="s">
        <v>2400</v>
      </c>
      <c r="Q71" s="2363">
        <f ca="1">C42</f>
        <v>0</v>
      </c>
      <c r="R71" s="2362" t="s">
        <v>2380</v>
      </c>
    </row>
    <row r="72" spans="1:18" s="2043" customFormat="1" ht="16.2" thickBot="1">
      <c r="A72" s="2080"/>
      <c r="B72" s="2081"/>
      <c r="C72" s="2081"/>
      <c r="K72" s="2070"/>
      <c r="O72" s="2364" t="s">
        <v>2401</v>
      </c>
      <c r="P72" s="2370" t="s">
        <v>2402</v>
      </c>
      <c r="Q72" s="2363">
        <f ca="1">C15</f>
        <v>0</v>
      </c>
      <c r="R72" s="2362" t="s">
        <v>2380</v>
      </c>
    </row>
    <row r="73" spans="1:18" s="2043" customFormat="1" ht="16.2" thickBot="1">
      <c r="A73" s="2080"/>
      <c r="B73" s="2081"/>
      <c r="C73" s="2081"/>
      <c r="K73" s="2070"/>
      <c r="O73" s="2364" t="s">
        <v>2403</v>
      </c>
      <c r="P73" s="2370" t="s">
        <v>2404</v>
      </c>
      <c r="Q73" s="2365">
        <f ca="1">F43</f>
        <v>0</v>
      </c>
      <c r="R73" s="2366"/>
    </row>
    <row r="74" spans="1:18" s="2043" customFormat="1" ht="16.2" thickBot="1">
      <c r="A74" s="2080"/>
      <c r="B74" s="2081"/>
      <c r="C74" s="2081"/>
      <c r="K74" s="2070"/>
      <c r="O74" s="2364" t="s">
        <v>2386</v>
      </c>
      <c r="P74" s="2362" t="s">
        <v>2393</v>
      </c>
      <c r="Q74" s="2365">
        <f>L53</f>
        <v>0</v>
      </c>
      <c r="R74" s="2366"/>
    </row>
    <row r="75" spans="1:18" s="2043" customFormat="1" ht="19.2" thickBot="1">
      <c r="A75" s="2080"/>
      <c r="B75" s="2081"/>
      <c r="C75" s="2081"/>
      <c r="K75" s="2070"/>
      <c r="O75" s="2364" t="s">
        <v>2388</v>
      </c>
      <c r="P75" s="2362" t="s">
        <v>2394</v>
      </c>
      <c r="Q75" s="2363">
        <f ca="1">L59</f>
        <v>0</v>
      </c>
      <c r="R75" s="2366" t="s">
        <v>2395</v>
      </c>
    </row>
    <row r="76" spans="1:18" s="2043" customFormat="1" ht="19.2" thickBot="1">
      <c r="A76" s="2080"/>
      <c r="B76" s="2081"/>
      <c r="C76" s="2081"/>
      <c r="K76" s="2070"/>
      <c r="O76" s="2364" t="s">
        <v>2417</v>
      </c>
      <c r="P76" s="2362" t="s">
        <v>2396</v>
      </c>
      <c r="Q76" s="2363">
        <f ca="1">L60</f>
        <v>0</v>
      </c>
      <c r="R76" s="2366" t="s">
        <v>2397</v>
      </c>
    </row>
    <row r="77" spans="1:18" s="2043" customFormat="1" ht="16.2"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8" sqref="B28"/>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c r="D1" s="3071" t="s">
        <v>952</v>
      </c>
      <c r="E1" s="2350" t="s">
        <v>2374</v>
      </c>
      <c r="F1" s="2351">
        <f ca="1">J53</f>
        <v>0</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t="e">
        <f ca="1">C40+J29+L46</f>
        <v>#DIV/0!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0</v>
      </c>
      <c r="D5" s="2459" t="s">
        <v>2461</v>
      </c>
      <c r="E5" s="2453"/>
      <c r="F5" s="2454"/>
      <c r="G5" s="1577"/>
      <c r="H5" s="781">
        <v>1</v>
      </c>
      <c r="I5" s="782" t="s">
        <v>2458</v>
      </c>
      <c r="J5" s="55">
        <f ca="1">J6+J10+J12</f>
        <v>0</v>
      </c>
      <c r="K5" s="2459" t="s">
        <v>2461</v>
      </c>
      <c r="L5" s="2453"/>
      <c r="M5" s="2454"/>
    </row>
    <row r="6" spans="1:33" ht="18" customHeight="1">
      <c r="A6" s="1814" t="s">
        <v>1824</v>
      </c>
      <c r="B6" s="3449" t="s">
        <v>2463</v>
      </c>
      <c r="C6" s="783">
        <f ca="1">ROUND(F6*F8*F7*(1-F9)/10000,0)</f>
        <v>0</v>
      </c>
      <c r="D6" s="2460" t="s">
        <v>2462</v>
      </c>
      <c r="E6" s="784" t="s">
        <v>1738</v>
      </c>
      <c r="F6" s="785">
        <f ca="1">INDIRECT("'数据-取费表'!u"&amp;$G$1)</f>
        <v>0</v>
      </c>
      <c r="G6" s="1577"/>
      <c r="H6" s="2467" t="s">
        <v>2468</v>
      </c>
      <c r="I6" s="3449" t="s">
        <v>2463</v>
      </c>
      <c r="J6" s="783">
        <f ca="1">ROUND(M6*M8*M7*(1-M9)/10000,0)</f>
        <v>0</v>
      </c>
      <c r="K6" s="341" t="s">
        <v>1737</v>
      </c>
      <c r="L6" s="784" t="s">
        <v>1738</v>
      </c>
      <c r="M6" s="785">
        <f ca="1">INDIRECT("'数据-取费表'!z"&amp;$G$1)</f>
        <v>0</v>
      </c>
    </row>
    <row r="7" spans="1:33" ht="18" customHeight="1">
      <c r="A7" s="2463"/>
      <c r="B7" s="3450"/>
      <c r="C7" s="788"/>
      <c r="D7" s="789"/>
      <c r="E7" s="784" t="s">
        <v>1739</v>
      </c>
      <c r="F7" s="785">
        <f ca="1">IF(INDIRECT("'数据-取费表'!ah"&amp;$G$1)="",INDIRECT("'数据-取费表'!k"&amp;$G$1),INDIRECT("'数据-取费表'!ah"&amp;$G$1))</f>
        <v>0</v>
      </c>
      <c r="G7" s="1577"/>
      <c r="H7" s="2452"/>
      <c r="I7" s="3450"/>
      <c r="J7" s="788"/>
      <c r="K7" s="789"/>
      <c r="L7" s="784" t="s">
        <v>1739</v>
      </c>
      <c r="M7" s="785">
        <f ca="1">F7</f>
        <v>0</v>
      </c>
    </row>
    <row r="8" spans="1:33" ht="18" customHeight="1">
      <c r="A8" s="2456"/>
      <c r="B8" s="3451"/>
      <c r="C8" s="788"/>
      <c r="D8" s="789"/>
      <c r="E8" s="784" t="s">
        <v>1740</v>
      </c>
      <c r="F8" s="785">
        <f ca="1">INDIRECT("'数据-取费表'!ai"&amp;$G$1)</f>
        <v>0</v>
      </c>
      <c r="G8" s="1577"/>
      <c r="H8" s="2452"/>
      <c r="I8" s="3451"/>
      <c r="J8" s="788"/>
      <c r="K8" s="789"/>
      <c r="L8" s="784" t="s">
        <v>1740</v>
      </c>
      <c r="M8" s="785">
        <f ca="1">INDIRECT("'数据-取费表'!ai"&amp;$G$1)</f>
        <v>0</v>
      </c>
    </row>
    <row r="9" spans="1:33" ht="18" customHeight="1">
      <c r="A9" s="786"/>
      <c r="B9" s="3452"/>
      <c r="C9" s="788"/>
      <c r="D9" s="789"/>
      <c r="E9" s="784" t="s">
        <v>1741</v>
      </c>
      <c r="F9" s="794">
        <f ca="1">INDIRECT("'数据-取费表'!w"&amp;$G$1)</f>
        <v>0</v>
      </c>
      <c r="G9" s="1577"/>
      <c r="H9" s="2468"/>
      <c r="I9" s="3451"/>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2970</v>
      </c>
      <c r="E10" s="2461" t="s">
        <v>2464</v>
      </c>
      <c r="F10" s="2584"/>
      <c r="G10" s="1577"/>
      <c r="H10" s="2524" t="s">
        <v>2469</v>
      </c>
      <c r="I10" s="2529" t="s">
        <v>2459</v>
      </c>
      <c r="J10" s="783">
        <f ca="1">ROUND(IF(M10="押一",J6/12*M11,IF(M10="押二",J6/12*2*M11,IF(M10="押三",J6/12*3*M11,J11*M11))),0)</f>
        <v>0</v>
      </c>
      <c r="K10" s="2464" t="s">
        <v>2970</v>
      </c>
      <c r="L10" s="2461" t="s">
        <v>2464</v>
      </c>
      <c r="M10" s="2584"/>
    </row>
    <row r="11" spans="1:33" ht="18" customHeight="1">
      <c r="A11" s="790"/>
      <c r="B11" s="2458" t="s">
        <v>2573</v>
      </c>
      <c r="C11" s="2462"/>
      <c r="D11" s="789"/>
      <c r="E11" s="2461" t="s">
        <v>2465</v>
      </c>
      <c r="F11" s="796">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2826</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5.6500000000000002E-2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0.02</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0</v>
      </c>
    </row>
    <row r="23" spans="1:33" s="2048" customFormat="1" ht="18" customHeight="1">
      <c r="A23" s="1632" t="s">
        <v>1831</v>
      </c>
      <c r="B23" s="784" t="s">
        <v>2535</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2447" t="s">
        <v>1771</v>
      </c>
      <c r="L23" s="784" t="s">
        <v>1747</v>
      </c>
      <c r="M23" s="818">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2822</v>
      </c>
      <c r="J25" s="792">
        <f ca="1">J5-J16</f>
        <v>0</v>
      </c>
      <c r="K25" s="2511" t="s">
        <v>1777</v>
      </c>
      <c r="L25" s="2512"/>
      <c r="M25" s="2513"/>
    </row>
    <row r="26" spans="1:33" ht="18" customHeight="1">
      <c r="A26" s="1632" t="s">
        <v>1831</v>
      </c>
      <c r="B26" s="784" t="s">
        <v>2438</v>
      </c>
      <c r="C26" s="53">
        <f ca="1">ROUND((C19+C20)*F26,0)</f>
        <v>0</v>
      </c>
      <c r="D26" s="812" t="s">
        <v>1778</v>
      </c>
      <c r="E26" s="795" t="s">
        <v>1779</v>
      </c>
      <c r="F26" s="794">
        <f ca="1">INDIRECT("'数据-取费表'!q"&amp;$G$1)</f>
        <v>0</v>
      </c>
      <c r="G26" s="1577"/>
      <c r="H26" s="2465" t="s">
        <v>1780</v>
      </c>
      <c r="I26" s="2216" t="s">
        <v>2827</v>
      </c>
      <c r="J26" s="783">
        <f ca="1">IF(J5&lt;&gt;0,ROUND(J25*(1-((1+M28)/(1+M26))^M27)/(M26-M28),0),0)</f>
        <v>0</v>
      </c>
      <c r="K26" s="814" t="s">
        <v>1781</v>
      </c>
      <c r="L26" s="784" t="s">
        <v>2419</v>
      </c>
      <c r="M26" s="794">
        <f ca="1">INDIRECT("'数据-取费表'!I"&amp;$G$1)</f>
        <v>0</v>
      </c>
    </row>
    <row r="27" spans="1:33" ht="18" customHeight="1">
      <c r="A27" s="1632" t="s">
        <v>1832</v>
      </c>
      <c r="B27" s="784" t="s">
        <v>686</v>
      </c>
      <c r="C27" s="53">
        <f ca="1">ROUND(F21*F26,4)</f>
        <v>0</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5.3800000000000001E-2</v>
      </c>
      <c r="D28" s="812" t="s">
        <v>2299</v>
      </c>
      <c r="E28" s="784" t="s">
        <v>1785</v>
      </c>
      <c r="F28" s="809">
        <f>'数据-取费表'!B41</f>
        <v>5.6500000000000002E-2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5.6500000000000002E-2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0</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0</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3" t="s">
        <v>1817</v>
      </c>
      <c r="J38" s="844"/>
      <c r="K38" s="2067"/>
      <c r="L38" s="2061"/>
      <c r="M38" s="2061"/>
    </row>
    <row r="39" spans="1:18" ht="24.6" customHeight="1" thickTop="1">
      <c r="A39" s="1813" t="s">
        <v>1894</v>
      </c>
      <c r="B39" s="2961" t="s">
        <v>2822</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2301</v>
      </c>
      <c r="C40" s="783" t="e">
        <f ca="1">ROUND(C39*(1-((1+F42)/(1+F40))^F41)/(F40-F42),0)</f>
        <v>#DIV/0!</v>
      </c>
      <c r="D40" s="814" t="s">
        <v>1807</v>
      </c>
      <c r="E40" s="784" t="s">
        <v>2419</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0</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2" t="e">
        <f ca="1">IF(OR(M47="住宅",D1="土地（套用方法）"),0,IF(L48&gt;J51,L60,J60))</f>
        <v>#DIV/0!</v>
      </c>
      <c r="O46" s="2357" t="s">
        <v>2410</v>
      </c>
      <c r="P46" s="1577"/>
      <c r="Q46" s="1588"/>
      <c r="R46" s="1577"/>
    </row>
    <row r="47" spans="1:18" s="2043" customFormat="1" ht="18" customHeight="1" thickBot="1">
      <c r="A47" s="2335">
        <v>1</v>
      </c>
      <c r="B47" s="2336" t="s">
        <v>635</v>
      </c>
      <c r="C47" s="2537">
        <f ca="1">C48+C52+C54</f>
        <v>0</v>
      </c>
      <c r="D47" s="2069"/>
      <c r="E47" s="2069"/>
      <c r="F47" s="2069"/>
      <c r="I47" s="3093" t="s">
        <v>2344</v>
      </c>
      <c r="J47" s="2344"/>
      <c r="K47" s="3099" t="s">
        <v>2349</v>
      </c>
      <c r="L47" s="3103">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2" t="s">
        <v>2345</v>
      </c>
      <c r="J48" s="2345"/>
      <c r="K48" s="3100" t="s">
        <v>2351</v>
      </c>
      <c r="L48" s="1892">
        <f ca="1">INDIRECT("'数据-取费表'!f"&amp;$G$1)</f>
        <v>0</v>
      </c>
      <c r="O48" s="2361" t="s">
        <v>2379</v>
      </c>
      <c r="P48" s="2362" t="s">
        <v>2405</v>
      </c>
      <c r="Q48" s="2363" t="e">
        <f ca="1">C40+J29</f>
        <v>#DIV/0!</v>
      </c>
      <c r="R48" s="2362" t="s">
        <v>2380</v>
      </c>
    </row>
    <row r="49" spans="1:18" s="2043" customFormat="1" ht="18" customHeight="1" thickBot="1">
      <c r="A49" s="786"/>
      <c r="B49" s="787"/>
      <c r="C49" s="788"/>
      <c r="D49" s="789"/>
      <c r="E49" s="784" t="s">
        <v>1739</v>
      </c>
      <c r="F49" s="785">
        <f ca="1">F7</f>
        <v>0</v>
      </c>
      <c r="G49" s="2074"/>
      <c r="H49" s="2077"/>
      <c r="I49" s="3072" t="s">
        <v>2346</v>
      </c>
      <c r="J49" s="2346"/>
      <c r="K49" s="3101" t="s">
        <v>2352</v>
      </c>
      <c r="L49" s="2347"/>
      <c r="O49" s="2361" t="s">
        <v>2381</v>
      </c>
      <c r="P49" s="2362" t="s">
        <v>2406</v>
      </c>
      <c r="Q49" s="2363" t="e">
        <f ca="1">J60</f>
        <v>#DIV/0!</v>
      </c>
      <c r="R49" s="2362" t="s">
        <v>2382</v>
      </c>
    </row>
    <row r="50" spans="1:18" s="2043" customFormat="1" ht="18" customHeight="1" thickBot="1">
      <c r="A50" s="786"/>
      <c r="B50" s="787"/>
      <c r="C50" s="788"/>
      <c r="D50" s="789"/>
      <c r="E50" s="784" t="s">
        <v>1740</v>
      </c>
      <c r="F50" s="785">
        <f ca="1">F8</f>
        <v>0</v>
      </c>
      <c r="G50" s="2079"/>
      <c r="H50" s="2077"/>
      <c r="I50" s="3072" t="s">
        <v>2347</v>
      </c>
      <c r="J50" s="3097">
        <f>SUMPRODUCT((I63:I65=J47)*(J62:L62=J48)*(J63:L65))</f>
        <v>0</v>
      </c>
      <c r="K50" s="3101" t="s">
        <v>2353</v>
      </c>
      <c r="L50" s="2347"/>
      <c r="O50" s="2364" t="s">
        <v>2383</v>
      </c>
      <c r="P50" s="2362" t="s">
        <v>2407</v>
      </c>
      <c r="Q50" s="2363">
        <f ca="1">C29</f>
        <v>0</v>
      </c>
      <c r="R50" s="2362" t="s">
        <v>2380</v>
      </c>
    </row>
    <row r="51" spans="1:18" s="2043" customFormat="1" ht="18" customHeight="1" thickBot="1">
      <c r="A51" s="786"/>
      <c r="B51" s="787"/>
      <c r="C51" s="788"/>
      <c r="D51" s="789"/>
      <c r="E51" s="784" t="s">
        <v>640</v>
      </c>
      <c r="F51" s="2334"/>
      <c r="H51" s="2077"/>
      <c r="I51" s="3094" t="s">
        <v>2348</v>
      </c>
      <c r="J51" s="3098">
        <f>IF(J49="",J50,J49+J50-YEAR('数据-取费表'!B2))</f>
        <v>0</v>
      </c>
      <c r="K51" s="3072" t="s">
        <v>2354</v>
      </c>
      <c r="L51" s="3104">
        <f ca="1">ROUND(-PV(INDIRECT("'数据-取费表'!h"&amp;$G$1),L48,(C39-C13*J36),0),0)</f>
        <v>0</v>
      </c>
      <c r="O51" s="2364" t="s">
        <v>2384</v>
      </c>
      <c r="P51" s="2362" t="s">
        <v>2385</v>
      </c>
      <c r="Q51" s="2365" t="e">
        <f ca="1">J58</f>
        <v>#DIV/0!</v>
      </c>
      <c r="R51" s="2366"/>
    </row>
    <row r="52" spans="1:18" s="2043" customFormat="1" ht="18" customHeight="1" thickBot="1">
      <c r="A52" s="781" t="s">
        <v>2536</v>
      </c>
      <c r="B52" s="2457" t="s">
        <v>2459</v>
      </c>
      <c r="C52" s="799">
        <f ca="1">ROUND(IF(F52="押一",C48/12*F11,IF(F52="押二",C48/12*2*F11,IF(F52="押三",C48/12*3*F11,C53*F11))),0)</f>
        <v>0</v>
      </c>
      <c r="D52" s="2464" t="s">
        <v>2971</v>
      </c>
      <c r="E52" s="2461" t="s">
        <v>2464</v>
      </c>
      <c r="F52" s="2584"/>
      <c r="I52" s="3095" t="s">
        <v>2421</v>
      </c>
      <c r="J52" s="2348"/>
      <c r="K52" s="3095" t="s">
        <v>2420</v>
      </c>
      <c r="L52" s="2348"/>
      <c r="O52" s="2364" t="s">
        <v>2386</v>
      </c>
      <c r="P52" s="2362" t="s">
        <v>2387</v>
      </c>
      <c r="Q52" s="2365">
        <f>J52</f>
        <v>0</v>
      </c>
      <c r="R52" s="2366"/>
    </row>
    <row r="53" spans="1:18" s="2043" customFormat="1" ht="39.75" customHeight="1" thickBot="1">
      <c r="A53" s="786"/>
      <c r="B53" s="2458" t="s">
        <v>2573</v>
      </c>
      <c r="C53" s="2462"/>
      <c r="D53" s="2464"/>
      <c r="E53" s="2461"/>
      <c r="F53" s="800"/>
      <c r="I53" s="3096" t="s">
        <v>2974</v>
      </c>
      <c r="J53" s="3175">
        <f ca="1">IF(M47="住宅",IF(D1="——",MAX(J51,L48),MAX(J51,L48-'数据-取费表'!B20)),IF(D1="——",MIN(J51,L48),MIN(J51,L48-'数据-取费表'!B20)))</f>
        <v>0</v>
      </c>
      <c r="K53" s="3455" t="s">
        <v>2962</v>
      </c>
      <c r="L53" s="3456"/>
      <c r="O53" s="2364" t="s">
        <v>2388</v>
      </c>
      <c r="P53" s="2362" t="s">
        <v>2389</v>
      </c>
      <c r="Q53" s="2363">
        <f ca="1">J53</f>
        <v>0</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2391</v>
      </c>
      <c r="P54" s="2362" t="s">
        <v>2408</v>
      </c>
      <c r="Q54" s="2363" t="e">
        <f ca="1">Q48+Q49</f>
        <v>#DIV/0!</v>
      </c>
      <c r="R54" s="2366" t="s">
        <v>2392</v>
      </c>
    </row>
    <row r="55" spans="1:18" s="2043" customFormat="1" ht="18" customHeight="1" thickTop="1" thickBot="1">
      <c r="A55" s="797">
        <v>2</v>
      </c>
      <c r="B55" s="798" t="s">
        <v>644</v>
      </c>
      <c r="C55" s="799">
        <f ca="1">C13</f>
        <v>0</v>
      </c>
      <c r="D55" s="795"/>
      <c r="E55" s="795"/>
      <c r="F55" s="800"/>
      <c r="I55" s="3107" t="s">
        <v>2355</v>
      </c>
      <c r="J55" s="3047" t="e">
        <f ca="1">ROUND(IF(J47="钢混",J57/J50,1-(1-2%)*(J50-J57)/J50),3)</f>
        <v>#DIV/0!</v>
      </c>
      <c r="K55" s="3108" t="s">
        <v>2356</v>
      </c>
      <c r="L55" s="2349"/>
      <c r="O55" s="2367" t="s">
        <v>2411</v>
      </c>
      <c r="P55" s="1577"/>
      <c r="Q55" s="1588"/>
      <c r="R55" s="1577"/>
    </row>
    <row r="56" spans="1:18" s="2043" customFormat="1" ht="42.75" customHeight="1" thickBot="1">
      <c r="A56" s="1634"/>
      <c r="B56" s="2215" t="s">
        <v>2302</v>
      </c>
      <c r="C56" s="53">
        <f ca="1">C29</f>
        <v>0</v>
      </c>
      <c r="D56" s="2602"/>
      <c r="E56" s="784"/>
      <c r="F56" s="809"/>
      <c r="I56" s="3109" t="s">
        <v>2357</v>
      </c>
      <c r="J56" s="3119"/>
      <c r="K56" s="3072" t="s">
        <v>2362</v>
      </c>
      <c r="L56" s="1892">
        <f ca="1">IF(L48&lt;J51,"——",L48-J51)</f>
        <v>0</v>
      </c>
      <c r="O56" s="2358" t="s">
        <v>2375</v>
      </c>
      <c r="P56" s="2359" t="s">
        <v>2376</v>
      </c>
      <c r="Q56" s="2360" t="s">
        <v>2377</v>
      </c>
      <c r="R56" s="2359" t="s">
        <v>2378</v>
      </c>
    </row>
    <row r="57" spans="1:18" s="2043" customFormat="1" ht="28.5" customHeight="1" thickBot="1">
      <c r="A57" s="797" t="s">
        <v>1748</v>
      </c>
      <c r="B57" s="798" t="s">
        <v>651</v>
      </c>
      <c r="C57" s="799">
        <f ca="1">ROUND(C58+C63+C64+C65,0)</f>
        <v>0</v>
      </c>
      <c r="D57" s="26" t="s">
        <v>1750</v>
      </c>
      <c r="E57" s="2603"/>
      <c r="F57" s="56"/>
      <c r="I57" s="3110" t="s">
        <v>2358</v>
      </c>
      <c r="J57" s="3111">
        <f ca="1">IF(OR(M47="住宅",J51&lt;L48,J56="是"),"——",J51-L48)</f>
        <v>0</v>
      </c>
      <c r="K57" s="3072" t="s">
        <v>2363</v>
      </c>
      <c r="L57" s="1892">
        <f ca="1">IF(L48&lt;J51,"——",IF(L55="比较法",L49,IF(L55="基准地价",L50,L51)))</f>
        <v>0</v>
      </c>
      <c r="O57" s="2361" t="s">
        <v>2379</v>
      </c>
      <c r="P57" s="2362" t="s">
        <v>2409</v>
      </c>
      <c r="Q57" s="2363" t="e">
        <f ca="1">C40+J29</f>
        <v>#DIV/0!</v>
      </c>
      <c r="R57" s="2362" t="s">
        <v>2380</v>
      </c>
    </row>
    <row r="58" spans="1:18" s="2043" customFormat="1" ht="28.5" customHeight="1" thickBot="1">
      <c r="A58" s="1633"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0" t="s">
        <v>2359</v>
      </c>
      <c r="J58" s="3048" t="e">
        <f ca="1">IF(J55&lt;0.4,0.4,J55)</f>
        <v>#DIV/0!</v>
      </c>
      <c r="K58" s="3072" t="s">
        <v>2364</v>
      </c>
      <c r="L58" s="1892" t="e">
        <f ca="1">ROUND(POWER(1+L52,L47-L48)*(POWER(1+L52,L48)-1)/(POWER(1+L52,L47)-1),4)</f>
        <v>#DIV/0!</v>
      </c>
      <c r="O58" s="2361" t="s">
        <v>2381</v>
      </c>
      <c r="P58" s="2362" t="s">
        <v>2412</v>
      </c>
      <c r="Q58" s="2363" t="e">
        <f ca="1">L60</f>
        <v>#DIV/0!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5.6500000000000002E-2</v>
      </c>
      <c r="I59" s="3110" t="s">
        <v>2360</v>
      </c>
      <c r="J59" s="3111" t="e">
        <f ca="1">IF(OR(M47="住宅",J51&lt;L48,J56="是"),"——",ROUND(C29*J58,0))</f>
        <v>#DIV/0!</v>
      </c>
      <c r="K59" s="307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2" t="s">
        <v>2361</v>
      </c>
      <c r="J60" s="3113" t="e">
        <f ca="1">IF(OR(M47="住宅",J51&lt;L48,J56="是"),"0",ROUND(J59/(1+J52)^J53,0))</f>
        <v>#DIV/0!</v>
      </c>
      <c r="K60" s="3114" t="s">
        <v>2366</v>
      </c>
      <c r="L60" s="3113" t="e">
        <f ca="1">IF(OR(M47="住宅",L48&lt;J51),0,ROUND(L57*(L58/L59-1),0))</f>
        <v>#DIV/0!</v>
      </c>
      <c r="O60" s="2364" t="s">
        <v>2384</v>
      </c>
      <c r="P60" s="2362" t="s">
        <v>2393</v>
      </c>
      <c r="Q60" s="2365">
        <f>L52</f>
        <v>0</v>
      </c>
      <c r="R60" s="2366"/>
    </row>
    <row r="61" spans="1:18" s="2043" customFormat="1" ht="18" customHeight="1" thickBot="1">
      <c r="A61" s="1635" t="s">
        <v>1833</v>
      </c>
      <c r="B61" s="341" t="s">
        <v>668</v>
      </c>
      <c r="C61" s="54">
        <f ca="1">ROUND(F61*F62/10000,1)</f>
        <v>0</v>
      </c>
      <c r="D61" s="814" t="s">
        <v>669</v>
      </c>
      <c r="E61" s="784" t="s">
        <v>670</v>
      </c>
      <c r="F61" s="640">
        <f t="shared" si="0"/>
        <v>20</v>
      </c>
      <c r="K61" s="2070"/>
      <c r="O61" s="2364" t="s">
        <v>2386</v>
      </c>
      <c r="P61" s="2362" t="s">
        <v>2394</v>
      </c>
      <c r="Q61" s="2363" t="e">
        <f ca="1">L58</f>
        <v>#DIV/0!</v>
      </c>
      <c r="R61" s="2366" t="s">
        <v>2395</v>
      </c>
    </row>
    <row r="62" spans="1:18" s="2043" customFormat="1" ht="16.2" thickBot="1">
      <c r="A62" s="815"/>
      <c r="B62" s="793"/>
      <c r="C62" s="69"/>
      <c r="D62" s="816"/>
      <c r="E62" s="784" t="s">
        <v>674</v>
      </c>
      <c r="F62" s="785">
        <f t="shared" ca="1" si="0"/>
        <v>0</v>
      </c>
      <c r="I62" s="3115" t="s">
        <v>2367</v>
      </c>
      <c r="J62" s="3116" t="s">
        <v>2368</v>
      </c>
      <c r="K62" s="3116" t="s">
        <v>2369</v>
      </c>
      <c r="L62" s="3116" t="s">
        <v>2350</v>
      </c>
      <c r="M62" s="3117" t="s">
        <v>2939</v>
      </c>
      <c r="O62" s="2364" t="s">
        <v>2388</v>
      </c>
      <c r="P62" s="2362" t="str">
        <f>K59</f>
        <v>建筑物剩余耐用年限下的土地年期修正系数Kn</v>
      </c>
      <c r="Q62" s="2363" t="e">
        <f ca="1">L59</f>
        <v>#DIV/0!</v>
      </c>
      <c r="R62" s="2366" t="s">
        <v>2397</v>
      </c>
    </row>
    <row r="63" spans="1:18" s="2043" customFormat="1" ht="16.2" thickBot="1">
      <c r="A63" s="1633" t="s">
        <v>1889</v>
      </c>
      <c r="B63" s="784" t="s">
        <v>676</v>
      </c>
      <c r="C63" s="53">
        <f ca="1">ROUND(C56*F63,1)</f>
        <v>0</v>
      </c>
      <c r="D63" s="2602" t="s">
        <v>1803</v>
      </c>
      <c r="E63" s="784" t="s">
        <v>1747</v>
      </c>
      <c r="F63" s="817">
        <f t="shared" ca="1" si="0"/>
        <v>0</v>
      </c>
      <c r="I63" s="3115" t="s">
        <v>2370</v>
      </c>
      <c r="J63" s="3116">
        <v>70</v>
      </c>
      <c r="K63" s="3116">
        <v>50</v>
      </c>
      <c r="L63" s="3116">
        <v>80</v>
      </c>
      <c r="M63" s="3118">
        <v>0.02</v>
      </c>
      <c r="O63" s="2361" t="s">
        <v>2391</v>
      </c>
      <c r="P63" s="2362" t="s">
        <v>2408</v>
      </c>
      <c r="Q63" s="2363" t="e">
        <f ca="1">Q57+Q58</f>
        <v>#DIV/0!</v>
      </c>
      <c r="R63" s="2366" t="s">
        <v>2392</v>
      </c>
    </row>
    <row r="64" spans="1:18" s="2043" customFormat="1" ht="16.2" thickBot="1">
      <c r="A64" s="1633" t="s">
        <v>1890</v>
      </c>
      <c r="B64" s="784" t="s">
        <v>679</v>
      </c>
      <c r="C64" s="53">
        <f ca="1">ROUND(C55*F64,1)</f>
        <v>0</v>
      </c>
      <c r="D64" s="2602" t="s">
        <v>680</v>
      </c>
      <c r="E64" s="784" t="s">
        <v>1747</v>
      </c>
      <c r="F64" s="818">
        <f t="shared" ca="1" si="0"/>
        <v>0</v>
      </c>
      <c r="I64" s="3115" t="s">
        <v>2371</v>
      </c>
      <c r="J64" s="3116">
        <v>50</v>
      </c>
      <c r="K64" s="3116">
        <v>35</v>
      </c>
      <c r="L64" s="3116">
        <v>60</v>
      </c>
      <c r="M64" s="846">
        <v>0</v>
      </c>
      <c r="O64" s="2367" t="s">
        <v>2415</v>
      </c>
      <c r="P64" s="1577"/>
      <c r="Q64" s="1588"/>
      <c r="R64" s="1577"/>
    </row>
    <row r="65" spans="1:18" s="2043" customFormat="1" ht="16.2" thickBot="1">
      <c r="A65" s="1633" t="s">
        <v>1891</v>
      </c>
      <c r="B65" s="784" t="s">
        <v>666</v>
      </c>
      <c r="C65" s="53">
        <f ca="1">ROUND(C47*F65,1)</f>
        <v>0</v>
      </c>
      <c r="D65" s="2602" t="s">
        <v>683</v>
      </c>
      <c r="E65" s="784" t="s">
        <v>1747</v>
      </c>
      <c r="F65" s="794">
        <f t="shared" ca="1" si="0"/>
        <v>0</v>
      </c>
      <c r="I65" s="3115" t="s">
        <v>2372</v>
      </c>
      <c r="J65" s="3116">
        <v>40</v>
      </c>
      <c r="K65" s="3116">
        <v>30</v>
      </c>
      <c r="L65" s="3116">
        <v>50</v>
      </c>
      <c r="M65" s="3118">
        <v>0.02</v>
      </c>
      <c r="O65" s="2358" t="s">
        <v>2375</v>
      </c>
      <c r="P65" s="2359" t="s">
        <v>2376</v>
      </c>
      <c r="Q65" s="2360" t="s">
        <v>2377</v>
      </c>
      <c r="R65" s="2359" t="s">
        <v>2378</v>
      </c>
    </row>
    <row r="66" spans="1:18" s="2043" customFormat="1" ht="24.6" thickBot="1">
      <c r="A66" s="797" t="s">
        <v>1776</v>
      </c>
      <c r="B66" s="2962" t="s">
        <v>2822</v>
      </c>
      <c r="C66" s="799">
        <f ca="1">C47-C57</f>
        <v>0</v>
      </c>
      <c r="D66" s="2601" t="s">
        <v>700</v>
      </c>
      <c r="E66" s="2600"/>
      <c r="F66" s="820"/>
      <c r="K66" s="2070"/>
      <c r="O66" s="2361" t="s">
        <v>2379</v>
      </c>
      <c r="P66" s="2362" t="s">
        <v>2409</v>
      </c>
      <c r="Q66" s="2363" t="e">
        <f ca="1">C40+J29</f>
        <v>#DIV/0!</v>
      </c>
      <c r="R66" s="2362" t="s">
        <v>2380</v>
      </c>
    </row>
    <row r="67" spans="1:18" s="2043" customFormat="1" ht="19.2" thickBot="1">
      <c r="A67" s="781" t="s">
        <v>1780</v>
      </c>
      <c r="B67" s="2216" t="s">
        <v>2301</v>
      </c>
      <c r="C67" s="783" t="e">
        <f ca="1">ROUND(C66*(1-((1+F69)/(1+F67))^F68)/(F67-F69),0)</f>
        <v>#DIV/0!</v>
      </c>
      <c r="D67" s="814" t="s">
        <v>704</v>
      </c>
      <c r="E67" s="784" t="s">
        <v>705</v>
      </c>
      <c r="F67" s="794">
        <f ca="1">F40</f>
        <v>0</v>
      </c>
      <c r="K67" s="2070"/>
      <c r="O67" s="2361" t="s">
        <v>2381</v>
      </c>
      <c r="P67" s="2362" t="s">
        <v>2412</v>
      </c>
      <c r="Q67" s="2363" t="e">
        <f ca="1">L60</f>
        <v>#DIV/0!</v>
      </c>
      <c r="R67" s="2366" t="s">
        <v>2414</v>
      </c>
    </row>
    <row r="68" spans="1:18" ht="20.399999999999999" thickBot="1">
      <c r="A68" s="786"/>
      <c r="B68" s="787"/>
      <c r="C68" s="788"/>
      <c r="D68" s="821" t="s">
        <v>1808</v>
      </c>
      <c r="E68" s="784" t="s">
        <v>1784</v>
      </c>
      <c r="F68" s="822">
        <f ca="1">F41</f>
        <v>0</v>
      </c>
      <c r="O68" s="2364" t="s">
        <v>2383</v>
      </c>
      <c r="P68" s="2362" t="s">
        <v>2413</v>
      </c>
      <c r="Q68" s="2368">
        <f ca="1">L51</f>
        <v>0</v>
      </c>
      <c r="R68" s="2369" t="s">
        <v>2416</v>
      </c>
    </row>
    <row r="69" spans="1:18" ht="19.2" thickBot="1">
      <c r="A69" s="790"/>
      <c r="B69" s="791"/>
      <c r="C69" s="792"/>
      <c r="D69" s="816"/>
      <c r="E69" s="784" t="s">
        <v>710</v>
      </c>
      <c r="F69" s="2334"/>
      <c r="O69" s="2364" t="s">
        <v>2384</v>
      </c>
      <c r="P69" s="2370" t="s">
        <v>2398</v>
      </c>
      <c r="Q69" s="2363">
        <f ca="1">ROUND(Q70-Q71*Q72,0)</f>
        <v>0</v>
      </c>
      <c r="R69" s="2366"/>
    </row>
    <row r="70" spans="1:18" ht="16.2" thickBot="1">
      <c r="A70" s="823" t="s">
        <v>1787</v>
      </c>
      <c r="B70" s="824" t="s">
        <v>1810</v>
      </c>
      <c r="C70" s="825" t="e">
        <f ca="1">ROUND(C67*10000/F70,0)</f>
        <v>#DIV/0!</v>
      </c>
      <c r="D70" s="826" t="s">
        <v>1811</v>
      </c>
      <c r="E70" s="827" t="s">
        <v>1812</v>
      </c>
      <c r="F70" s="828">
        <f ca="1">F43</f>
        <v>0</v>
      </c>
      <c r="O70" s="2364" t="s">
        <v>2399</v>
      </c>
      <c r="P70" s="2370" t="s">
        <v>2400</v>
      </c>
      <c r="Q70" s="2363">
        <f ca="1">C39</f>
        <v>0</v>
      </c>
      <c r="R70" s="2362" t="s">
        <v>2380</v>
      </c>
    </row>
    <row r="71" spans="1:18" ht="16.2" thickBot="1">
      <c r="O71" s="2364" t="s">
        <v>2401</v>
      </c>
      <c r="P71" s="2370" t="s">
        <v>2402</v>
      </c>
      <c r="Q71" s="2363">
        <f ca="1">C13</f>
        <v>0</v>
      </c>
      <c r="R71" s="2362" t="s">
        <v>2380</v>
      </c>
    </row>
    <row r="72" spans="1:18" ht="16.2" thickBot="1">
      <c r="O72" s="2364" t="s">
        <v>2403</v>
      </c>
      <c r="P72" s="2370" t="s">
        <v>2404</v>
      </c>
      <c r="Q72" s="2365">
        <f ca="1">J36</f>
        <v>0</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建筑物剩余耐用年限下的土地年期修正系数Kn</v>
      </c>
      <c r="Q75" s="2363" t="e">
        <f ca="1">L59</f>
        <v>#DIV/0!</v>
      </c>
      <c r="R75" s="2366" t="s">
        <v>2397</v>
      </c>
    </row>
    <row r="76" spans="1:18" ht="16.2" thickBot="1">
      <c r="O76" s="2361" t="s">
        <v>2391</v>
      </c>
      <c r="P76" s="2362" t="s">
        <v>2408</v>
      </c>
      <c r="Q76" s="2363" t="e">
        <f ca="1">Q66+Q67</f>
        <v>#DIV/0!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57" t="s">
        <v>2471</v>
      </c>
      <c r="B1" s="3458"/>
      <c r="C1" s="3459"/>
      <c r="D1" s="3460">
        <f>SUM(I10,I15,I20,I21,I23)</f>
        <v>0</v>
      </c>
      <c r="E1" s="3460"/>
      <c r="F1" s="3460"/>
      <c r="G1" s="3460"/>
      <c r="H1" s="3460"/>
      <c r="I1" s="3461"/>
    </row>
    <row r="2" spans="1:9">
      <c r="A2" s="3462" t="s">
        <v>2472</v>
      </c>
      <c r="B2" s="3463" t="s">
        <v>2473</v>
      </c>
      <c r="C2" s="3463"/>
      <c r="D2" s="2470" t="s">
        <v>2474</v>
      </c>
      <c r="E2" s="2470" t="s">
        <v>2475</v>
      </c>
      <c r="F2" s="2470" t="s">
        <v>2476</v>
      </c>
      <c r="G2" s="2470" t="s">
        <v>2477</v>
      </c>
      <c r="H2" s="2470" t="s">
        <v>2478</v>
      </c>
      <c r="I2" s="2471" t="s">
        <v>2479</v>
      </c>
    </row>
    <row r="3" spans="1:9">
      <c r="A3" s="3462"/>
      <c r="B3" s="3463" t="s">
        <v>2480</v>
      </c>
      <c r="C3" s="3463"/>
      <c r="D3" s="2472"/>
      <c r="E3" s="2470"/>
      <c r="F3" s="2473"/>
      <c r="G3" s="2473"/>
      <c r="H3" s="2474"/>
      <c r="I3" s="2475">
        <f>ROUND(D3*E3*F3*G3*H3/10000,0)</f>
        <v>0</v>
      </c>
    </row>
    <row r="4" spans="1:9">
      <c r="A4" s="3462"/>
      <c r="B4" s="3463" t="s">
        <v>2481</v>
      </c>
      <c r="C4" s="3463"/>
      <c r="D4" s="2472"/>
      <c r="E4" s="2470"/>
      <c r="F4" s="2473"/>
      <c r="G4" s="2473"/>
      <c r="H4" s="2474"/>
      <c r="I4" s="2475">
        <f t="shared" ref="I4:I9" si="0">ROUND(D4*E4*F4*G4*H4/10000,0)</f>
        <v>0</v>
      </c>
    </row>
    <row r="5" spans="1:9">
      <c r="A5" s="3462"/>
      <c r="B5" s="3463" t="s">
        <v>2482</v>
      </c>
      <c r="C5" s="3463"/>
      <c r="D5" s="2472"/>
      <c r="E5" s="2470"/>
      <c r="F5" s="2473"/>
      <c r="G5" s="2473"/>
      <c r="H5" s="2474"/>
      <c r="I5" s="2475">
        <f t="shared" si="0"/>
        <v>0</v>
      </c>
    </row>
    <row r="6" spans="1:9">
      <c r="A6" s="3462"/>
      <c r="B6" s="3463" t="s">
        <v>2483</v>
      </c>
      <c r="C6" s="3463"/>
      <c r="D6" s="2472"/>
      <c r="E6" s="2470"/>
      <c r="F6" s="2473"/>
      <c r="G6" s="2473"/>
      <c r="H6" s="2474"/>
      <c r="I6" s="2475">
        <f t="shared" si="0"/>
        <v>0</v>
      </c>
    </row>
    <row r="7" spans="1:9">
      <c r="A7" s="3462"/>
      <c r="B7" s="3463" t="s">
        <v>2484</v>
      </c>
      <c r="C7" s="3463"/>
      <c r="D7" s="2472"/>
      <c r="E7" s="2470"/>
      <c r="F7" s="2473"/>
      <c r="G7" s="2473"/>
      <c r="H7" s="2474"/>
      <c r="I7" s="2475">
        <f t="shared" si="0"/>
        <v>0</v>
      </c>
    </row>
    <row r="8" spans="1:9">
      <c r="A8" s="3462"/>
      <c r="B8" s="3463" t="s">
        <v>2485</v>
      </c>
      <c r="C8" s="3463"/>
      <c r="D8" s="2472"/>
      <c r="E8" s="2470"/>
      <c r="F8" s="2473"/>
      <c r="G8" s="2473"/>
      <c r="H8" s="2474"/>
      <c r="I8" s="2475">
        <f t="shared" si="0"/>
        <v>0</v>
      </c>
    </row>
    <row r="9" spans="1:9">
      <c r="A9" s="3462"/>
      <c r="B9" s="3463" t="s">
        <v>2486</v>
      </c>
      <c r="C9" s="3463"/>
      <c r="D9" s="2472"/>
      <c r="E9" s="2470"/>
      <c r="F9" s="2473"/>
      <c r="G9" s="2473"/>
      <c r="H9" s="2474"/>
      <c r="I9" s="2475">
        <f t="shared" si="0"/>
        <v>0</v>
      </c>
    </row>
    <row r="10" spans="1:9">
      <c r="A10" s="3462"/>
      <c r="B10" s="3464" t="s">
        <v>2487</v>
      </c>
      <c r="C10" s="3464"/>
      <c r="D10" s="2476">
        <v>527</v>
      </c>
      <c r="E10" s="2476" t="e">
        <f>ROUND(D1*10000/D10/H9,0)</f>
        <v>#DIV/0!</v>
      </c>
      <c r="F10" s="2477"/>
      <c r="G10" s="2477"/>
      <c r="H10" s="2478"/>
      <c r="I10" s="2479">
        <f>SUM(I3:I9)</f>
        <v>0</v>
      </c>
    </row>
    <row r="11" spans="1:9" ht="15.6">
      <c r="A11" s="3462" t="s">
        <v>2488</v>
      </c>
      <c r="B11" s="3463" t="s">
        <v>2489</v>
      </c>
      <c r="C11" s="3463"/>
      <c r="D11" s="2472" t="s">
        <v>2490</v>
      </c>
      <c r="E11" s="2472" t="s">
        <v>2491</v>
      </c>
      <c r="F11" s="2473" t="s">
        <v>2492</v>
      </c>
      <c r="G11" s="2473" t="s">
        <v>2493</v>
      </c>
      <c r="H11" s="2480" t="s">
        <v>2494</v>
      </c>
      <c r="I11" s="2471" t="s">
        <v>2495</v>
      </c>
    </row>
    <row r="12" spans="1:9">
      <c r="A12" s="3462"/>
      <c r="B12" s="3463" t="s">
        <v>2496</v>
      </c>
      <c r="C12" s="3463"/>
      <c r="D12" s="2472"/>
      <c r="E12" s="2472"/>
      <c r="F12" s="2473"/>
      <c r="G12" s="2474"/>
      <c r="H12" s="2481"/>
      <c r="I12" s="2471">
        <f>ROUND(D12*E12*F12*G12/10000,0)</f>
        <v>0</v>
      </c>
    </row>
    <row r="13" spans="1:9">
      <c r="A13" s="3462"/>
      <c r="B13" s="3463" t="s">
        <v>2497</v>
      </c>
      <c r="C13" s="3463"/>
      <c r="D13" s="2472"/>
      <c r="E13" s="2472"/>
      <c r="F13" s="2473"/>
      <c r="G13" s="2474"/>
      <c r="H13" s="2481"/>
      <c r="I13" s="2471">
        <f>ROUND(D13*E13*F13*G13/10000,0)</f>
        <v>0</v>
      </c>
    </row>
    <row r="14" spans="1:9">
      <c r="A14" s="3462"/>
      <c r="B14" s="3463" t="s">
        <v>2498</v>
      </c>
      <c r="C14" s="3463"/>
      <c r="D14" s="2472"/>
      <c r="E14" s="2472"/>
      <c r="F14" s="2473"/>
      <c r="G14" s="2474"/>
      <c r="H14" s="2481"/>
      <c r="I14" s="2471">
        <f>ROUND(D14*E14*F14*G14/10000,0)</f>
        <v>0</v>
      </c>
    </row>
    <row r="15" spans="1:9">
      <c r="A15" s="3462"/>
      <c r="B15" s="3464" t="s">
        <v>2487</v>
      </c>
      <c r="C15" s="3464"/>
      <c r="D15" s="2476"/>
      <c r="E15" s="2476">
        <f>SUM(E12:E14)</f>
        <v>0</v>
      </c>
      <c r="F15" s="2477"/>
      <c r="G15" s="2474"/>
      <c r="H15" s="2481"/>
      <c r="I15" s="2482">
        <f>SUM(I12:I14)</f>
        <v>0</v>
      </c>
    </row>
    <row r="16" spans="1:9" ht="24">
      <c r="A16" s="3462" t="s">
        <v>2499</v>
      </c>
      <c r="B16" s="3463" t="s">
        <v>2500</v>
      </c>
      <c r="C16" s="3463"/>
      <c r="D16" s="2472" t="s">
        <v>2501</v>
      </c>
      <c r="E16" s="2483" t="s">
        <v>2502</v>
      </c>
      <c r="F16" s="2473" t="s">
        <v>2503</v>
      </c>
      <c r="G16" s="2474" t="s">
        <v>2493</v>
      </c>
      <c r="H16" s="2480" t="s">
        <v>2494</v>
      </c>
      <c r="I16" s="2471" t="s">
        <v>2495</v>
      </c>
    </row>
    <row r="17" spans="1:9" ht="15.6">
      <c r="A17" s="3462"/>
      <c r="B17" s="3463" t="s">
        <v>2504</v>
      </c>
      <c r="C17" s="3463"/>
      <c r="D17" s="2472"/>
      <c r="E17" s="2472"/>
      <c r="F17" s="2473"/>
      <c r="G17" s="2474"/>
      <c r="H17" s="2484"/>
      <c r="I17" s="2485">
        <f>ROUND(D17*E17*F17*G17/10000,0)</f>
        <v>0</v>
      </c>
    </row>
    <row r="18" spans="1:9" ht="15.6">
      <c r="A18" s="3462"/>
      <c r="B18" s="3463" t="s">
        <v>2505</v>
      </c>
      <c r="C18" s="3463"/>
      <c r="D18" s="2472"/>
      <c r="E18" s="2472"/>
      <c r="F18" s="2473"/>
      <c r="G18" s="2474"/>
      <c r="H18" s="2484"/>
      <c r="I18" s="2485">
        <f>ROUND(D18*E18*F18*G18/10000,0)</f>
        <v>0</v>
      </c>
    </row>
    <row r="19" spans="1:9" ht="15.6">
      <c r="A19" s="3462"/>
      <c r="B19" s="3463" t="s">
        <v>2506</v>
      </c>
      <c r="C19" s="3463"/>
      <c r="D19" s="2472"/>
      <c r="E19" s="2472"/>
      <c r="F19" s="2473"/>
      <c r="G19" s="2474"/>
      <c r="H19" s="2484"/>
      <c r="I19" s="2485">
        <f>ROUND(D19*E19*F19*G19/10000,0)</f>
        <v>0</v>
      </c>
    </row>
    <row r="20" spans="1:9">
      <c r="A20" s="3462"/>
      <c r="B20" s="3464" t="s">
        <v>2487</v>
      </c>
      <c r="C20" s="3464"/>
      <c r="D20" s="2476">
        <f>SUM(D17:D19)</f>
        <v>0</v>
      </c>
      <c r="E20" s="2476"/>
      <c r="F20" s="2477"/>
      <c r="G20" s="2474"/>
      <c r="H20" s="2481"/>
      <c r="I20" s="2482">
        <f>SUM(I17:I19)</f>
        <v>0</v>
      </c>
    </row>
    <row r="21" spans="1:9">
      <c r="A21" s="3462" t="s">
        <v>2507</v>
      </c>
      <c r="B21" s="3466"/>
      <c r="C21" s="3466"/>
      <c r="D21" s="3466"/>
      <c r="E21" s="3466"/>
      <c r="F21" s="3466"/>
      <c r="G21" s="3466"/>
      <c r="H21" s="2486">
        <v>0.1</v>
      </c>
      <c r="I21" s="2479">
        <f>ROUND(I10*H21,0)</f>
        <v>0</v>
      </c>
    </row>
    <row r="22" spans="1:9" ht="15.6">
      <c r="A22" s="3467" t="s">
        <v>2508</v>
      </c>
      <c r="B22" s="3468"/>
      <c r="C22" s="3469"/>
      <c r="D22" s="2487" t="s">
        <v>2509</v>
      </c>
      <c r="E22" s="2487" t="s">
        <v>2510</v>
      </c>
      <c r="F22" s="2488" t="s">
        <v>2511</v>
      </c>
      <c r="G22" s="2488" t="s">
        <v>2512</v>
      </c>
      <c r="H22" s="2480" t="s">
        <v>2513</v>
      </c>
      <c r="I22" s="2471" t="s">
        <v>2514</v>
      </c>
    </row>
    <row r="23" spans="1:9" ht="15" thickBot="1">
      <c r="A23" s="3470"/>
      <c r="B23" s="3471"/>
      <c r="C23" s="3472"/>
      <c r="D23" s="2489"/>
      <c r="E23" s="2489"/>
      <c r="F23" s="2489"/>
      <c r="G23" s="2490"/>
      <c r="H23" s="2491"/>
      <c r="I23" s="2492">
        <f>ROUND(E23*D23*F23*(1-G23)/10000,0)</f>
        <v>0</v>
      </c>
    </row>
    <row r="26" spans="1:9">
      <c r="A26" s="2493" t="s">
        <v>2515</v>
      </c>
      <c r="B26" s="2493"/>
      <c r="C26" s="2493"/>
      <c r="D26" s="2493"/>
      <c r="E26" s="3473">
        <f>C27-C30-C31-C32</f>
        <v>0</v>
      </c>
      <c r="F26" s="3473"/>
      <c r="G26" s="3473"/>
      <c r="H26" s="2992" t="s">
        <v>2843</v>
      </c>
    </row>
    <row r="27" spans="1:9">
      <c r="A27" s="2494">
        <v>1</v>
      </c>
      <c r="B27" s="2495" t="s">
        <v>2516</v>
      </c>
      <c r="C27" s="2495"/>
      <c r="D27" s="2495"/>
      <c r="E27" s="3474"/>
      <c r="F27" s="3474"/>
      <c r="G27" s="3474"/>
    </row>
    <row r="28" spans="1:9">
      <c r="A28" s="2496" t="s">
        <v>2517</v>
      </c>
      <c r="B28" s="2495" t="s">
        <v>2518</v>
      </c>
      <c r="C28" s="2495"/>
      <c r="D28" s="2495"/>
      <c r="E28" s="3474"/>
      <c r="F28" s="3474"/>
      <c r="G28" s="3474"/>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65"/>
      <c r="F32" s="3465"/>
      <c r="G32" s="3465"/>
    </row>
    <row r="33" spans="1:7" hidden="1">
      <c r="A33" s="3475" t="s">
        <v>2526</v>
      </c>
      <c r="B33" s="3476"/>
      <c r="C33" s="3476"/>
      <c r="D33" s="3477"/>
      <c r="E33" s="3473"/>
      <c r="F33" s="3473"/>
      <c r="G33" s="3473"/>
    </row>
    <row r="34" spans="1:7" hidden="1">
      <c r="A34" s="2498">
        <v>1</v>
      </c>
      <c r="B34" s="2495" t="s">
        <v>2527</v>
      </c>
      <c r="C34" s="2495"/>
      <c r="D34" s="2495"/>
      <c r="E34" s="3474"/>
      <c r="F34" s="3474"/>
      <c r="G34" s="3474"/>
    </row>
    <row r="35" spans="1:7" hidden="1">
      <c r="A35" s="2498">
        <v>2</v>
      </c>
      <c r="B35" s="2495" t="s">
        <v>2528</v>
      </c>
      <c r="C35" s="2495"/>
      <c r="D35" s="2495"/>
      <c r="E35" s="3474"/>
      <c r="F35" s="3474"/>
      <c r="G35" s="3474"/>
    </row>
    <row r="36" spans="1:7" hidden="1">
      <c r="A36" s="2498">
        <v>3</v>
      </c>
      <c r="B36" s="2495" t="s">
        <v>2529</v>
      </c>
      <c r="C36" s="2495"/>
      <c r="D36" s="2495"/>
      <c r="E36" s="3474"/>
      <c r="F36" s="3474"/>
      <c r="G36" s="3474"/>
    </row>
    <row r="37" spans="1:7" hidden="1">
      <c r="A37" s="2498">
        <v>4</v>
      </c>
      <c r="B37" s="2495" t="s">
        <v>2530</v>
      </c>
      <c r="C37" s="2495"/>
      <c r="D37" s="2495"/>
      <c r="E37" s="3474"/>
      <c r="F37" s="3474"/>
      <c r="G37" s="3474"/>
    </row>
    <row r="38" spans="1:7" hidden="1">
      <c r="A38" s="3475" t="s">
        <v>2531</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205689</v>
      </c>
      <c r="E10" s="749">
        <f>'数据-取费表'!B31</f>
        <v>200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3240</v>
      </c>
      <c r="D12" s="758">
        <f>'数据-汇总表'!E5</f>
        <v>135005</v>
      </c>
      <c r="E12" s="757">
        <f>'数据-取费表'!B27</f>
        <v>240</v>
      </c>
      <c r="F12" s="755"/>
      <c r="G12" s="759"/>
    </row>
    <row r="13" spans="1:25" s="2167" customFormat="1" ht="13.5" customHeight="1">
      <c r="A13" s="2439" t="s">
        <v>2447</v>
      </c>
      <c r="B13" s="756" t="s">
        <v>612</v>
      </c>
      <c r="C13" s="757">
        <f>ROUND(D13*E13/10000,0)</f>
        <v>1696</v>
      </c>
      <c r="D13" s="758">
        <f>'数据-汇总表'!E6</f>
        <v>70684</v>
      </c>
      <c r="E13" s="757">
        <f>'数据-取费表'!B28</f>
        <v>240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0.13</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0.90900000000000003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L37" sqref="L37"/>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3026</v>
      </c>
      <c r="E1" s="2589"/>
      <c r="F1" s="2761" t="s">
        <v>3022</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12827</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67" t="s">
        <v>522</v>
      </c>
      <c r="D4" s="3368"/>
      <c r="E4" s="3402" t="s">
        <v>523</v>
      </c>
      <c r="F4" s="3403"/>
      <c r="G4" s="3367" t="s">
        <v>524</v>
      </c>
      <c r="H4" s="3368"/>
      <c r="I4" s="3367" t="s">
        <v>525</v>
      </c>
      <c r="J4" s="3368"/>
      <c r="K4" s="853" t="s">
        <v>526</v>
      </c>
      <c r="L4" s="2117"/>
      <c r="M4" s="2118"/>
      <c r="N4" s="2118"/>
      <c r="O4" s="2118"/>
      <c r="P4" s="3369" t="s">
        <v>527</v>
      </c>
      <c r="Q4" s="3370"/>
      <c r="R4" s="3375" t="s">
        <v>523</v>
      </c>
      <c r="S4" s="3376"/>
      <c r="T4" s="3375" t="s">
        <v>524</v>
      </c>
      <c r="U4" s="3376"/>
      <c r="V4" s="3362" t="s">
        <v>525</v>
      </c>
      <c r="W4" s="3362"/>
      <c r="X4" s="3178"/>
      <c r="Y4" s="3375" t="s">
        <v>527</v>
      </c>
      <c r="Z4" s="3376"/>
      <c r="AA4" s="3364" t="s">
        <v>523</v>
      </c>
      <c r="AB4" s="3364" t="s">
        <v>524</v>
      </c>
      <c r="AC4" s="3364" t="s">
        <v>525</v>
      </c>
    </row>
    <row r="5" spans="1:29">
      <c r="A5" s="515"/>
      <c r="B5" s="516"/>
      <c r="C5" s="3478" t="s">
        <v>3023</v>
      </c>
      <c r="D5" s="3384"/>
      <c r="E5" s="3479" t="s">
        <v>3083</v>
      </c>
      <c r="F5" s="3405"/>
      <c r="G5" s="3478" t="s">
        <v>3084</v>
      </c>
      <c r="H5" s="3384"/>
      <c r="I5" s="3478" t="s">
        <v>3088</v>
      </c>
      <c r="J5" s="3384"/>
      <c r="K5" s="854"/>
      <c r="L5" s="2117"/>
      <c r="M5" s="2118"/>
      <c r="N5" s="2118"/>
      <c r="O5" s="2118"/>
      <c r="P5" s="3371"/>
      <c r="Q5" s="3372"/>
      <c r="R5" s="3377"/>
      <c r="S5" s="3378"/>
      <c r="T5" s="3377"/>
      <c r="U5" s="3378"/>
      <c r="V5" s="3362"/>
      <c r="W5" s="3362"/>
      <c r="X5" s="3178"/>
      <c r="Y5" s="3377"/>
      <c r="Z5" s="3378"/>
      <c r="AA5" s="3365"/>
      <c r="AB5" s="3365"/>
      <c r="AC5" s="3365"/>
    </row>
    <row r="6" spans="1:29" ht="15" thickBot="1">
      <c r="A6" s="517"/>
      <c r="B6" s="518"/>
      <c r="C6" s="3480" t="s">
        <v>3024</v>
      </c>
      <c r="D6" s="3399"/>
      <c r="E6" s="3480" t="s">
        <v>3024</v>
      </c>
      <c r="F6" s="3399"/>
      <c r="G6" s="3480" t="s">
        <v>3024</v>
      </c>
      <c r="H6" s="3399"/>
      <c r="I6" s="3480" t="s">
        <v>3024</v>
      </c>
      <c r="J6" s="3399"/>
      <c r="K6" s="854" t="s">
        <v>528</v>
      </c>
      <c r="L6" s="2117"/>
      <c r="M6" s="2118"/>
      <c r="N6" s="2118"/>
      <c r="O6" s="2118"/>
      <c r="P6" s="3373"/>
      <c r="Q6" s="3374"/>
      <c r="R6" s="3377"/>
      <c r="S6" s="3378"/>
      <c r="T6" s="3379"/>
      <c r="U6" s="3380"/>
      <c r="V6" s="3362"/>
      <c r="W6" s="3362"/>
      <c r="X6" s="3178"/>
      <c r="Y6" s="3379"/>
      <c r="Z6" s="3380"/>
      <c r="AA6" s="3366"/>
      <c r="AB6" s="3366"/>
      <c r="AC6" s="3366"/>
    </row>
    <row r="7" spans="1:29" s="1215" customFormat="1" ht="15" thickBot="1">
      <c r="A7" s="2866"/>
      <c r="B7" s="2873" t="s">
        <v>529</v>
      </c>
      <c r="C7" s="519">
        <f>'数据-取费表'!B2</f>
        <v>43776</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91" t="s">
        <v>530</v>
      </c>
      <c r="Q7" s="3393"/>
      <c r="R7" s="1553" t="s">
        <v>8</v>
      </c>
      <c r="S7" s="1554">
        <f t="shared" ref="S7:S15" si="0">F7</f>
        <v>100</v>
      </c>
      <c r="T7" s="1553" t="s">
        <v>8</v>
      </c>
      <c r="U7" s="1554">
        <f t="shared" ref="U7:U15" si="1">H7</f>
        <v>100</v>
      </c>
      <c r="V7" s="1553" t="s">
        <v>8</v>
      </c>
      <c r="W7" s="1554">
        <f t="shared" ref="W7:W15" si="2">J7</f>
        <v>100</v>
      </c>
      <c r="X7" s="1555"/>
      <c r="Y7" s="3391" t="s">
        <v>530</v>
      </c>
      <c r="Z7" s="3392"/>
      <c r="AA7" s="1556">
        <f>D7/F7</f>
        <v>1</v>
      </c>
      <c r="AB7" s="1556">
        <f>D7/H7</f>
        <v>1</v>
      </c>
      <c r="AC7" s="1556">
        <f>D7/J7</f>
        <v>1</v>
      </c>
    </row>
    <row r="8" spans="1:29" s="1215" customFormat="1" ht="15" thickBot="1">
      <c r="A8" s="2867"/>
      <c r="B8" s="2874" t="s">
        <v>531</v>
      </c>
      <c r="C8" s="525" t="s">
        <v>576</v>
      </c>
      <c r="D8" s="520">
        <v>100</v>
      </c>
      <c r="E8" s="856" t="s">
        <v>3082</v>
      </c>
      <c r="F8" s="522">
        <f>SUMIF(61:61,E8,62:62)-SUMIF(61:61,C8,62:62)+100</f>
        <v>100</v>
      </c>
      <c r="G8" s="856" t="s">
        <v>3082</v>
      </c>
      <c r="H8" s="520">
        <f>SUMIF(61:61,G8,62:62)-SUMIF(61:61,C8,62:62)+100</f>
        <v>100</v>
      </c>
      <c r="I8" s="856" t="s">
        <v>3082</v>
      </c>
      <c r="J8" s="520">
        <f>SUMIF(61:61,I8,62:62)-SUMIF(61:61,C8,62:62)+100</f>
        <v>100</v>
      </c>
      <c r="K8" s="855"/>
      <c r="L8" s="2119"/>
      <c r="M8" s="2120"/>
      <c r="N8" s="2120"/>
      <c r="O8" s="2120"/>
      <c r="P8" s="3391" t="s">
        <v>533</v>
      </c>
      <c r="Q8" s="3392"/>
      <c r="R8" s="1553" t="s">
        <v>8</v>
      </c>
      <c r="S8" s="1554">
        <f t="shared" si="0"/>
        <v>100</v>
      </c>
      <c r="T8" s="1553" t="s">
        <v>8</v>
      </c>
      <c r="U8" s="1554">
        <f t="shared" si="1"/>
        <v>100</v>
      </c>
      <c r="V8" s="1553" t="s">
        <v>8</v>
      </c>
      <c r="W8" s="1554">
        <f t="shared" si="2"/>
        <v>100</v>
      </c>
      <c r="X8" s="1555"/>
      <c r="Y8" s="3391" t="s">
        <v>533</v>
      </c>
      <c r="Z8" s="3392"/>
      <c r="AA8" s="1556">
        <f t="shared" ref="AA8:AA46" si="3">D8/F8</f>
        <v>1</v>
      </c>
      <c r="AB8" s="1556">
        <f t="shared" ref="AB8:AB46" si="4">D8/H8</f>
        <v>1</v>
      </c>
      <c r="AC8" s="1556">
        <f t="shared" ref="AC8:AC46" si="5">D8/J8</f>
        <v>1</v>
      </c>
    </row>
    <row r="9" spans="1:29" s="1215" customFormat="1" ht="14.4">
      <c r="A9" s="2868"/>
      <c r="B9" s="2875" t="s">
        <v>2756</v>
      </c>
      <c r="C9" s="3192" t="s">
        <v>3066</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61" t="s">
        <v>535</v>
      </c>
      <c r="Q9" s="3177" t="str">
        <f t="shared" ref="Q9:Q15" si="6">B9</f>
        <v>用途</v>
      </c>
      <c r="R9" s="1553" t="s">
        <v>8</v>
      </c>
      <c r="S9" s="1554">
        <f t="shared" si="0"/>
        <v>100</v>
      </c>
      <c r="T9" s="1553" t="s">
        <v>8</v>
      </c>
      <c r="U9" s="1554">
        <f t="shared" si="1"/>
        <v>100</v>
      </c>
      <c r="V9" s="1553" t="s">
        <v>8</v>
      </c>
      <c r="W9" s="1554">
        <f t="shared" si="2"/>
        <v>100</v>
      </c>
      <c r="X9" s="1555"/>
      <c r="Y9" s="3307" t="s">
        <v>536</v>
      </c>
      <c r="Z9" s="3176" t="str">
        <f t="shared" ref="Z9:Z15" si="7">Q9</f>
        <v>用途</v>
      </c>
      <c r="AA9" s="1556">
        <f t="shared" si="3"/>
        <v>1</v>
      </c>
      <c r="AB9" s="1556">
        <f t="shared" si="4"/>
        <v>1</v>
      </c>
      <c r="AC9" s="1556">
        <f t="shared" si="5"/>
        <v>1</v>
      </c>
    </row>
    <row r="10" spans="1:29" s="1333" customFormat="1" ht="28.8">
      <c r="A10" s="2869"/>
      <c r="B10" s="2874" t="s">
        <v>2757</v>
      </c>
      <c r="C10" s="861" t="s">
        <v>3067</v>
      </c>
      <c r="D10" s="255">
        <v>100</v>
      </c>
      <c r="E10" s="861" t="s">
        <v>3067</v>
      </c>
      <c r="F10" s="863">
        <f>SUMIF(65:65,E10,66:66)-SUMIF(65:65,C10,66:66)+100</f>
        <v>100</v>
      </c>
      <c r="G10" s="861" t="s">
        <v>3067</v>
      </c>
      <c r="H10" s="255">
        <f>SUMIF(65:65,G10,66:66)-SUMIF(65:65,C10,66:66)+100</f>
        <v>100</v>
      </c>
      <c r="I10" s="861" t="s">
        <v>3067</v>
      </c>
      <c r="J10" s="255">
        <f>SUMIF(65:65,I10,66:66)-SUMIF(65:65,C10,66:66)+100</f>
        <v>100</v>
      </c>
      <c r="K10" s="864">
        <v>1</v>
      </c>
      <c r="L10" s="2122"/>
      <c r="M10" s="2162"/>
      <c r="N10" s="2162"/>
      <c r="O10" s="2123"/>
      <c r="P10" s="3361"/>
      <c r="Q10" s="3177" t="str">
        <f t="shared" si="6"/>
        <v>土地使用年限（年）</v>
      </c>
      <c r="R10" s="1553" t="s">
        <v>8</v>
      </c>
      <c r="S10" s="1554">
        <f t="shared" si="0"/>
        <v>100</v>
      </c>
      <c r="T10" s="1553" t="s">
        <v>8</v>
      </c>
      <c r="U10" s="1554">
        <f t="shared" si="1"/>
        <v>100</v>
      </c>
      <c r="V10" s="1553" t="s">
        <v>8</v>
      </c>
      <c r="W10" s="1554">
        <f t="shared" si="2"/>
        <v>100</v>
      </c>
      <c r="X10" s="1555"/>
      <c r="Y10" s="3307"/>
      <c r="Z10" s="3176" t="str">
        <f t="shared" si="7"/>
        <v>土地使用年限（年）</v>
      </c>
      <c r="AA10" s="1556">
        <f t="shared" si="3"/>
        <v>1</v>
      </c>
      <c r="AB10" s="1556">
        <f t="shared" si="4"/>
        <v>1</v>
      </c>
      <c r="AC10" s="1556">
        <f t="shared" si="5"/>
        <v>1</v>
      </c>
    </row>
    <row r="11" spans="1:29" ht="15.6" thickBot="1">
      <c r="A11" s="2870"/>
      <c r="B11" s="2874" t="s">
        <v>2758</v>
      </c>
      <c r="C11" s="533">
        <f>'比较法-住宅、综合'!C13</f>
        <v>3.66</v>
      </c>
      <c r="D11" s="255">
        <v>100</v>
      </c>
      <c r="E11" s="534">
        <v>1.7</v>
      </c>
      <c r="F11" s="863">
        <f>LOOKUP(E11,68:68,69:69)-LOOKUP(C11,68:68,69:69)+100</f>
        <v>102</v>
      </c>
      <c r="G11" s="533">
        <v>1.7</v>
      </c>
      <c r="H11" s="255">
        <f>LOOKUP(G11,68:68,69:69)-LOOKUP(C11,68:68,69:69)+100</f>
        <v>102</v>
      </c>
      <c r="I11" s="533">
        <v>1.4</v>
      </c>
      <c r="J11" s="255">
        <f>LOOKUP(I11,68:68,69:69)-LOOKUP(C11,68:68,69:69)+100</f>
        <v>104</v>
      </c>
      <c r="K11" s="864">
        <f>'比较法-住宅、综合'!K13</f>
        <v>2</v>
      </c>
      <c r="L11" s="2124"/>
      <c r="M11" s="2118"/>
      <c r="N11" s="2118"/>
      <c r="O11" s="2125"/>
      <c r="P11" s="3361"/>
      <c r="Q11" s="3177" t="str">
        <f t="shared" si="6"/>
        <v>容积率</v>
      </c>
      <c r="R11" s="1553" t="s">
        <v>8</v>
      </c>
      <c r="S11" s="1554">
        <f t="shared" si="0"/>
        <v>102</v>
      </c>
      <c r="T11" s="1553" t="s">
        <v>8</v>
      </c>
      <c r="U11" s="1554">
        <f t="shared" si="1"/>
        <v>102</v>
      </c>
      <c r="V11" s="1553" t="s">
        <v>8</v>
      </c>
      <c r="W11" s="1554">
        <f t="shared" si="2"/>
        <v>104</v>
      </c>
      <c r="X11" s="1555"/>
      <c r="Y11" s="3307"/>
      <c r="Z11" s="3176" t="str">
        <f t="shared" si="7"/>
        <v>容积率</v>
      </c>
      <c r="AA11" s="1556">
        <f t="shared" si="3"/>
        <v>0.98039215686274506</v>
      </c>
      <c r="AB11" s="1556">
        <f t="shared" si="4"/>
        <v>0.98039215686274506</v>
      </c>
      <c r="AC11" s="1556">
        <f t="shared" si="5"/>
        <v>0.96153846153846156</v>
      </c>
    </row>
    <row r="12" spans="1:29" s="1215"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1"/>
      <c r="Q12" s="3177">
        <f t="shared" si="6"/>
        <v>111</v>
      </c>
      <c r="R12" s="1553" t="s">
        <v>8</v>
      </c>
      <c r="S12" s="1554">
        <f t="shared" si="0"/>
        <v>100</v>
      </c>
      <c r="T12" s="1553" t="s">
        <v>8</v>
      </c>
      <c r="U12" s="1554">
        <f t="shared" si="1"/>
        <v>100</v>
      </c>
      <c r="V12" s="1553" t="s">
        <v>8</v>
      </c>
      <c r="W12" s="1554">
        <f t="shared" si="2"/>
        <v>100</v>
      </c>
      <c r="X12" s="1555"/>
      <c r="Y12" s="3307"/>
      <c r="Z12" s="3176">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1"/>
      <c r="Q13" s="3177">
        <f t="shared" si="6"/>
        <v>111</v>
      </c>
      <c r="R13" s="1553" t="s">
        <v>8</v>
      </c>
      <c r="S13" s="1554">
        <f t="shared" si="0"/>
        <v>100</v>
      </c>
      <c r="T13" s="1553" t="s">
        <v>8</v>
      </c>
      <c r="U13" s="1554">
        <f t="shared" si="1"/>
        <v>100</v>
      </c>
      <c r="V13" s="1553" t="s">
        <v>8</v>
      </c>
      <c r="W13" s="1554">
        <f t="shared" si="2"/>
        <v>100</v>
      </c>
      <c r="X13" s="1555"/>
      <c r="Y13" s="3307"/>
      <c r="Z13" s="317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1"/>
      <c r="Q14" s="3177">
        <f t="shared" si="6"/>
        <v>111</v>
      </c>
      <c r="R14" s="1553" t="s">
        <v>8</v>
      </c>
      <c r="S14" s="1554">
        <f t="shared" si="0"/>
        <v>100</v>
      </c>
      <c r="T14" s="1553" t="s">
        <v>8</v>
      </c>
      <c r="U14" s="1554">
        <f t="shared" si="1"/>
        <v>100</v>
      </c>
      <c r="V14" s="1553" t="s">
        <v>8</v>
      </c>
      <c r="W14" s="1554">
        <f t="shared" si="2"/>
        <v>100</v>
      </c>
      <c r="X14" s="1555"/>
      <c r="Y14" s="3307"/>
      <c r="Z14" s="3176">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98</v>
      </c>
      <c r="K15" s="868">
        <v>2</v>
      </c>
      <c r="L15" s="2126"/>
      <c r="M15" s="2118"/>
      <c r="N15" s="2118"/>
      <c r="O15" s="2125"/>
      <c r="P15" s="3394" t="s">
        <v>540</v>
      </c>
      <c r="Q15" s="3179" t="str">
        <f t="shared" si="6"/>
        <v>居住社区成熟度</v>
      </c>
      <c r="R15" s="1558" t="s">
        <v>8</v>
      </c>
      <c r="S15" s="1559">
        <f t="shared" si="0"/>
        <v>98</v>
      </c>
      <c r="T15" s="1558" t="s">
        <v>8</v>
      </c>
      <c r="U15" s="1559">
        <f t="shared" si="1"/>
        <v>98</v>
      </c>
      <c r="V15" s="1558" t="s">
        <v>8</v>
      </c>
      <c r="W15" s="1559">
        <f t="shared" si="2"/>
        <v>98</v>
      </c>
      <c r="X15" s="3178"/>
      <c r="Y15" s="3394" t="s">
        <v>540</v>
      </c>
      <c r="Z15" s="3180" t="str">
        <f t="shared" si="7"/>
        <v>居住社区成熟度</v>
      </c>
      <c r="AA15" s="3181">
        <f t="shared" si="3"/>
        <v>1.0204081632653061</v>
      </c>
      <c r="AB15" s="3181">
        <f t="shared" si="4"/>
        <v>1.0204081632653061</v>
      </c>
      <c r="AC15" s="3181">
        <f t="shared" si="5"/>
        <v>1.0204081632653061</v>
      </c>
    </row>
    <row r="16" spans="1:29" ht="15">
      <c r="A16" s="532"/>
      <c r="B16" s="869"/>
      <c r="C16" s="576" t="s">
        <v>3030</v>
      </c>
      <c r="D16" s="555"/>
      <c r="E16" s="576" t="s">
        <v>3032</v>
      </c>
      <c r="F16" s="557"/>
      <c r="G16" s="576" t="s">
        <v>3032</v>
      </c>
      <c r="H16" s="559"/>
      <c r="I16" s="576" t="s">
        <v>3032</v>
      </c>
      <c r="J16" s="555"/>
      <c r="K16" s="870"/>
      <c r="L16" s="2126"/>
      <c r="M16" s="2118"/>
      <c r="N16" s="2118"/>
      <c r="O16" s="2125"/>
      <c r="P16" s="3395"/>
      <c r="Q16" s="3179"/>
      <c r="R16" s="1558"/>
      <c r="S16" s="1559"/>
      <c r="T16" s="1558"/>
      <c r="U16" s="1559"/>
      <c r="V16" s="1558"/>
      <c r="W16" s="1559"/>
      <c r="X16" s="3178"/>
      <c r="Y16" s="3395"/>
      <c r="Z16" s="3180"/>
      <c r="AA16" s="3181">
        <v>1</v>
      </c>
      <c r="AB16" s="3181">
        <v>1</v>
      </c>
      <c r="AC16" s="318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95"/>
      <c r="Q17" s="3179" t="str">
        <f>B17</f>
        <v>交通便捷度</v>
      </c>
      <c r="R17" s="1558" t="s">
        <v>8</v>
      </c>
      <c r="S17" s="1559">
        <f>F17</f>
        <v>98</v>
      </c>
      <c r="T17" s="1558" t="s">
        <v>8</v>
      </c>
      <c r="U17" s="1559">
        <f>H17</f>
        <v>98</v>
      </c>
      <c r="V17" s="1558" t="s">
        <v>8</v>
      </c>
      <c r="W17" s="1559">
        <f>J17</f>
        <v>98</v>
      </c>
      <c r="X17" s="3178"/>
      <c r="Y17" s="3395"/>
      <c r="Z17" s="3180" t="str">
        <f>Q17</f>
        <v>交通便捷度</v>
      </c>
      <c r="AA17" s="3181">
        <f t="shared" si="3"/>
        <v>1.0204081632653061</v>
      </c>
      <c r="AB17" s="3181">
        <f t="shared" si="4"/>
        <v>1.0204081632653061</v>
      </c>
      <c r="AC17" s="3181">
        <f t="shared" si="5"/>
        <v>1.0204081632653061</v>
      </c>
    </row>
    <row r="18" spans="1:29" ht="15">
      <c r="A18" s="532"/>
      <c r="B18" s="595"/>
      <c r="C18" s="873" t="s">
        <v>3030</v>
      </c>
      <c r="D18" s="559"/>
      <c r="E18" s="576" t="s">
        <v>3032</v>
      </c>
      <c r="F18" s="563"/>
      <c r="G18" s="576" t="s">
        <v>3032</v>
      </c>
      <c r="H18" s="555"/>
      <c r="I18" s="576" t="s">
        <v>3032</v>
      </c>
      <c r="J18" s="555"/>
      <c r="K18" s="870"/>
      <c r="L18" s="2126"/>
      <c r="M18" s="2118"/>
      <c r="N18" s="2118"/>
      <c r="O18" s="2125"/>
      <c r="P18" s="3395"/>
      <c r="Q18" s="3179"/>
      <c r="R18" s="1558"/>
      <c r="S18" s="1559"/>
      <c r="T18" s="1558"/>
      <c r="U18" s="1559"/>
      <c r="V18" s="1558"/>
      <c r="W18" s="1559"/>
      <c r="X18" s="3178"/>
      <c r="Y18" s="3395"/>
      <c r="Z18" s="3180"/>
      <c r="AA18" s="3181">
        <v>1</v>
      </c>
      <c r="AB18" s="3181">
        <v>1</v>
      </c>
      <c r="AC18" s="318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99</v>
      </c>
      <c r="K19" s="868">
        <v>1</v>
      </c>
      <c r="L19" s="2126"/>
      <c r="M19" s="2118"/>
      <c r="N19" s="2118"/>
      <c r="O19" s="2125"/>
      <c r="P19" s="3395"/>
      <c r="Q19" s="3179" t="str">
        <f>B19</f>
        <v>公共配套设施</v>
      </c>
      <c r="R19" s="1558" t="s">
        <v>8</v>
      </c>
      <c r="S19" s="1559">
        <f>F19</f>
        <v>99</v>
      </c>
      <c r="T19" s="1558" t="s">
        <v>8</v>
      </c>
      <c r="U19" s="1559">
        <f>H19</f>
        <v>99</v>
      </c>
      <c r="V19" s="1558" t="s">
        <v>8</v>
      </c>
      <c r="W19" s="1559">
        <f>J19</f>
        <v>99</v>
      </c>
      <c r="X19" s="3178"/>
      <c r="Y19" s="3395"/>
      <c r="Z19" s="3180" t="str">
        <f>Q19</f>
        <v>公共配套设施</v>
      </c>
      <c r="AA19" s="3181">
        <f t="shared" si="3"/>
        <v>1.0101010101010102</v>
      </c>
      <c r="AB19" s="3181">
        <f t="shared" si="4"/>
        <v>1.0101010101010102</v>
      </c>
      <c r="AC19" s="3181">
        <f t="shared" si="5"/>
        <v>1.0101010101010102</v>
      </c>
    </row>
    <row r="20" spans="1:29" ht="15">
      <c r="A20" s="532"/>
      <c r="B20" s="595"/>
      <c r="C20" s="576" t="s">
        <v>3030</v>
      </c>
      <c r="D20" s="555"/>
      <c r="E20" s="576" t="s">
        <v>3032</v>
      </c>
      <c r="F20" s="557"/>
      <c r="G20" s="576" t="s">
        <v>3032</v>
      </c>
      <c r="H20" s="555"/>
      <c r="I20" s="576" t="s">
        <v>3032</v>
      </c>
      <c r="J20" s="555"/>
      <c r="K20" s="870"/>
      <c r="L20" s="2126"/>
      <c r="M20" s="2118"/>
      <c r="N20" s="2118"/>
      <c r="O20" s="2125"/>
      <c r="P20" s="3395"/>
      <c r="Q20" s="3179"/>
      <c r="R20" s="1558"/>
      <c r="S20" s="1559"/>
      <c r="T20" s="1558"/>
      <c r="U20" s="1559"/>
      <c r="V20" s="1558"/>
      <c r="W20" s="1559"/>
      <c r="X20" s="3178"/>
      <c r="Y20" s="3395"/>
      <c r="Z20" s="3180"/>
      <c r="AA20" s="3181">
        <v>1</v>
      </c>
      <c r="AB20" s="3181">
        <v>1</v>
      </c>
      <c r="AC20" s="3181">
        <v>1</v>
      </c>
    </row>
    <row r="21" spans="1:29" ht="15">
      <c r="A21" s="532"/>
      <c r="B21" s="2556"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5"/>
      <c r="Q21" s="3179" t="str">
        <f>B21</f>
        <v>基础设施水平</v>
      </c>
      <c r="R21" s="1558" t="s">
        <v>8</v>
      </c>
      <c r="S21" s="1559">
        <f>F21</f>
        <v>100</v>
      </c>
      <c r="T21" s="1558" t="s">
        <v>8</v>
      </c>
      <c r="U21" s="1559">
        <f>H21</f>
        <v>100</v>
      </c>
      <c r="V21" s="1558" t="s">
        <v>8</v>
      </c>
      <c r="W21" s="1559">
        <f>J21</f>
        <v>100</v>
      </c>
      <c r="X21" s="3178"/>
      <c r="Y21" s="3395"/>
      <c r="Z21" s="3180" t="str">
        <f>Q21</f>
        <v>基础设施水平</v>
      </c>
      <c r="AA21" s="3181">
        <f t="shared" ref="AA21" si="8">D21/F21</f>
        <v>1</v>
      </c>
      <c r="AB21" s="3181">
        <f t="shared" ref="AB21" si="9">D21/H21</f>
        <v>1</v>
      </c>
      <c r="AC21" s="3181">
        <f t="shared" ref="AC21" si="10">D21/J21</f>
        <v>1</v>
      </c>
    </row>
    <row r="22" spans="1:29" ht="15">
      <c r="A22" s="532"/>
      <c r="B22" s="921"/>
      <c r="C22" s="873" t="s">
        <v>3036</v>
      </c>
      <c r="D22" s="555"/>
      <c r="E22" s="873" t="s">
        <v>3036</v>
      </c>
      <c r="F22" s="557"/>
      <c r="G22" s="873" t="s">
        <v>3036</v>
      </c>
      <c r="H22" s="555"/>
      <c r="I22" s="873" t="s">
        <v>3036</v>
      </c>
      <c r="J22" s="555"/>
      <c r="K22" s="2562"/>
      <c r="L22" s="2126"/>
      <c r="M22" s="2118"/>
      <c r="N22" s="2118"/>
      <c r="O22" s="2125"/>
      <c r="P22" s="3395"/>
      <c r="Q22" s="3179"/>
      <c r="R22" s="1558"/>
      <c r="S22" s="1559"/>
      <c r="T22" s="1558"/>
      <c r="U22" s="1559"/>
      <c r="V22" s="1558"/>
      <c r="W22" s="1559"/>
      <c r="X22" s="3178"/>
      <c r="Y22" s="3395"/>
      <c r="Z22" s="3180"/>
      <c r="AA22" s="3181">
        <v>1</v>
      </c>
      <c r="AB22" s="3181">
        <v>1</v>
      </c>
      <c r="AC22" s="318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5"/>
      <c r="Q23" s="3179" t="str">
        <f>B23</f>
        <v>自然及人文环境</v>
      </c>
      <c r="R23" s="1558" t="s">
        <v>8</v>
      </c>
      <c r="S23" s="1559">
        <f>F23</f>
        <v>100</v>
      </c>
      <c r="T23" s="1558" t="s">
        <v>8</v>
      </c>
      <c r="U23" s="1559">
        <f>H23</f>
        <v>100</v>
      </c>
      <c r="V23" s="1558" t="s">
        <v>8</v>
      </c>
      <c r="W23" s="1559">
        <f>J23</f>
        <v>100</v>
      </c>
      <c r="X23" s="3178"/>
      <c r="Y23" s="3395"/>
      <c r="Z23" s="3180" t="str">
        <f>Q23</f>
        <v>自然及人文环境</v>
      </c>
      <c r="AA23" s="3181">
        <f t="shared" si="3"/>
        <v>1</v>
      </c>
      <c r="AB23" s="3181">
        <f t="shared" si="4"/>
        <v>1</v>
      </c>
      <c r="AC23" s="3181">
        <f t="shared" si="5"/>
        <v>1</v>
      </c>
    </row>
    <row r="24" spans="1:29" ht="15.6" thickBot="1">
      <c r="A24" s="532"/>
      <c r="B24" s="595"/>
      <c r="C24" s="576" t="s">
        <v>3030</v>
      </c>
      <c r="D24" s="555"/>
      <c r="E24" s="576" t="s">
        <v>3030</v>
      </c>
      <c r="F24" s="557"/>
      <c r="G24" s="576" t="s">
        <v>3030</v>
      </c>
      <c r="H24" s="555"/>
      <c r="I24" s="576" t="s">
        <v>3030</v>
      </c>
      <c r="J24" s="555"/>
      <c r="K24" s="870"/>
      <c r="L24" s="2126"/>
      <c r="M24" s="2118"/>
      <c r="N24" s="2118"/>
      <c r="O24" s="2125"/>
      <c r="P24" s="3395"/>
      <c r="Q24" s="3179"/>
      <c r="R24" s="1558"/>
      <c r="S24" s="1559"/>
      <c r="T24" s="1558"/>
      <c r="U24" s="1559"/>
      <c r="V24" s="1558"/>
      <c r="W24" s="1559"/>
      <c r="X24" s="3178"/>
      <c r="Y24" s="3395"/>
      <c r="Z24" s="3180"/>
      <c r="AA24" s="3181">
        <v>1</v>
      </c>
      <c r="AB24" s="3181">
        <v>1</v>
      </c>
      <c r="AC24" s="3181">
        <v>1</v>
      </c>
    </row>
    <row r="25" spans="1:29" ht="15.6" hidden="1" thickBot="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5"/>
      <c r="Q25" s="3179" t="str">
        <f t="shared" ref="Q25:Q46" si="11">B25</f>
        <v>楼层-1</v>
      </c>
      <c r="R25" s="1558" t="s">
        <v>8</v>
      </c>
      <c r="S25" s="1559">
        <f>F25</f>
        <v>100</v>
      </c>
      <c r="T25" s="1558" t="s">
        <v>8</v>
      </c>
      <c r="U25" s="1559">
        <f>H25</f>
        <v>100</v>
      </c>
      <c r="V25" s="1558" t="s">
        <v>8</v>
      </c>
      <c r="W25" s="1559">
        <f>J25</f>
        <v>100</v>
      </c>
      <c r="X25" s="3178"/>
      <c r="Y25" s="3395"/>
      <c r="Z25" s="3180" t="str">
        <f>Q25</f>
        <v>楼层-1</v>
      </c>
      <c r="AA25" s="3181">
        <f t="shared" si="3"/>
        <v>1</v>
      </c>
      <c r="AB25" s="3181">
        <f t="shared" si="4"/>
        <v>1</v>
      </c>
      <c r="AC25" s="3181">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5"/>
      <c r="Q26" s="3179" t="str">
        <f t="shared" si="11"/>
        <v>朝向</v>
      </c>
      <c r="R26" s="1558" t="s">
        <v>8</v>
      </c>
      <c r="S26" s="1559">
        <f>F26</f>
        <v>100</v>
      </c>
      <c r="T26" s="1558" t="s">
        <v>8</v>
      </c>
      <c r="U26" s="1559">
        <f>H26</f>
        <v>100</v>
      </c>
      <c r="V26" s="1558" t="s">
        <v>8</v>
      </c>
      <c r="W26" s="1559">
        <f>J26</f>
        <v>100</v>
      </c>
      <c r="X26" s="3178"/>
      <c r="Y26" s="3395"/>
      <c r="Z26" s="3180" t="str">
        <f>Q26</f>
        <v>朝向</v>
      </c>
      <c r="AA26" s="3181">
        <f t="shared" si="3"/>
        <v>1</v>
      </c>
      <c r="AB26" s="3181">
        <f t="shared" si="4"/>
        <v>1</v>
      </c>
      <c r="AC26" s="3181">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5"/>
      <c r="Q27" s="3177" t="str">
        <f t="shared" si="11"/>
        <v>道路级别</v>
      </c>
      <c r="R27" s="1553" t="s">
        <v>8</v>
      </c>
      <c r="S27" s="1554">
        <f>F27</f>
        <v>100</v>
      </c>
      <c r="T27" s="1553" t="s">
        <v>8</v>
      </c>
      <c r="U27" s="1554">
        <f>H27</f>
        <v>100</v>
      </c>
      <c r="V27" s="1553" t="s">
        <v>8</v>
      </c>
      <c r="W27" s="1554">
        <f>J27</f>
        <v>100</v>
      </c>
      <c r="X27" s="1555"/>
      <c r="Y27" s="3395"/>
      <c r="Z27" s="3176" t="str">
        <f>Q27</f>
        <v>道路级别</v>
      </c>
      <c r="AA27" s="3181">
        <f>D27/F27</f>
        <v>1</v>
      </c>
      <c r="AB27" s="3181">
        <f>D27/H27</f>
        <v>1</v>
      </c>
      <c r="AC27" s="3181">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5"/>
      <c r="Q28" s="3179">
        <f t="shared" si="11"/>
        <v>111</v>
      </c>
      <c r="R28" s="1558" t="s">
        <v>8</v>
      </c>
      <c r="S28" s="1559">
        <f t="shared" ref="S28:S46" si="12">F28</f>
        <v>100</v>
      </c>
      <c r="T28" s="1558" t="s">
        <v>8</v>
      </c>
      <c r="U28" s="1559">
        <f t="shared" ref="U28:U46" si="13">H28</f>
        <v>100</v>
      </c>
      <c r="V28" s="1558" t="s">
        <v>8</v>
      </c>
      <c r="W28" s="1559">
        <f t="shared" ref="W28:W46" si="14">J28</f>
        <v>100</v>
      </c>
      <c r="X28" s="3178"/>
      <c r="Y28" s="3395"/>
      <c r="Z28" s="3180">
        <f t="shared" ref="Z28:Z46" si="15">Q28</f>
        <v>111</v>
      </c>
      <c r="AA28" s="3181">
        <f t="shared" si="3"/>
        <v>1</v>
      </c>
      <c r="AB28" s="3181">
        <f t="shared" si="4"/>
        <v>1</v>
      </c>
      <c r="AC28" s="3181">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5"/>
      <c r="Q29" s="3179">
        <f t="shared" si="11"/>
        <v>111</v>
      </c>
      <c r="R29" s="1558" t="s">
        <v>8</v>
      </c>
      <c r="S29" s="1559">
        <f t="shared" si="12"/>
        <v>100</v>
      </c>
      <c r="T29" s="1558" t="s">
        <v>8</v>
      </c>
      <c r="U29" s="1559">
        <f t="shared" si="13"/>
        <v>100</v>
      </c>
      <c r="V29" s="1558" t="s">
        <v>8</v>
      </c>
      <c r="W29" s="1559">
        <f t="shared" si="14"/>
        <v>100</v>
      </c>
      <c r="X29" s="3178"/>
      <c r="Y29" s="3395"/>
      <c r="Z29" s="3180">
        <f t="shared" si="15"/>
        <v>111</v>
      </c>
      <c r="AA29" s="3181">
        <f t="shared" si="3"/>
        <v>1</v>
      </c>
      <c r="AB29" s="3181">
        <f t="shared" si="4"/>
        <v>1</v>
      </c>
      <c r="AC29" s="3181">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5"/>
      <c r="Q30" s="3179">
        <f t="shared" si="11"/>
        <v>111</v>
      </c>
      <c r="R30" s="1558" t="s">
        <v>8</v>
      </c>
      <c r="S30" s="1559">
        <f t="shared" si="12"/>
        <v>100</v>
      </c>
      <c r="T30" s="1558" t="s">
        <v>8</v>
      </c>
      <c r="U30" s="1559">
        <f t="shared" si="13"/>
        <v>100</v>
      </c>
      <c r="V30" s="1558" t="s">
        <v>8</v>
      </c>
      <c r="W30" s="1559">
        <f t="shared" si="14"/>
        <v>100</v>
      </c>
      <c r="X30" s="3178"/>
      <c r="Y30" s="3395"/>
      <c r="Z30" s="3180">
        <f t="shared" si="15"/>
        <v>111</v>
      </c>
      <c r="AA30" s="3181">
        <f t="shared" si="3"/>
        <v>1</v>
      </c>
      <c r="AB30" s="3181">
        <f t="shared" si="4"/>
        <v>1</v>
      </c>
      <c r="AC30" s="318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5"/>
      <c r="Q31" s="3179">
        <f t="shared" si="11"/>
        <v>111</v>
      </c>
      <c r="R31" s="1558" t="s">
        <v>8</v>
      </c>
      <c r="S31" s="1559">
        <f t="shared" si="12"/>
        <v>100</v>
      </c>
      <c r="T31" s="1558" t="s">
        <v>8</v>
      </c>
      <c r="U31" s="1559">
        <f t="shared" si="13"/>
        <v>100</v>
      </c>
      <c r="V31" s="1558" t="s">
        <v>8</v>
      </c>
      <c r="W31" s="1559">
        <f t="shared" si="14"/>
        <v>100</v>
      </c>
      <c r="X31" s="3178"/>
      <c r="Y31" s="3395"/>
      <c r="Z31" s="3180">
        <f t="shared" si="15"/>
        <v>111</v>
      </c>
      <c r="AA31" s="3181">
        <f t="shared" si="3"/>
        <v>1</v>
      </c>
      <c r="AB31" s="3181">
        <f t="shared" si="4"/>
        <v>1</v>
      </c>
      <c r="AC31" s="3181">
        <f t="shared" si="5"/>
        <v>1</v>
      </c>
    </row>
    <row r="32" spans="1:29" ht="15">
      <c r="A32" s="2861" t="s">
        <v>2755</v>
      </c>
      <c r="B32" s="172" t="s">
        <v>725</v>
      </c>
      <c r="C32" s="878" t="s">
        <v>3026</v>
      </c>
      <c r="D32" s="597">
        <v>100</v>
      </c>
      <c r="E32" s="878" t="s">
        <v>3025</v>
      </c>
      <c r="F32" s="575">
        <f>SUMIF(100:100,E32,101:101)-SUMIF(100:100,C32,101:101)+100</f>
        <v>95</v>
      </c>
      <c r="G32" s="878" t="s">
        <v>3025</v>
      </c>
      <c r="H32" s="597">
        <f>SUMIF(100:100,G32,101:101)-SUMIF(100:100,C32,101:101)+100</f>
        <v>95</v>
      </c>
      <c r="I32" s="878" t="s">
        <v>3025</v>
      </c>
      <c r="J32" s="540">
        <f>SUMIF(100:100,I32,101:101)-SUMIF(100:100,C32,101:101)+100</f>
        <v>95</v>
      </c>
      <c r="K32" s="864">
        <v>5</v>
      </c>
      <c r="L32" s="2126"/>
      <c r="M32" s="2118"/>
      <c r="N32" s="2118"/>
      <c r="O32" s="2125"/>
      <c r="P32" s="3396" t="s">
        <v>550</v>
      </c>
      <c r="Q32" s="3179" t="str">
        <f t="shared" si="11"/>
        <v>建筑类型</v>
      </c>
      <c r="R32" s="1558" t="s">
        <v>8</v>
      </c>
      <c r="S32" s="1559">
        <f t="shared" si="12"/>
        <v>95</v>
      </c>
      <c r="T32" s="1558" t="s">
        <v>8</v>
      </c>
      <c r="U32" s="1559">
        <f t="shared" si="13"/>
        <v>95</v>
      </c>
      <c r="V32" s="1558" t="s">
        <v>8</v>
      </c>
      <c r="W32" s="1559">
        <f t="shared" si="14"/>
        <v>95</v>
      </c>
      <c r="X32" s="3178"/>
      <c r="Y32" s="3397" t="s">
        <v>550</v>
      </c>
      <c r="Z32" s="3180" t="str">
        <f t="shared" si="15"/>
        <v>建筑类型</v>
      </c>
      <c r="AA32" s="3181">
        <f t="shared" si="3"/>
        <v>1.0526315789473684</v>
      </c>
      <c r="AB32" s="3181">
        <f t="shared" si="4"/>
        <v>1.0526315789473684</v>
      </c>
      <c r="AC32" s="3181">
        <f t="shared" si="5"/>
        <v>1.0526315789473684</v>
      </c>
    </row>
    <row r="33" spans="1:29" s="1334" customFormat="1" ht="15">
      <c r="A33" s="603"/>
      <c r="B33" s="527" t="s">
        <v>726</v>
      </c>
      <c r="C33" s="879">
        <f>'数据-基础表'!B3</f>
        <v>205689</v>
      </c>
      <c r="D33" s="255">
        <v>100</v>
      </c>
      <c r="E33" s="534">
        <v>390562.68</v>
      </c>
      <c r="F33" s="863">
        <f>LOOKUP(E33,103:103,104:104)-LOOKUP(C33,103:103,104:104)+100</f>
        <v>101</v>
      </c>
      <c r="G33" s="533">
        <v>410000</v>
      </c>
      <c r="H33" s="255">
        <f>LOOKUP(G33,103:103,104:104)-LOOKUP(C33,103:103,104:104)+100</f>
        <v>102</v>
      </c>
      <c r="I33" s="534">
        <f>'不动产比较法-洋房'!I33</f>
        <v>700000</v>
      </c>
      <c r="J33" s="255">
        <f>LOOKUP(I33,103:103,104:104)-LOOKUP(C33,103:103,104:104)+100</f>
        <v>104</v>
      </c>
      <c r="K33" s="865"/>
      <c r="L33" s="2124"/>
      <c r="M33" s="2155"/>
      <c r="N33" s="2155"/>
      <c r="O33" s="2127"/>
      <c r="P33" s="3397"/>
      <c r="Q33" s="1589" t="str">
        <f t="shared" si="11"/>
        <v>项目建筑规模</v>
      </c>
      <c r="R33" s="1562" t="s">
        <v>8</v>
      </c>
      <c r="S33" s="1563">
        <f t="shared" si="12"/>
        <v>101</v>
      </c>
      <c r="T33" s="1562" t="s">
        <v>8</v>
      </c>
      <c r="U33" s="1563">
        <f t="shared" si="13"/>
        <v>102</v>
      </c>
      <c r="V33" s="1562" t="s">
        <v>8</v>
      </c>
      <c r="W33" s="1563">
        <f t="shared" si="14"/>
        <v>104</v>
      </c>
      <c r="X33" s="1564"/>
      <c r="Y33" s="3397"/>
      <c r="Z33" s="1565" t="str">
        <f t="shared" si="15"/>
        <v>项目建筑规模</v>
      </c>
      <c r="AA33" s="3181">
        <f t="shared" si="3"/>
        <v>0.99009900990099009</v>
      </c>
      <c r="AB33" s="3181">
        <f t="shared" si="4"/>
        <v>0.98039215686274506</v>
      </c>
      <c r="AC33" s="3181">
        <f t="shared" si="5"/>
        <v>0.96153846153846156</v>
      </c>
    </row>
    <row r="34" spans="1:29" ht="15">
      <c r="A34" s="594"/>
      <c r="B34" s="527" t="s">
        <v>727</v>
      </c>
      <c r="C34" s="880" t="s">
        <v>3070</v>
      </c>
      <c r="D34" s="540">
        <v>100</v>
      </c>
      <c r="E34" s="880" t="s">
        <v>3070</v>
      </c>
      <c r="F34" s="575">
        <f>SUMIF(105:105,E34,106:106)-SUMIF(105:105,C34,106:106)+100</f>
        <v>100</v>
      </c>
      <c r="G34" s="880" t="s">
        <v>3070</v>
      </c>
      <c r="H34" s="540">
        <f>SUMIF(105:105,G34,106:106)-SUMIF(105:105,C34,106:106)+100</f>
        <v>100</v>
      </c>
      <c r="I34" s="880" t="s">
        <v>3070</v>
      </c>
      <c r="J34" s="540">
        <f>SUMIF(105:105,I34,106:106)-SUMIF(105:105,C34,106:106)+100</f>
        <v>100</v>
      </c>
      <c r="K34" s="864">
        <v>1</v>
      </c>
      <c r="L34" s="2126"/>
      <c r="M34" s="2118"/>
      <c r="N34" s="2118"/>
      <c r="O34" s="2125"/>
      <c r="P34" s="3397"/>
      <c r="Q34" s="3179" t="str">
        <f t="shared" si="11"/>
        <v>建筑结构</v>
      </c>
      <c r="R34" s="1558" t="s">
        <v>8</v>
      </c>
      <c r="S34" s="1559">
        <f t="shared" si="12"/>
        <v>100</v>
      </c>
      <c r="T34" s="1558" t="s">
        <v>8</v>
      </c>
      <c r="U34" s="1559">
        <f t="shared" si="13"/>
        <v>100</v>
      </c>
      <c r="V34" s="1558" t="s">
        <v>8</v>
      </c>
      <c r="W34" s="1559">
        <f t="shared" si="14"/>
        <v>100</v>
      </c>
      <c r="X34" s="3178"/>
      <c r="Y34" s="3397"/>
      <c r="Z34" s="3180" t="str">
        <f t="shared" si="15"/>
        <v>建筑结构</v>
      </c>
      <c r="AA34" s="3181">
        <f t="shared" si="3"/>
        <v>1</v>
      </c>
      <c r="AB34" s="3181">
        <f t="shared" si="4"/>
        <v>1</v>
      </c>
      <c r="AC34" s="3181">
        <f t="shared" si="5"/>
        <v>1</v>
      </c>
    </row>
    <row r="35" spans="1:29" ht="15">
      <c r="A35" s="594"/>
      <c r="B35" s="527" t="s">
        <v>728</v>
      </c>
      <c r="C35" s="599" t="s">
        <v>3030</v>
      </c>
      <c r="D35" s="540">
        <v>100</v>
      </c>
      <c r="E35" s="599" t="s">
        <v>3030</v>
      </c>
      <c r="F35" s="575">
        <f>SUMIF(107:107,E35,108:108)-SUMIF(107:107,C35,108:108)+100</f>
        <v>100</v>
      </c>
      <c r="G35" s="599" t="s">
        <v>3030</v>
      </c>
      <c r="H35" s="540">
        <f>SUMIF(107:107,G35,108:108)-SUMIF(107:107,C35,108:108)+100</f>
        <v>100</v>
      </c>
      <c r="I35" s="599" t="s">
        <v>3030</v>
      </c>
      <c r="J35" s="540">
        <f>SUMIF(107:107,I35,108:108)-SUMIF(107:107,C35,108:108)+100</f>
        <v>100</v>
      </c>
      <c r="K35" s="864">
        <v>1</v>
      </c>
      <c r="L35" s="2126"/>
      <c r="M35" s="2118"/>
      <c r="N35" s="2118"/>
      <c r="O35" s="2125"/>
      <c r="P35" s="3397"/>
      <c r="Q35" s="3179" t="str">
        <f t="shared" si="11"/>
        <v>建筑品质</v>
      </c>
      <c r="R35" s="1558" t="s">
        <v>8</v>
      </c>
      <c r="S35" s="1559">
        <f t="shared" si="12"/>
        <v>100</v>
      </c>
      <c r="T35" s="1558" t="s">
        <v>8</v>
      </c>
      <c r="U35" s="1559">
        <f t="shared" si="13"/>
        <v>100</v>
      </c>
      <c r="V35" s="1558" t="s">
        <v>8</v>
      </c>
      <c r="W35" s="1559">
        <f t="shared" si="14"/>
        <v>100</v>
      </c>
      <c r="X35" s="3178"/>
      <c r="Y35" s="3397"/>
      <c r="Z35" s="3180" t="str">
        <f t="shared" si="15"/>
        <v>建筑品质</v>
      </c>
      <c r="AA35" s="3181">
        <f t="shared" si="3"/>
        <v>1</v>
      </c>
      <c r="AB35" s="3181">
        <f t="shared" si="4"/>
        <v>1</v>
      </c>
      <c r="AC35" s="3181">
        <f t="shared" si="5"/>
        <v>1</v>
      </c>
    </row>
    <row r="36" spans="1:29" ht="15">
      <c r="A36" s="594"/>
      <c r="B36" s="527" t="s">
        <v>729</v>
      </c>
      <c r="C36" s="599" t="s">
        <v>3073</v>
      </c>
      <c r="D36" s="540">
        <v>100</v>
      </c>
      <c r="E36" s="599" t="s">
        <v>3073</v>
      </c>
      <c r="F36" s="575">
        <f>SUMIF(109:109,E36,110:110)-SUMIF(109:109,C36,110:110)+100</f>
        <v>100</v>
      </c>
      <c r="G36" s="599" t="s">
        <v>3073</v>
      </c>
      <c r="H36" s="540">
        <f>SUMIF(109:109,G36,110:110)-SUMIF(109:109,C36,110:110)+100</f>
        <v>100</v>
      </c>
      <c r="I36" s="599" t="s">
        <v>3073</v>
      </c>
      <c r="J36" s="540">
        <f>SUMIF(109:109,I36,110:110)-SUMIF(109:109,C36,110:110)+100</f>
        <v>100</v>
      </c>
      <c r="K36" s="864">
        <v>3</v>
      </c>
      <c r="L36" s="2126"/>
      <c r="M36" s="2118"/>
      <c r="N36" s="2118"/>
      <c r="O36" s="2125"/>
      <c r="P36" s="3397"/>
      <c r="Q36" s="3179" t="str">
        <f t="shared" si="11"/>
        <v>公共部分装修</v>
      </c>
      <c r="R36" s="1558" t="s">
        <v>8</v>
      </c>
      <c r="S36" s="1559">
        <f t="shared" si="12"/>
        <v>100</v>
      </c>
      <c r="T36" s="1558" t="s">
        <v>8</v>
      </c>
      <c r="U36" s="1559">
        <f t="shared" si="13"/>
        <v>100</v>
      </c>
      <c r="V36" s="1558" t="s">
        <v>8</v>
      </c>
      <c r="W36" s="1559">
        <f t="shared" si="14"/>
        <v>100</v>
      </c>
      <c r="X36" s="3178"/>
      <c r="Y36" s="3397"/>
      <c r="Z36" s="3180" t="str">
        <f t="shared" si="15"/>
        <v>公共部分装修</v>
      </c>
      <c r="AA36" s="3181">
        <f t="shared" si="3"/>
        <v>1</v>
      </c>
      <c r="AB36" s="3181">
        <f t="shared" si="4"/>
        <v>1</v>
      </c>
      <c r="AC36" s="318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7"/>
      <c r="Q37" s="3177" t="str">
        <f t="shared" si="11"/>
        <v>成新度</v>
      </c>
      <c r="R37" s="1553" t="s">
        <v>8</v>
      </c>
      <c r="S37" s="1554">
        <f t="shared" si="12"/>
        <v>100</v>
      </c>
      <c r="T37" s="1553" t="s">
        <v>8</v>
      </c>
      <c r="U37" s="1554">
        <f t="shared" si="13"/>
        <v>100</v>
      </c>
      <c r="V37" s="1553" t="s">
        <v>8</v>
      </c>
      <c r="W37" s="1554">
        <f t="shared" si="14"/>
        <v>100</v>
      </c>
      <c r="X37" s="1555"/>
      <c r="Y37" s="3397"/>
      <c r="Z37" s="3176" t="str">
        <f t="shared" si="15"/>
        <v>成新度</v>
      </c>
      <c r="AA37" s="1556">
        <f t="shared" si="3"/>
        <v>1</v>
      </c>
      <c r="AB37" s="1556">
        <f t="shared" si="4"/>
        <v>1</v>
      </c>
      <c r="AC37" s="1556">
        <f t="shared" si="5"/>
        <v>1</v>
      </c>
    </row>
    <row r="38" spans="1:29" ht="15">
      <c r="A38" s="594"/>
      <c r="B38" s="527" t="s">
        <v>731</v>
      </c>
      <c r="C38" s="599" t="s">
        <v>3030</v>
      </c>
      <c r="D38" s="540">
        <v>100</v>
      </c>
      <c r="E38" s="599" t="s">
        <v>3030</v>
      </c>
      <c r="F38" s="575">
        <f>SUMIF(114:114,E38,115:115)-SUMIF(114:114,C38,115:115)+100</f>
        <v>100</v>
      </c>
      <c r="G38" s="599" t="s">
        <v>3030</v>
      </c>
      <c r="H38" s="540">
        <f>SUMIF(114:114,G38,115:115)-SUMIF(114:114,C38,115:115)+100</f>
        <v>100</v>
      </c>
      <c r="I38" s="599" t="s">
        <v>3030</v>
      </c>
      <c r="J38" s="540">
        <f>SUMIF(114:114,I38,115:115)-SUMIF(114:114,C38,115:115)+100</f>
        <v>100</v>
      </c>
      <c r="K38" s="864">
        <v>1</v>
      </c>
      <c r="L38" s="2126"/>
      <c r="M38" s="2118"/>
      <c r="N38" s="2118"/>
      <c r="O38" s="2125"/>
      <c r="P38" s="3397" t="s">
        <v>550</v>
      </c>
      <c r="Q38" s="3179" t="str">
        <f t="shared" si="11"/>
        <v>物业管理</v>
      </c>
      <c r="R38" s="1558" t="s">
        <v>8</v>
      </c>
      <c r="S38" s="1559">
        <f t="shared" si="12"/>
        <v>100</v>
      </c>
      <c r="T38" s="1558" t="s">
        <v>8</v>
      </c>
      <c r="U38" s="1559">
        <f t="shared" si="13"/>
        <v>100</v>
      </c>
      <c r="V38" s="1558" t="s">
        <v>8</v>
      </c>
      <c r="W38" s="1559">
        <f t="shared" si="14"/>
        <v>100</v>
      </c>
      <c r="X38" s="3178"/>
      <c r="Y38" s="3397" t="s">
        <v>550</v>
      </c>
      <c r="Z38" s="3180" t="str">
        <f t="shared" si="15"/>
        <v>物业管理</v>
      </c>
      <c r="AA38" s="3181">
        <f t="shared" si="3"/>
        <v>1</v>
      </c>
      <c r="AB38" s="3181">
        <f t="shared" si="4"/>
        <v>1</v>
      </c>
      <c r="AC38" s="3181">
        <f t="shared" si="5"/>
        <v>1</v>
      </c>
    </row>
    <row r="39" spans="1:29" ht="15">
      <c r="A39" s="594"/>
      <c r="B39" s="1879" t="s">
        <v>2564</v>
      </c>
      <c r="C39" s="599" t="s">
        <v>3036</v>
      </c>
      <c r="D39" s="540">
        <v>100</v>
      </c>
      <c r="E39" s="599" t="s">
        <v>3036</v>
      </c>
      <c r="F39" s="575">
        <f>SUMIF(116:116,E39,117:117)-SUMIF(116:116,C39,117:117)+100</f>
        <v>100</v>
      </c>
      <c r="G39" s="599" t="s">
        <v>3036</v>
      </c>
      <c r="H39" s="540">
        <f>SUMIF(116:116,G39,117:117)-SUMIF(116:116,C39,117:117)+100</f>
        <v>100</v>
      </c>
      <c r="I39" s="599" t="s">
        <v>3036</v>
      </c>
      <c r="J39" s="540">
        <f>SUMIF(116:116,I39,117:117)-SUMIF(116:116,C39,117:117)+100</f>
        <v>100</v>
      </c>
      <c r="K39" s="864">
        <v>1</v>
      </c>
      <c r="L39" s="2126"/>
      <c r="M39" s="2118"/>
      <c r="N39" s="2118"/>
      <c r="O39" s="2125"/>
      <c r="P39" s="3397"/>
      <c r="Q39" s="3179" t="str">
        <f t="shared" si="11"/>
        <v>市政基础设施</v>
      </c>
      <c r="R39" s="1558" t="s">
        <v>8</v>
      </c>
      <c r="S39" s="1559">
        <f t="shared" si="12"/>
        <v>100</v>
      </c>
      <c r="T39" s="1558" t="s">
        <v>8</v>
      </c>
      <c r="U39" s="1559">
        <f t="shared" si="13"/>
        <v>100</v>
      </c>
      <c r="V39" s="1558" t="s">
        <v>8</v>
      </c>
      <c r="W39" s="1559">
        <f t="shared" si="14"/>
        <v>100</v>
      </c>
      <c r="X39" s="3178"/>
      <c r="Y39" s="3397"/>
      <c r="Z39" s="3180" t="str">
        <f t="shared" si="15"/>
        <v>市政基础设施</v>
      </c>
      <c r="AA39" s="3181">
        <f t="shared" si="3"/>
        <v>1</v>
      </c>
      <c r="AB39" s="3181">
        <f t="shared" si="4"/>
        <v>1</v>
      </c>
      <c r="AC39" s="3181">
        <f t="shared" si="5"/>
        <v>1</v>
      </c>
    </row>
    <row r="40" spans="1:29" ht="15">
      <c r="A40" s="594"/>
      <c r="B40" s="527" t="s">
        <v>732</v>
      </c>
      <c r="C40" s="599" t="s">
        <v>3076</v>
      </c>
      <c r="D40" s="540">
        <v>100</v>
      </c>
      <c r="E40" s="599" t="s">
        <v>3076</v>
      </c>
      <c r="F40" s="575">
        <f>SUMIF(118:118,E40,119:119)-SUMIF(118:118,C40,119:119)+100</f>
        <v>100</v>
      </c>
      <c r="G40" s="599" t="s">
        <v>3076</v>
      </c>
      <c r="H40" s="540">
        <f>SUMIF(118:118,G40,119:119)-SUMIF(118:118,C40,119:119)+100</f>
        <v>100</v>
      </c>
      <c r="I40" s="599" t="s">
        <v>3076</v>
      </c>
      <c r="J40" s="540">
        <f>SUMIF(118:118,I40,119:119)-SUMIF(118:118,C40,119:119)+100</f>
        <v>100</v>
      </c>
      <c r="K40" s="864">
        <v>1</v>
      </c>
      <c r="L40" s="2126"/>
      <c r="M40" s="2118"/>
      <c r="N40" s="2118"/>
      <c r="O40" s="2125"/>
      <c r="P40" s="3397"/>
      <c r="Q40" s="3179" t="str">
        <f t="shared" si="11"/>
        <v>房型</v>
      </c>
      <c r="R40" s="1558" t="s">
        <v>8</v>
      </c>
      <c r="S40" s="1559">
        <f t="shared" si="12"/>
        <v>100</v>
      </c>
      <c r="T40" s="1558" t="s">
        <v>8</v>
      </c>
      <c r="U40" s="1559">
        <f t="shared" si="13"/>
        <v>100</v>
      </c>
      <c r="V40" s="1558" t="s">
        <v>8</v>
      </c>
      <c r="W40" s="1559">
        <f t="shared" si="14"/>
        <v>100</v>
      </c>
      <c r="X40" s="3178"/>
      <c r="Y40" s="3397"/>
      <c r="Z40" s="3180" t="str">
        <f t="shared" si="15"/>
        <v>房型</v>
      </c>
      <c r="AA40" s="3181">
        <f t="shared" si="3"/>
        <v>1</v>
      </c>
      <c r="AB40" s="3181">
        <f t="shared" si="4"/>
        <v>1</v>
      </c>
      <c r="AC40" s="318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7"/>
      <c r="Q41" s="1589" t="str">
        <f t="shared" si="11"/>
        <v>单套/主力户型建筑面积</v>
      </c>
      <c r="R41" s="1562" t="s">
        <v>8</v>
      </c>
      <c r="S41" s="1563">
        <f t="shared" si="12"/>
        <v>100</v>
      </c>
      <c r="T41" s="1562" t="s">
        <v>8</v>
      </c>
      <c r="U41" s="1563">
        <f t="shared" si="13"/>
        <v>100</v>
      </c>
      <c r="V41" s="1562" t="s">
        <v>8</v>
      </c>
      <c r="W41" s="1563">
        <f t="shared" si="14"/>
        <v>100</v>
      </c>
      <c r="X41" s="1564"/>
      <c r="Y41" s="3397"/>
      <c r="Z41" s="1565" t="str">
        <f t="shared" si="15"/>
        <v>单套/主力户型建筑面积</v>
      </c>
      <c r="AA41" s="3181">
        <f t="shared" si="3"/>
        <v>1</v>
      </c>
      <c r="AB41" s="3181">
        <f t="shared" si="4"/>
        <v>1</v>
      </c>
      <c r="AC41" s="3181">
        <f t="shared" si="5"/>
        <v>1</v>
      </c>
    </row>
    <row r="42" spans="1:29" ht="15">
      <c r="A42" s="594"/>
      <c r="B42" s="527" t="s">
        <v>734</v>
      </c>
      <c r="C42" s="599" t="s">
        <v>3080</v>
      </c>
      <c r="D42" s="540">
        <v>100</v>
      </c>
      <c r="E42" s="599" t="s">
        <v>3080</v>
      </c>
      <c r="F42" s="575">
        <f>SUMIF(122:122,E42,123:123)-SUMIF(122:122,C42,123:123)+100</f>
        <v>100</v>
      </c>
      <c r="G42" s="599" t="s">
        <v>3080</v>
      </c>
      <c r="H42" s="540">
        <f>SUMIF(122:122,G42,123:123)-SUMIF(122:122,C42,123:123)+100</f>
        <v>100</v>
      </c>
      <c r="I42" s="599" t="s">
        <v>3080</v>
      </c>
      <c r="J42" s="540">
        <f>SUMIF(122:122,I42,123:123)-SUMIF(122:122,C42,123:123)+100</f>
        <v>100</v>
      </c>
      <c r="K42" s="864">
        <v>3</v>
      </c>
      <c r="L42" s="2126"/>
      <c r="M42" s="2118"/>
      <c r="N42" s="2118"/>
      <c r="O42" s="2125"/>
      <c r="P42" s="3397"/>
      <c r="Q42" s="3179" t="str">
        <f t="shared" si="11"/>
        <v>内部装修</v>
      </c>
      <c r="R42" s="1558" t="s">
        <v>8</v>
      </c>
      <c r="S42" s="1559">
        <f t="shared" si="12"/>
        <v>100</v>
      </c>
      <c r="T42" s="1558" t="s">
        <v>8</v>
      </c>
      <c r="U42" s="1559">
        <f t="shared" si="13"/>
        <v>100</v>
      </c>
      <c r="V42" s="1558" t="s">
        <v>8</v>
      </c>
      <c r="W42" s="1559">
        <f t="shared" si="14"/>
        <v>100</v>
      </c>
      <c r="X42" s="3178"/>
      <c r="Y42" s="3397"/>
      <c r="Z42" s="3180" t="str">
        <f t="shared" si="15"/>
        <v>内部装修</v>
      </c>
      <c r="AA42" s="3181">
        <f t="shared" si="3"/>
        <v>1</v>
      </c>
      <c r="AB42" s="3181">
        <f t="shared" si="4"/>
        <v>1</v>
      </c>
      <c r="AC42" s="3181">
        <f t="shared" si="5"/>
        <v>1</v>
      </c>
    </row>
    <row r="43" spans="1:29" ht="29.4" thickBot="1">
      <c r="A43" s="594"/>
      <c r="B43" s="527" t="s">
        <v>735</v>
      </c>
      <c r="C43" s="599" t="s">
        <v>3030</v>
      </c>
      <c r="D43" s="540">
        <v>100</v>
      </c>
      <c r="E43" s="599" t="s">
        <v>3030</v>
      </c>
      <c r="F43" s="575">
        <f>SUMIF(124:124,E43,125:125)-SUMIF(124:124,C43,125:125)+100</f>
        <v>100</v>
      </c>
      <c r="G43" s="599" t="s">
        <v>3030</v>
      </c>
      <c r="H43" s="540">
        <f>SUMIF(124:124,G43,125:125)-SUMIF(124:124,C43,125:125)+100</f>
        <v>100</v>
      </c>
      <c r="I43" s="599" t="s">
        <v>3030</v>
      </c>
      <c r="J43" s="540">
        <f>SUMIF(124:124,I43,125:125)-SUMIF(124:124,C43,125:125)+100</f>
        <v>100</v>
      </c>
      <c r="K43" s="864">
        <v>1</v>
      </c>
      <c r="L43" s="2126"/>
      <c r="M43" s="2118"/>
      <c r="N43" s="2118"/>
      <c r="O43" s="2125"/>
      <c r="P43" s="3397"/>
      <c r="Q43" s="3179" t="str">
        <f t="shared" si="11"/>
        <v>内部装修维护情况</v>
      </c>
      <c r="R43" s="1558" t="s">
        <v>8</v>
      </c>
      <c r="S43" s="1559">
        <f t="shared" si="12"/>
        <v>100</v>
      </c>
      <c r="T43" s="1558" t="s">
        <v>8</v>
      </c>
      <c r="U43" s="1559">
        <f t="shared" si="13"/>
        <v>100</v>
      </c>
      <c r="V43" s="1558" t="s">
        <v>8</v>
      </c>
      <c r="W43" s="1559">
        <f t="shared" si="14"/>
        <v>100</v>
      </c>
      <c r="X43" s="3178"/>
      <c r="Y43" s="3397"/>
      <c r="Z43" s="3180" t="str">
        <f t="shared" si="15"/>
        <v>内部装修维护情况</v>
      </c>
      <c r="AA43" s="3181">
        <f t="shared" si="3"/>
        <v>1</v>
      </c>
      <c r="AB43" s="3181">
        <f t="shared" si="4"/>
        <v>1</v>
      </c>
      <c r="AC43" s="3181">
        <f t="shared" si="5"/>
        <v>1</v>
      </c>
    </row>
    <row r="44" spans="1:29" s="1215" customFormat="1" ht="15.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7"/>
      <c r="Q44" s="3177">
        <f t="shared" si="11"/>
        <v>111</v>
      </c>
      <c r="R44" s="1553" t="s">
        <v>8</v>
      </c>
      <c r="S44" s="1554">
        <f t="shared" si="12"/>
        <v>100</v>
      </c>
      <c r="T44" s="1553" t="s">
        <v>8</v>
      </c>
      <c r="U44" s="1554">
        <f t="shared" si="13"/>
        <v>100</v>
      </c>
      <c r="V44" s="1553" t="s">
        <v>8</v>
      </c>
      <c r="W44" s="1554">
        <f t="shared" si="14"/>
        <v>100</v>
      </c>
      <c r="X44" s="1555"/>
      <c r="Y44" s="3397"/>
      <c r="Z44" s="3176">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7"/>
      <c r="Q45" s="3179">
        <f t="shared" si="11"/>
        <v>111</v>
      </c>
      <c r="R45" s="1558" t="s">
        <v>8</v>
      </c>
      <c r="S45" s="1559">
        <f t="shared" si="12"/>
        <v>100</v>
      </c>
      <c r="T45" s="1558" t="s">
        <v>8</v>
      </c>
      <c r="U45" s="1559">
        <f t="shared" si="13"/>
        <v>100</v>
      </c>
      <c r="V45" s="1558" t="s">
        <v>8</v>
      </c>
      <c r="W45" s="1559">
        <f t="shared" si="14"/>
        <v>100</v>
      </c>
      <c r="X45" s="3178"/>
      <c r="Y45" s="3397"/>
      <c r="Z45" s="3180">
        <f t="shared" si="15"/>
        <v>111</v>
      </c>
      <c r="AA45" s="3181">
        <f t="shared" si="3"/>
        <v>1</v>
      </c>
      <c r="AB45" s="3181">
        <f t="shared" si="4"/>
        <v>1</v>
      </c>
      <c r="AC45" s="318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1"/>
      <c r="Q46" s="3179">
        <f t="shared" si="11"/>
        <v>111</v>
      </c>
      <c r="R46" s="1558" t="s">
        <v>8</v>
      </c>
      <c r="S46" s="1559">
        <f t="shared" si="12"/>
        <v>100</v>
      </c>
      <c r="T46" s="1558" t="s">
        <v>8</v>
      </c>
      <c r="U46" s="1559">
        <f t="shared" si="13"/>
        <v>100</v>
      </c>
      <c r="V46" s="1558" t="s">
        <v>8</v>
      </c>
      <c r="W46" s="1559">
        <f t="shared" si="14"/>
        <v>100</v>
      </c>
      <c r="X46" s="3178"/>
      <c r="Y46" s="3481"/>
      <c r="Z46" s="3180">
        <f t="shared" si="15"/>
        <v>111</v>
      </c>
      <c r="AA46" s="3181">
        <f t="shared" si="3"/>
        <v>1</v>
      </c>
      <c r="AB46" s="3181">
        <f t="shared" si="4"/>
        <v>1</v>
      </c>
      <c r="AC46" s="3181">
        <f t="shared" si="5"/>
        <v>1</v>
      </c>
    </row>
    <row r="47" spans="1:29" ht="14.4">
      <c r="A47" s="607" t="s">
        <v>736</v>
      </c>
      <c r="B47" s="886"/>
      <c r="C47" s="2590" t="s">
        <v>1</v>
      </c>
      <c r="D47" s="2591"/>
      <c r="E47" s="2592">
        <v>12000</v>
      </c>
      <c r="F47" s="2593"/>
      <c r="G47" s="2594">
        <v>12500</v>
      </c>
      <c r="H47" s="2595"/>
      <c r="I47" s="2592">
        <v>12000</v>
      </c>
      <c r="J47" s="2595"/>
      <c r="K47" s="1590"/>
      <c r="L47" s="2128"/>
      <c r="M47" s="2129"/>
      <c r="N47" s="2118"/>
      <c r="O47" s="2129"/>
      <c r="P47" s="3361" t="str">
        <f>A47</f>
        <v>成交单价（元/平方米）</v>
      </c>
      <c r="Q47" s="3361"/>
      <c r="R47" s="3482">
        <f>E47</f>
        <v>12000</v>
      </c>
      <c r="S47" s="3482"/>
      <c r="T47" s="3482">
        <f>G47</f>
        <v>12500</v>
      </c>
      <c r="U47" s="3482"/>
      <c r="V47" s="3482">
        <f>I47</f>
        <v>12000</v>
      </c>
      <c r="W47" s="3482"/>
      <c r="X47" s="1544"/>
      <c r="Y47" s="1566"/>
      <c r="Z47" s="1544"/>
      <c r="AA47" s="1544"/>
      <c r="AB47" s="1544"/>
      <c r="AC47" s="1544"/>
    </row>
    <row r="48" spans="1:29" ht="15" thickBot="1">
      <c r="A48" s="615" t="s">
        <v>2693</v>
      </c>
      <c r="B48" s="887"/>
      <c r="C48" s="2596">
        <f>R49</f>
        <v>12827</v>
      </c>
      <c r="D48" s="2597"/>
      <c r="E48" s="2598">
        <f>R48</f>
        <v>12896</v>
      </c>
      <c r="F48" s="2598"/>
      <c r="G48" s="2596">
        <f>T48</f>
        <v>13301</v>
      </c>
      <c r="H48" s="2597"/>
      <c r="I48" s="2598">
        <f>V48</f>
        <v>12283</v>
      </c>
      <c r="J48" s="2597"/>
      <c r="K48" s="1591"/>
      <c r="L48" s="2128"/>
      <c r="M48" s="2129"/>
      <c r="N48" s="2129"/>
      <c r="O48" s="2129"/>
      <c r="P48" s="3361" t="str">
        <f>A48</f>
        <v>比较价格（元/平方米）</v>
      </c>
      <c r="Q48" s="3361"/>
      <c r="R48" s="3482">
        <f>IF(F1="售价",ROUND(PRODUCT(R47,AA7:AA46),0),ROUND(PRODUCT(R47,AA7:AA46),1))</f>
        <v>12896</v>
      </c>
      <c r="S48" s="3482"/>
      <c r="T48" s="3482">
        <f>IF(F1="售价",ROUND(PRODUCT(T47,AB7:AB46),0),ROUND(PRODUCT(T47,AB7:AB46),1))</f>
        <v>13301</v>
      </c>
      <c r="U48" s="3482"/>
      <c r="V48" s="3482">
        <f>IF(F1="售价",ROUND(PRODUCT(V47,AC7:AC46),0),ROUND(PRODUCT(V47,AC7:AC46),1))</f>
        <v>12283</v>
      </c>
      <c r="W48" s="3482"/>
      <c r="X48" s="1544"/>
      <c r="Y48" s="1544"/>
      <c r="Z48" s="1544"/>
      <c r="AA48" s="1544"/>
      <c r="AB48" s="1544"/>
      <c r="AC48" s="1544"/>
    </row>
    <row r="49" spans="1:29" ht="15" thickBot="1">
      <c r="A49" s="621" t="s">
        <v>2932</v>
      </c>
      <c r="B49" s="622"/>
      <c r="C49" s="2599">
        <f>R49</f>
        <v>12827</v>
      </c>
      <c r="D49" s="2599"/>
      <c r="E49" s="2599"/>
      <c r="F49" s="2599"/>
      <c r="G49" s="2599"/>
      <c r="H49" s="2599"/>
      <c r="I49" s="2599"/>
      <c r="J49" s="2599"/>
      <c r="K49" s="1592"/>
      <c r="L49" s="2128"/>
      <c r="M49" s="2129"/>
      <c r="N49" s="2129"/>
      <c r="O49" s="2129"/>
      <c r="P49" s="3358" t="str">
        <f>A49</f>
        <v>估价对象XX用房的比较价格（楼面单价，元/平方米）</v>
      </c>
      <c r="Q49" s="3359"/>
      <c r="R49" s="3483">
        <f>IF(F1="售价",ROUND(AVERAGE(R48:V48),0),ROUND(AVERAGE(R48:V48),1))</f>
        <v>12827</v>
      </c>
      <c r="S49" s="3483"/>
      <c r="T49" s="3483"/>
      <c r="U49" s="3483"/>
      <c r="V49" s="3483"/>
      <c r="W49" s="348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7.4666666666666659E-2</v>
      </c>
      <c r="F52" s="627" t="str">
        <f>IF(OR(E52&gt;=0.3,E52&lt;=-0.3),"超过30%","")</f>
        <v/>
      </c>
      <c r="G52" s="626">
        <f>IF(G47&lt;G48,G48/G47-1,G47/G48-1)</f>
        <v>6.4079999999999915E-2</v>
      </c>
      <c r="H52" s="627" t="str">
        <f>IF(OR(G52&gt;=0.3,G52&lt;=-0.3),"超过30%","")</f>
        <v/>
      </c>
      <c r="I52" s="626">
        <f>IF(I47&lt;I48,I48/I47-1,I47/I48-1)</f>
        <v>2.358333333333329E-2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3.14050868486353E-2</v>
      </c>
      <c r="F53" s="627" t="str">
        <f>IF(OR(E53&gt;=0.2,E53&lt;=-0.2),"超过20%","")</f>
        <v/>
      </c>
      <c r="G53" s="626">
        <f>IF(G48&lt;I48,I48/G48-1,G48/I48-1)</f>
        <v>8.2878775543433925E-2</v>
      </c>
      <c r="H53" s="627" t="str">
        <f>IF(OR(G53&gt;=0.2,G53&lt;=-0.2),"超过20%","")</f>
        <v/>
      </c>
      <c r="I53" s="626">
        <f>IF(I48&lt;E48,E48/I48-1,I48/E48-1)</f>
        <v>4.9906374664169917E-2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2317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2547</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3069</v>
      </c>
      <c r="D100" s="3188" t="s">
        <v>3068</v>
      </c>
      <c r="E100" s="3188" t="s">
        <v>3086</v>
      </c>
      <c r="F100" s="3188" t="s">
        <v>3087</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6" t="s">
        <v>3071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7" t="s">
        <v>3072</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6" t="s">
        <v>3074</v>
      </c>
      <c r="D109" s="3186" t="s">
        <v>3078</v>
      </c>
      <c r="E109" s="3186" t="s">
        <v>3079</v>
      </c>
      <c r="F109" s="3187" t="s">
        <v>3081</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6" t="s">
        <v>3075</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3037</v>
      </c>
      <c r="D116" s="1371" t="s">
        <v>3038</v>
      </c>
      <c r="E116" s="1371" t="s">
        <v>3040</v>
      </c>
      <c r="F116" s="1371" t="s">
        <v>3041</v>
      </c>
      <c r="G116" s="1371" t="s">
        <v>3042</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7" t="s">
        <v>3077</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6" t="s">
        <v>3074</v>
      </c>
      <c r="D122" s="3186" t="s">
        <v>3078</v>
      </c>
      <c r="E122" s="3186" t="s">
        <v>3079</v>
      </c>
      <c r="F122" s="3187" t="s">
        <v>3081</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2262</v>
      </c>
      <c r="H138" s="1912" t="s">
        <v>2263</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2269</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E22" sqref="E2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3025</v>
      </c>
      <c r="E1" s="2589"/>
      <c r="F1" s="2761" t="s">
        <v>3022</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12185</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67" t="s">
        <v>522</v>
      </c>
      <c r="D4" s="3368"/>
      <c r="E4" s="3402" t="s">
        <v>523</v>
      </c>
      <c r="F4" s="3403"/>
      <c r="G4" s="3367" t="s">
        <v>524</v>
      </c>
      <c r="H4" s="3368"/>
      <c r="I4" s="3367" t="s">
        <v>525</v>
      </c>
      <c r="J4" s="3368"/>
      <c r="K4" s="853" t="s">
        <v>526</v>
      </c>
      <c r="L4" s="2117"/>
      <c r="M4" s="2118"/>
      <c r="N4" s="2118"/>
      <c r="O4" s="2118"/>
      <c r="P4" s="3369" t="s">
        <v>527</v>
      </c>
      <c r="Q4" s="3370"/>
      <c r="R4" s="3375" t="s">
        <v>523</v>
      </c>
      <c r="S4" s="3376"/>
      <c r="T4" s="3375" t="s">
        <v>524</v>
      </c>
      <c r="U4" s="3376"/>
      <c r="V4" s="3362" t="s">
        <v>525</v>
      </c>
      <c r="W4" s="3362"/>
      <c r="X4" s="3178"/>
      <c r="Y4" s="3375" t="s">
        <v>527</v>
      </c>
      <c r="Z4" s="3376"/>
      <c r="AA4" s="3364" t="s">
        <v>523</v>
      </c>
      <c r="AB4" s="3364" t="s">
        <v>524</v>
      </c>
      <c r="AC4" s="3364" t="s">
        <v>525</v>
      </c>
    </row>
    <row r="5" spans="1:29">
      <c r="A5" s="515"/>
      <c r="B5" s="516"/>
      <c r="C5" s="3478" t="s">
        <v>3023</v>
      </c>
      <c r="D5" s="3384"/>
      <c r="E5" s="3479" t="s">
        <v>3083</v>
      </c>
      <c r="F5" s="3405"/>
      <c r="G5" s="3478" t="s">
        <v>3084</v>
      </c>
      <c r="H5" s="3384"/>
      <c r="I5" s="3478" t="s">
        <v>3088</v>
      </c>
      <c r="J5" s="3384"/>
      <c r="K5" s="854"/>
      <c r="L5" s="2117"/>
      <c r="M5" s="2118"/>
      <c r="N5" s="2118"/>
      <c r="O5" s="2118"/>
      <c r="P5" s="3371"/>
      <c r="Q5" s="3372"/>
      <c r="R5" s="3377"/>
      <c r="S5" s="3378"/>
      <c r="T5" s="3377"/>
      <c r="U5" s="3378"/>
      <c r="V5" s="3362"/>
      <c r="W5" s="3362"/>
      <c r="X5" s="3178"/>
      <c r="Y5" s="3377"/>
      <c r="Z5" s="3378"/>
      <c r="AA5" s="3365"/>
      <c r="AB5" s="3365"/>
      <c r="AC5" s="3365"/>
    </row>
    <row r="6" spans="1:29" ht="15" thickBot="1">
      <c r="A6" s="517"/>
      <c r="B6" s="518"/>
      <c r="C6" s="3480" t="s">
        <v>3024</v>
      </c>
      <c r="D6" s="3399"/>
      <c r="E6" s="3480" t="s">
        <v>3024</v>
      </c>
      <c r="F6" s="3399"/>
      <c r="G6" s="3480" t="s">
        <v>3024</v>
      </c>
      <c r="H6" s="3399"/>
      <c r="I6" s="3480" t="s">
        <v>3024</v>
      </c>
      <c r="J6" s="3399"/>
      <c r="K6" s="854" t="s">
        <v>528</v>
      </c>
      <c r="L6" s="2117"/>
      <c r="M6" s="2118"/>
      <c r="N6" s="2118"/>
      <c r="O6" s="2118"/>
      <c r="P6" s="3373"/>
      <c r="Q6" s="3374"/>
      <c r="R6" s="3377"/>
      <c r="S6" s="3378"/>
      <c r="T6" s="3379"/>
      <c r="U6" s="3380"/>
      <c r="V6" s="3362"/>
      <c r="W6" s="3362"/>
      <c r="X6" s="3178"/>
      <c r="Y6" s="3379"/>
      <c r="Z6" s="3380"/>
      <c r="AA6" s="3366"/>
      <c r="AB6" s="3366"/>
      <c r="AC6" s="3366"/>
    </row>
    <row r="7" spans="1:29" s="1215" customFormat="1" ht="15" thickBot="1">
      <c r="A7" s="2866"/>
      <c r="B7" s="2873" t="s">
        <v>529</v>
      </c>
      <c r="C7" s="519">
        <f>'数据-取费表'!B2</f>
        <v>43776</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91" t="s">
        <v>530</v>
      </c>
      <c r="Q7" s="3393"/>
      <c r="R7" s="1553" t="s">
        <v>8</v>
      </c>
      <c r="S7" s="1554">
        <f t="shared" ref="S7:S15" si="0">F7</f>
        <v>100</v>
      </c>
      <c r="T7" s="1553" t="s">
        <v>8</v>
      </c>
      <c r="U7" s="1554">
        <f t="shared" ref="U7:U15" si="1">H7</f>
        <v>100</v>
      </c>
      <c r="V7" s="1553" t="s">
        <v>8</v>
      </c>
      <c r="W7" s="1554">
        <f t="shared" ref="W7:W15" si="2">J7</f>
        <v>100</v>
      </c>
      <c r="X7" s="1555"/>
      <c r="Y7" s="3391" t="s">
        <v>530</v>
      </c>
      <c r="Z7" s="3392"/>
      <c r="AA7" s="1556">
        <f>D7/F7</f>
        <v>1</v>
      </c>
      <c r="AB7" s="1556">
        <f>D7/H7</f>
        <v>1</v>
      </c>
      <c r="AC7" s="1556">
        <f>D7/J7</f>
        <v>1</v>
      </c>
    </row>
    <row r="8" spans="1:29" s="1215" customFormat="1" ht="15" thickBot="1">
      <c r="A8" s="2867"/>
      <c r="B8" s="2874" t="s">
        <v>531</v>
      </c>
      <c r="C8" s="525" t="s">
        <v>576</v>
      </c>
      <c r="D8" s="520">
        <v>100</v>
      </c>
      <c r="E8" s="856" t="s">
        <v>3082</v>
      </c>
      <c r="F8" s="522">
        <f>SUMIF(61:61,E8,62:62)-SUMIF(61:61,C8,62:62)+100</f>
        <v>100</v>
      </c>
      <c r="G8" s="856" t="s">
        <v>3082</v>
      </c>
      <c r="H8" s="520">
        <f>SUMIF(61:61,G8,62:62)-SUMIF(61:61,C8,62:62)+100</f>
        <v>100</v>
      </c>
      <c r="I8" s="856" t="s">
        <v>3082</v>
      </c>
      <c r="J8" s="520">
        <f>SUMIF(61:61,I8,62:62)-SUMIF(61:61,C8,62:62)+100</f>
        <v>100</v>
      </c>
      <c r="K8" s="855"/>
      <c r="L8" s="2119"/>
      <c r="M8" s="2120"/>
      <c r="N8" s="2120"/>
      <c r="O8" s="2120"/>
      <c r="P8" s="3391" t="s">
        <v>533</v>
      </c>
      <c r="Q8" s="3392"/>
      <c r="R8" s="1553" t="s">
        <v>8</v>
      </c>
      <c r="S8" s="1554">
        <f t="shared" si="0"/>
        <v>100</v>
      </c>
      <c r="T8" s="1553" t="s">
        <v>8</v>
      </c>
      <c r="U8" s="1554">
        <f t="shared" si="1"/>
        <v>100</v>
      </c>
      <c r="V8" s="1553" t="s">
        <v>8</v>
      </c>
      <c r="W8" s="1554">
        <f t="shared" si="2"/>
        <v>100</v>
      </c>
      <c r="X8" s="1555"/>
      <c r="Y8" s="3391" t="s">
        <v>533</v>
      </c>
      <c r="Z8" s="3392"/>
      <c r="AA8" s="1556">
        <f t="shared" ref="AA8:AA46" si="3">D8/F8</f>
        <v>1</v>
      </c>
      <c r="AB8" s="1556">
        <f t="shared" ref="AB8:AB46" si="4">D8/H8</f>
        <v>1</v>
      </c>
      <c r="AC8" s="1556">
        <f t="shared" ref="AC8:AC46" si="5">D8/J8</f>
        <v>1</v>
      </c>
    </row>
    <row r="9" spans="1:29" s="1215" customFormat="1" ht="14.4">
      <c r="A9" s="2868"/>
      <c r="B9" s="2875" t="s">
        <v>2756</v>
      </c>
      <c r="C9" s="3192" t="s">
        <v>3066</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61" t="s">
        <v>535</v>
      </c>
      <c r="Q9" s="3177" t="str">
        <f t="shared" ref="Q9:Q15" si="6">B9</f>
        <v>用途</v>
      </c>
      <c r="R9" s="1553" t="s">
        <v>8</v>
      </c>
      <c r="S9" s="1554">
        <f t="shared" si="0"/>
        <v>100</v>
      </c>
      <c r="T9" s="1553" t="s">
        <v>8</v>
      </c>
      <c r="U9" s="1554">
        <f t="shared" si="1"/>
        <v>100</v>
      </c>
      <c r="V9" s="1553" t="s">
        <v>8</v>
      </c>
      <c r="W9" s="1554">
        <f t="shared" si="2"/>
        <v>100</v>
      </c>
      <c r="X9" s="1555"/>
      <c r="Y9" s="3307" t="s">
        <v>536</v>
      </c>
      <c r="Z9" s="3176" t="str">
        <f t="shared" ref="Z9:Z15" si="7">Q9</f>
        <v>用途</v>
      </c>
      <c r="AA9" s="1556">
        <f t="shared" si="3"/>
        <v>1</v>
      </c>
      <c r="AB9" s="1556">
        <f t="shared" si="4"/>
        <v>1</v>
      </c>
      <c r="AC9" s="1556">
        <f t="shared" si="5"/>
        <v>1</v>
      </c>
    </row>
    <row r="10" spans="1:29" s="1333" customFormat="1" ht="28.8">
      <c r="A10" s="2869"/>
      <c r="B10" s="2874" t="s">
        <v>2757</v>
      </c>
      <c r="C10" s="861" t="s">
        <v>3067</v>
      </c>
      <c r="D10" s="255">
        <v>100</v>
      </c>
      <c r="E10" s="861" t="s">
        <v>3067</v>
      </c>
      <c r="F10" s="863">
        <f>SUMIF(65:65,E10,66:66)-SUMIF(65:65,C10,66:66)+100</f>
        <v>100</v>
      </c>
      <c r="G10" s="861" t="s">
        <v>3067</v>
      </c>
      <c r="H10" s="255">
        <f>SUMIF(65:65,G10,66:66)-SUMIF(65:65,C10,66:66)+100</f>
        <v>100</v>
      </c>
      <c r="I10" s="861" t="s">
        <v>3067</v>
      </c>
      <c r="J10" s="255">
        <f>SUMIF(65:65,I10,66:66)-SUMIF(65:65,C10,66:66)+100</f>
        <v>100</v>
      </c>
      <c r="K10" s="864">
        <v>1</v>
      </c>
      <c r="L10" s="2122"/>
      <c r="M10" s="2162"/>
      <c r="N10" s="2162"/>
      <c r="O10" s="2123"/>
      <c r="P10" s="3361"/>
      <c r="Q10" s="3177" t="str">
        <f t="shared" si="6"/>
        <v>土地使用年限（年）</v>
      </c>
      <c r="R10" s="1553" t="s">
        <v>8</v>
      </c>
      <c r="S10" s="1554">
        <f t="shared" si="0"/>
        <v>100</v>
      </c>
      <c r="T10" s="1553" t="s">
        <v>8</v>
      </c>
      <c r="U10" s="1554">
        <f t="shared" si="1"/>
        <v>100</v>
      </c>
      <c r="V10" s="1553" t="s">
        <v>8</v>
      </c>
      <c r="W10" s="1554">
        <f t="shared" si="2"/>
        <v>100</v>
      </c>
      <c r="X10" s="1555"/>
      <c r="Y10" s="3307"/>
      <c r="Z10" s="3176" t="str">
        <f t="shared" si="7"/>
        <v>土地使用年限（年）</v>
      </c>
      <c r="AA10" s="1556">
        <f t="shared" si="3"/>
        <v>1</v>
      </c>
      <c r="AB10" s="1556">
        <f t="shared" si="4"/>
        <v>1</v>
      </c>
      <c r="AC10" s="1556">
        <f t="shared" si="5"/>
        <v>1</v>
      </c>
    </row>
    <row r="11" spans="1:29" ht="15.6" thickBot="1">
      <c r="A11" s="2870"/>
      <c r="B11" s="2874" t="s">
        <v>2758</v>
      </c>
      <c r="C11" s="533">
        <f>'比较法-住宅、综合'!C13</f>
        <v>3.66</v>
      </c>
      <c r="D11" s="255">
        <v>100</v>
      </c>
      <c r="E11" s="534">
        <v>1.7</v>
      </c>
      <c r="F11" s="863">
        <f>LOOKUP(E11,68:68,69:69)-LOOKUP(C11,68:68,69:69)+100</f>
        <v>102</v>
      </c>
      <c r="G11" s="533">
        <v>1.7</v>
      </c>
      <c r="H11" s="255">
        <f>LOOKUP(G11,68:68,69:69)-LOOKUP(C11,68:68,69:69)+100</f>
        <v>102</v>
      </c>
      <c r="I11" s="533">
        <v>1.4</v>
      </c>
      <c r="J11" s="255">
        <f>LOOKUP(I11,68:68,69:69)-LOOKUP(C11,68:68,69:69)+100</f>
        <v>104</v>
      </c>
      <c r="K11" s="864">
        <f>'比较法-住宅、综合'!K13</f>
        <v>2</v>
      </c>
      <c r="L11" s="2124"/>
      <c r="M11" s="2118"/>
      <c r="N11" s="2118"/>
      <c r="O11" s="2125"/>
      <c r="P11" s="3361"/>
      <c r="Q11" s="3177" t="str">
        <f t="shared" si="6"/>
        <v>容积率</v>
      </c>
      <c r="R11" s="1553" t="s">
        <v>8</v>
      </c>
      <c r="S11" s="1554">
        <f t="shared" si="0"/>
        <v>102</v>
      </c>
      <c r="T11" s="1553" t="s">
        <v>8</v>
      </c>
      <c r="U11" s="1554">
        <f t="shared" si="1"/>
        <v>102</v>
      </c>
      <c r="V11" s="1553" t="s">
        <v>8</v>
      </c>
      <c r="W11" s="1554">
        <f t="shared" si="2"/>
        <v>104</v>
      </c>
      <c r="X11" s="1555"/>
      <c r="Y11" s="3307"/>
      <c r="Z11" s="3176" t="str">
        <f t="shared" si="7"/>
        <v>容积率</v>
      </c>
      <c r="AA11" s="1556">
        <f t="shared" si="3"/>
        <v>0.98039215686274506</v>
      </c>
      <c r="AB11" s="1556">
        <f t="shared" si="4"/>
        <v>0.98039215686274506</v>
      </c>
      <c r="AC11" s="1556">
        <f t="shared" si="5"/>
        <v>0.96153846153846156</v>
      </c>
    </row>
    <row r="12" spans="1:29" s="1215"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1"/>
      <c r="Q12" s="3177">
        <f t="shared" si="6"/>
        <v>111</v>
      </c>
      <c r="R12" s="1553" t="s">
        <v>8</v>
      </c>
      <c r="S12" s="1554">
        <f t="shared" si="0"/>
        <v>100</v>
      </c>
      <c r="T12" s="1553" t="s">
        <v>8</v>
      </c>
      <c r="U12" s="1554">
        <f t="shared" si="1"/>
        <v>100</v>
      </c>
      <c r="V12" s="1553" t="s">
        <v>8</v>
      </c>
      <c r="W12" s="1554">
        <f t="shared" si="2"/>
        <v>100</v>
      </c>
      <c r="X12" s="1555"/>
      <c r="Y12" s="3307"/>
      <c r="Z12" s="3176">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1"/>
      <c r="Q13" s="3177">
        <f t="shared" si="6"/>
        <v>111</v>
      </c>
      <c r="R13" s="1553" t="s">
        <v>8</v>
      </c>
      <c r="S13" s="1554">
        <f t="shared" si="0"/>
        <v>100</v>
      </c>
      <c r="T13" s="1553" t="s">
        <v>8</v>
      </c>
      <c r="U13" s="1554">
        <f t="shared" si="1"/>
        <v>100</v>
      </c>
      <c r="V13" s="1553" t="s">
        <v>8</v>
      </c>
      <c r="W13" s="1554">
        <f t="shared" si="2"/>
        <v>100</v>
      </c>
      <c r="X13" s="1555"/>
      <c r="Y13" s="3307"/>
      <c r="Z13" s="317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1"/>
      <c r="Q14" s="3177">
        <f t="shared" si="6"/>
        <v>111</v>
      </c>
      <c r="R14" s="1553" t="s">
        <v>8</v>
      </c>
      <c r="S14" s="1554">
        <f t="shared" si="0"/>
        <v>100</v>
      </c>
      <c r="T14" s="1553" t="s">
        <v>8</v>
      </c>
      <c r="U14" s="1554">
        <f t="shared" si="1"/>
        <v>100</v>
      </c>
      <c r="V14" s="1553" t="s">
        <v>8</v>
      </c>
      <c r="W14" s="1554">
        <f t="shared" si="2"/>
        <v>100</v>
      </c>
      <c r="X14" s="1555"/>
      <c r="Y14" s="3307"/>
      <c r="Z14" s="3176">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98</v>
      </c>
      <c r="K15" s="868">
        <v>2</v>
      </c>
      <c r="L15" s="2126"/>
      <c r="M15" s="2118"/>
      <c r="N15" s="2118"/>
      <c r="O15" s="2125"/>
      <c r="P15" s="3394" t="s">
        <v>540</v>
      </c>
      <c r="Q15" s="3179" t="str">
        <f t="shared" si="6"/>
        <v>居住社区成熟度</v>
      </c>
      <c r="R15" s="1558" t="s">
        <v>8</v>
      </c>
      <c r="S15" s="1559">
        <f t="shared" si="0"/>
        <v>98</v>
      </c>
      <c r="T15" s="1558" t="s">
        <v>8</v>
      </c>
      <c r="U15" s="1559">
        <f t="shared" si="1"/>
        <v>98</v>
      </c>
      <c r="V15" s="1558" t="s">
        <v>8</v>
      </c>
      <c r="W15" s="1559">
        <f t="shared" si="2"/>
        <v>98</v>
      </c>
      <c r="X15" s="3178"/>
      <c r="Y15" s="3394" t="s">
        <v>540</v>
      </c>
      <c r="Z15" s="3180" t="str">
        <f t="shared" si="7"/>
        <v>居住社区成熟度</v>
      </c>
      <c r="AA15" s="3181">
        <f t="shared" si="3"/>
        <v>1.0204081632653061</v>
      </c>
      <c r="AB15" s="3181">
        <f t="shared" si="4"/>
        <v>1.0204081632653061</v>
      </c>
      <c r="AC15" s="3181">
        <f t="shared" si="5"/>
        <v>1.0204081632653061</v>
      </c>
    </row>
    <row r="16" spans="1:29" ht="15">
      <c r="A16" s="532"/>
      <c r="B16" s="869"/>
      <c r="C16" s="576" t="s">
        <v>3030</v>
      </c>
      <c r="D16" s="555"/>
      <c r="E16" s="576" t="s">
        <v>3032</v>
      </c>
      <c r="F16" s="557"/>
      <c r="G16" s="576" t="s">
        <v>3032</v>
      </c>
      <c r="H16" s="559"/>
      <c r="I16" s="576" t="s">
        <v>3032</v>
      </c>
      <c r="J16" s="555"/>
      <c r="K16" s="870"/>
      <c r="L16" s="2126"/>
      <c r="M16" s="2118"/>
      <c r="N16" s="2118"/>
      <c r="O16" s="2125"/>
      <c r="P16" s="3395"/>
      <c r="Q16" s="3179"/>
      <c r="R16" s="1558"/>
      <c r="S16" s="1559"/>
      <c r="T16" s="1558"/>
      <c r="U16" s="1559"/>
      <c r="V16" s="1558"/>
      <c r="W16" s="1559"/>
      <c r="X16" s="3178"/>
      <c r="Y16" s="3395"/>
      <c r="Z16" s="3180"/>
      <c r="AA16" s="3181">
        <v>1</v>
      </c>
      <c r="AB16" s="3181">
        <v>1</v>
      </c>
      <c r="AC16" s="318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95"/>
      <c r="Q17" s="3179" t="str">
        <f>B17</f>
        <v>交通便捷度</v>
      </c>
      <c r="R17" s="1558" t="s">
        <v>8</v>
      </c>
      <c r="S17" s="1559">
        <f>F17</f>
        <v>98</v>
      </c>
      <c r="T17" s="1558" t="s">
        <v>8</v>
      </c>
      <c r="U17" s="1559">
        <f>H17</f>
        <v>98</v>
      </c>
      <c r="V17" s="1558" t="s">
        <v>8</v>
      </c>
      <c r="W17" s="1559">
        <f>J17</f>
        <v>98</v>
      </c>
      <c r="X17" s="3178"/>
      <c r="Y17" s="3395"/>
      <c r="Z17" s="3180" t="str">
        <f>Q17</f>
        <v>交通便捷度</v>
      </c>
      <c r="AA17" s="3181">
        <f t="shared" si="3"/>
        <v>1.0204081632653061</v>
      </c>
      <c r="AB17" s="3181">
        <f t="shared" si="4"/>
        <v>1.0204081632653061</v>
      </c>
      <c r="AC17" s="3181">
        <f t="shared" si="5"/>
        <v>1.0204081632653061</v>
      </c>
    </row>
    <row r="18" spans="1:29" ht="15">
      <c r="A18" s="532"/>
      <c r="B18" s="595"/>
      <c r="C18" s="873" t="s">
        <v>3030</v>
      </c>
      <c r="D18" s="559"/>
      <c r="E18" s="576" t="s">
        <v>3032</v>
      </c>
      <c r="F18" s="563"/>
      <c r="G18" s="576" t="s">
        <v>3032</v>
      </c>
      <c r="H18" s="555"/>
      <c r="I18" s="576" t="s">
        <v>3032</v>
      </c>
      <c r="J18" s="555"/>
      <c r="K18" s="870"/>
      <c r="L18" s="2126"/>
      <c r="M18" s="2118"/>
      <c r="N18" s="2118"/>
      <c r="O18" s="2125"/>
      <c r="P18" s="3395"/>
      <c r="Q18" s="3179"/>
      <c r="R18" s="1558"/>
      <c r="S18" s="1559"/>
      <c r="T18" s="1558"/>
      <c r="U18" s="1559"/>
      <c r="V18" s="1558"/>
      <c r="W18" s="1559"/>
      <c r="X18" s="3178"/>
      <c r="Y18" s="3395"/>
      <c r="Z18" s="3180"/>
      <c r="AA18" s="3181">
        <v>1</v>
      </c>
      <c r="AB18" s="3181">
        <v>1</v>
      </c>
      <c r="AC18" s="318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99</v>
      </c>
      <c r="K19" s="868">
        <v>1</v>
      </c>
      <c r="L19" s="2126"/>
      <c r="M19" s="2118"/>
      <c r="N19" s="2118"/>
      <c r="O19" s="2125"/>
      <c r="P19" s="3395"/>
      <c r="Q19" s="3179" t="str">
        <f>B19</f>
        <v>公共配套设施</v>
      </c>
      <c r="R19" s="1558" t="s">
        <v>8</v>
      </c>
      <c r="S19" s="1559">
        <f>F19</f>
        <v>99</v>
      </c>
      <c r="T19" s="1558" t="s">
        <v>8</v>
      </c>
      <c r="U19" s="1559">
        <f>H19</f>
        <v>99</v>
      </c>
      <c r="V19" s="1558" t="s">
        <v>8</v>
      </c>
      <c r="W19" s="1559">
        <f>J19</f>
        <v>99</v>
      </c>
      <c r="X19" s="3178"/>
      <c r="Y19" s="3395"/>
      <c r="Z19" s="3180" t="str">
        <f>Q19</f>
        <v>公共配套设施</v>
      </c>
      <c r="AA19" s="3181">
        <f t="shared" si="3"/>
        <v>1.0101010101010102</v>
      </c>
      <c r="AB19" s="3181">
        <f t="shared" si="4"/>
        <v>1.0101010101010102</v>
      </c>
      <c r="AC19" s="3181">
        <f t="shared" si="5"/>
        <v>1.0101010101010102</v>
      </c>
    </row>
    <row r="20" spans="1:29" ht="15">
      <c r="A20" s="532"/>
      <c r="B20" s="595"/>
      <c r="C20" s="576" t="s">
        <v>3030</v>
      </c>
      <c r="D20" s="555"/>
      <c r="E20" s="576" t="s">
        <v>3032</v>
      </c>
      <c r="F20" s="557"/>
      <c r="G20" s="576" t="s">
        <v>3032</v>
      </c>
      <c r="H20" s="555"/>
      <c r="I20" s="576" t="s">
        <v>3032</v>
      </c>
      <c r="J20" s="555"/>
      <c r="K20" s="870"/>
      <c r="L20" s="2126"/>
      <c r="M20" s="2118"/>
      <c r="N20" s="2118"/>
      <c r="O20" s="2125"/>
      <c r="P20" s="3395"/>
      <c r="Q20" s="3179"/>
      <c r="R20" s="1558"/>
      <c r="S20" s="1559"/>
      <c r="T20" s="1558"/>
      <c r="U20" s="1559"/>
      <c r="V20" s="1558"/>
      <c r="W20" s="1559"/>
      <c r="X20" s="3178"/>
      <c r="Y20" s="3395"/>
      <c r="Z20" s="3180"/>
      <c r="AA20" s="3181">
        <v>1</v>
      </c>
      <c r="AB20" s="3181">
        <v>1</v>
      </c>
      <c r="AC20" s="3181">
        <v>1</v>
      </c>
    </row>
    <row r="21" spans="1:29" ht="15">
      <c r="A21" s="532"/>
      <c r="B21" s="2556"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5"/>
      <c r="Q21" s="3179" t="str">
        <f>B21</f>
        <v>基础设施水平</v>
      </c>
      <c r="R21" s="1558" t="s">
        <v>8</v>
      </c>
      <c r="S21" s="1559">
        <f>F21</f>
        <v>100</v>
      </c>
      <c r="T21" s="1558" t="s">
        <v>8</v>
      </c>
      <c r="U21" s="1559">
        <f>H21</f>
        <v>100</v>
      </c>
      <c r="V21" s="1558" t="s">
        <v>8</v>
      </c>
      <c r="W21" s="1559">
        <f>J21</f>
        <v>100</v>
      </c>
      <c r="X21" s="3178"/>
      <c r="Y21" s="3395"/>
      <c r="Z21" s="3180" t="str">
        <f>Q21</f>
        <v>基础设施水平</v>
      </c>
      <c r="AA21" s="3181">
        <f t="shared" ref="AA21" si="8">D21/F21</f>
        <v>1</v>
      </c>
      <c r="AB21" s="3181">
        <f t="shared" ref="AB21" si="9">D21/H21</f>
        <v>1</v>
      </c>
      <c r="AC21" s="3181">
        <f t="shared" ref="AC21" si="10">D21/J21</f>
        <v>1</v>
      </c>
    </row>
    <row r="22" spans="1:29" ht="15">
      <c r="A22" s="532"/>
      <c r="B22" s="921"/>
      <c r="C22" s="873" t="s">
        <v>3036</v>
      </c>
      <c r="D22" s="555"/>
      <c r="E22" s="873" t="s">
        <v>3036</v>
      </c>
      <c r="F22" s="557"/>
      <c r="G22" s="873" t="s">
        <v>3036</v>
      </c>
      <c r="H22" s="555"/>
      <c r="I22" s="873" t="s">
        <v>3036</v>
      </c>
      <c r="J22" s="555"/>
      <c r="K22" s="2562"/>
      <c r="L22" s="2126"/>
      <c r="M22" s="2118"/>
      <c r="N22" s="2118"/>
      <c r="O22" s="2125"/>
      <c r="P22" s="3395"/>
      <c r="Q22" s="3179"/>
      <c r="R22" s="1558"/>
      <c r="S22" s="1559"/>
      <c r="T22" s="1558"/>
      <c r="U22" s="1559"/>
      <c r="V22" s="1558"/>
      <c r="W22" s="1559"/>
      <c r="X22" s="3178"/>
      <c r="Y22" s="3395"/>
      <c r="Z22" s="3180"/>
      <c r="AA22" s="3181">
        <v>1</v>
      </c>
      <c r="AB22" s="3181">
        <v>1</v>
      </c>
      <c r="AC22" s="318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5"/>
      <c r="Q23" s="3179" t="str">
        <f>B23</f>
        <v>自然及人文环境</v>
      </c>
      <c r="R23" s="1558" t="s">
        <v>8</v>
      </c>
      <c r="S23" s="1559">
        <f>F23</f>
        <v>100</v>
      </c>
      <c r="T23" s="1558" t="s">
        <v>8</v>
      </c>
      <c r="U23" s="1559">
        <f>H23</f>
        <v>100</v>
      </c>
      <c r="V23" s="1558" t="s">
        <v>8</v>
      </c>
      <c r="W23" s="1559">
        <f>J23</f>
        <v>100</v>
      </c>
      <c r="X23" s="3178"/>
      <c r="Y23" s="3395"/>
      <c r="Z23" s="3180" t="str">
        <f>Q23</f>
        <v>自然及人文环境</v>
      </c>
      <c r="AA23" s="3181">
        <f t="shared" si="3"/>
        <v>1</v>
      </c>
      <c r="AB23" s="3181">
        <f t="shared" si="4"/>
        <v>1</v>
      </c>
      <c r="AC23" s="3181">
        <f t="shared" si="5"/>
        <v>1</v>
      </c>
    </row>
    <row r="24" spans="1:29" ht="15.6" thickBot="1">
      <c r="A24" s="532"/>
      <c r="B24" s="595"/>
      <c r="C24" s="576" t="s">
        <v>3030</v>
      </c>
      <c r="D24" s="555"/>
      <c r="E24" s="576" t="s">
        <v>3030</v>
      </c>
      <c r="F24" s="557"/>
      <c r="G24" s="576" t="s">
        <v>3030</v>
      </c>
      <c r="H24" s="555"/>
      <c r="I24" s="576" t="s">
        <v>3030</v>
      </c>
      <c r="J24" s="555"/>
      <c r="K24" s="870"/>
      <c r="L24" s="2126"/>
      <c r="M24" s="2118"/>
      <c r="N24" s="2118"/>
      <c r="O24" s="2125"/>
      <c r="P24" s="3395"/>
      <c r="Q24" s="3179"/>
      <c r="R24" s="1558"/>
      <c r="S24" s="1559"/>
      <c r="T24" s="1558"/>
      <c r="U24" s="1559"/>
      <c r="V24" s="1558"/>
      <c r="W24" s="1559"/>
      <c r="X24" s="3178"/>
      <c r="Y24" s="3395"/>
      <c r="Z24" s="3180"/>
      <c r="AA24" s="3181">
        <v>1</v>
      </c>
      <c r="AB24" s="3181">
        <v>1</v>
      </c>
      <c r="AC24" s="3181">
        <v>1</v>
      </c>
    </row>
    <row r="25" spans="1:29" ht="15.6" hidden="1" thickBot="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5"/>
      <c r="Q25" s="3179" t="str">
        <f t="shared" ref="Q25:Q46" si="11">B25</f>
        <v>楼层-1</v>
      </c>
      <c r="R25" s="1558" t="s">
        <v>8</v>
      </c>
      <c r="S25" s="1559">
        <f>F25</f>
        <v>100</v>
      </c>
      <c r="T25" s="1558" t="s">
        <v>8</v>
      </c>
      <c r="U25" s="1559">
        <f>H25</f>
        <v>100</v>
      </c>
      <c r="V25" s="1558" t="s">
        <v>8</v>
      </c>
      <c r="W25" s="1559">
        <f>J25</f>
        <v>100</v>
      </c>
      <c r="X25" s="3178"/>
      <c r="Y25" s="3395"/>
      <c r="Z25" s="3180" t="str">
        <f>Q25</f>
        <v>楼层-1</v>
      </c>
      <c r="AA25" s="3181">
        <f t="shared" si="3"/>
        <v>1</v>
      </c>
      <c r="AB25" s="3181">
        <f t="shared" si="4"/>
        <v>1</v>
      </c>
      <c r="AC25" s="3181">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5"/>
      <c r="Q26" s="3179" t="str">
        <f t="shared" si="11"/>
        <v>朝向</v>
      </c>
      <c r="R26" s="1558" t="s">
        <v>8</v>
      </c>
      <c r="S26" s="1559">
        <f>F26</f>
        <v>100</v>
      </c>
      <c r="T26" s="1558" t="s">
        <v>8</v>
      </c>
      <c r="U26" s="1559">
        <f>H26</f>
        <v>100</v>
      </c>
      <c r="V26" s="1558" t="s">
        <v>8</v>
      </c>
      <c r="W26" s="1559">
        <f>J26</f>
        <v>100</v>
      </c>
      <c r="X26" s="3178"/>
      <c r="Y26" s="3395"/>
      <c r="Z26" s="3180" t="str">
        <f>Q26</f>
        <v>朝向</v>
      </c>
      <c r="AA26" s="3181">
        <f t="shared" si="3"/>
        <v>1</v>
      </c>
      <c r="AB26" s="3181">
        <f t="shared" si="4"/>
        <v>1</v>
      </c>
      <c r="AC26" s="3181">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5"/>
      <c r="Q27" s="3177" t="str">
        <f t="shared" si="11"/>
        <v>道路级别</v>
      </c>
      <c r="R27" s="1553" t="s">
        <v>8</v>
      </c>
      <c r="S27" s="1554">
        <f>F27</f>
        <v>100</v>
      </c>
      <c r="T27" s="1553" t="s">
        <v>8</v>
      </c>
      <c r="U27" s="1554">
        <f>H27</f>
        <v>100</v>
      </c>
      <c r="V27" s="1553" t="s">
        <v>8</v>
      </c>
      <c r="W27" s="1554">
        <f>J27</f>
        <v>100</v>
      </c>
      <c r="X27" s="1555"/>
      <c r="Y27" s="3395"/>
      <c r="Z27" s="3176" t="str">
        <f>Q27</f>
        <v>道路级别</v>
      </c>
      <c r="AA27" s="3181">
        <f>D27/F27</f>
        <v>1</v>
      </c>
      <c r="AB27" s="3181">
        <f>D27/H27</f>
        <v>1</v>
      </c>
      <c r="AC27" s="3181">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5"/>
      <c r="Q28" s="3179">
        <f t="shared" si="11"/>
        <v>111</v>
      </c>
      <c r="R28" s="1558" t="s">
        <v>8</v>
      </c>
      <c r="S28" s="1559">
        <f t="shared" ref="S28:S46" si="12">F28</f>
        <v>100</v>
      </c>
      <c r="T28" s="1558" t="s">
        <v>8</v>
      </c>
      <c r="U28" s="1559">
        <f t="shared" ref="U28:U46" si="13">H28</f>
        <v>100</v>
      </c>
      <c r="V28" s="1558" t="s">
        <v>8</v>
      </c>
      <c r="W28" s="1559">
        <f t="shared" ref="W28:W46" si="14">J28</f>
        <v>100</v>
      </c>
      <c r="X28" s="3178"/>
      <c r="Y28" s="3395"/>
      <c r="Z28" s="3180">
        <f t="shared" ref="Z28:Z46" si="15">Q28</f>
        <v>111</v>
      </c>
      <c r="AA28" s="3181">
        <f t="shared" si="3"/>
        <v>1</v>
      </c>
      <c r="AB28" s="3181">
        <f t="shared" si="4"/>
        <v>1</v>
      </c>
      <c r="AC28" s="3181">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5"/>
      <c r="Q29" s="3179">
        <f t="shared" si="11"/>
        <v>111</v>
      </c>
      <c r="R29" s="1558" t="s">
        <v>8</v>
      </c>
      <c r="S29" s="1559">
        <f t="shared" si="12"/>
        <v>100</v>
      </c>
      <c r="T29" s="1558" t="s">
        <v>8</v>
      </c>
      <c r="U29" s="1559">
        <f t="shared" si="13"/>
        <v>100</v>
      </c>
      <c r="V29" s="1558" t="s">
        <v>8</v>
      </c>
      <c r="W29" s="1559">
        <f t="shared" si="14"/>
        <v>100</v>
      </c>
      <c r="X29" s="3178"/>
      <c r="Y29" s="3395"/>
      <c r="Z29" s="3180">
        <f t="shared" si="15"/>
        <v>111</v>
      </c>
      <c r="AA29" s="3181">
        <f t="shared" si="3"/>
        <v>1</v>
      </c>
      <c r="AB29" s="3181">
        <f t="shared" si="4"/>
        <v>1</v>
      </c>
      <c r="AC29" s="3181">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5"/>
      <c r="Q30" s="3179">
        <f t="shared" si="11"/>
        <v>111</v>
      </c>
      <c r="R30" s="1558" t="s">
        <v>8</v>
      </c>
      <c r="S30" s="1559">
        <f t="shared" si="12"/>
        <v>100</v>
      </c>
      <c r="T30" s="1558" t="s">
        <v>8</v>
      </c>
      <c r="U30" s="1559">
        <f t="shared" si="13"/>
        <v>100</v>
      </c>
      <c r="V30" s="1558" t="s">
        <v>8</v>
      </c>
      <c r="W30" s="1559">
        <f t="shared" si="14"/>
        <v>100</v>
      </c>
      <c r="X30" s="3178"/>
      <c r="Y30" s="3395"/>
      <c r="Z30" s="3180">
        <f t="shared" si="15"/>
        <v>111</v>
      </c>
      <c r="AA30" s="3181">
        <f t="shared" si="3"/>
        <v>1</v>
      </c>
      <c r="AB30" s="3181">
        <f t="shared" si="4"/>
        <v>1</v>
      </c>
      <c r="AC30" s="318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5"/>
      <c r="Q31" s="3179">
        <f t="shared" si="11"/>
        <v>111</v>
      </c>
      <c r="R31" s="1558" t="s">
        <v>8</v>
      </c>
      <c r="S31" s="1559">
        <f t="shared" si="12"/>
        <v>100</v>
      </c>
      <c r="T31" s="1558" t="s">
        <v>8</v>
      </c>
      <c r="U31" s="1559">
        <f t="shared" si="13"/>
        <v>100</v>
      </c>
      <c r="V31" s="1558" t="s">
        <v>8</v>
      </c>
      <c r="W31" s="1559">
        <f t="shared" si="14"/>
        <v>100</v>
      </c>
      <c r="X31" s="3178"/>
      <c r="Y31" s="3395"/>
      <c r="Z31" s="3180">
        <f t="shared" si="15"/>
        <v>111</v>
      </c>
      <c r="AA31" s="3181">
        <f t="shared" si="3"/>
        <v>1</v>
      </c>
      <c r="AB31" s="3181">
        <f t="shared" si="4"/>
        <v>1</v>
      </c>
      <c r="AC31" s="3181">
        <f t="shared" si="5"/>
        <v>1</v>
      </c>
    </row>
    <row r="32" spans="1:29" ht="15">
      <c r="A32" s="2861" t="s">
        <v>2755</v>
      </c>
      <c r="B32" s="172" t="s">
        <v>725</v>
      </c>
      <c r="C32" s="878" t="s">
        <v>3025</v>
      </c>
      <c r="D32" s="597">
        <v>100</v>
      </c>
      <c r="E32" s="878" t="s">
        <v>3025</v>
      </c>
      <c r="F32" s="575">
        <f>SUMIF(100:100,E32,101:101)-SUMIF(100:100,C32,101:101)+100</f>
        <v>100</v>
      </c>
      <c r="G32" s="878" t="s">
        <v>3025</v>
      </c>
      <c r="H32" s="597">
        <f>SUMIF(100:100,G32,101:101)-SUMIF(100:100,C32,101:101)+100</f>
        <v>100</v>
      </c>
      <c r="I32" s="878" t="s">
        <v>3025</v>
      </c>
      <c r="J32" s="540">
        <f>SUMIF(100:100,I32,101:101)-SUMIF(100:100,C32,101:101)+100</f>
        <v>100</v>
      </c>
      <c r="K32" s="864">
        <v>5</v>
      </c>
      <c r="L32" s="2126"/>
      <c r="M32" s="2118"/>
      <c r="N32" s="2118"/>
      <c r="O32" s="2125"/>
      <c r="P32" s="3396" t="s">
        <v>550</v>
      </c>
      <c r="Q32" s="3179" t="str">
        <f t="shared" si="11"/>
        <v>建筑类型</v>
      </c>
      <c r="R32" s="1558" t="s">
        <v>8</v>
      </c>
      <c r="S32" s="1559">
        <f t="shared" si="12"/>
        <v>100</v>
      </c>
      <c r="T32" s="1558" t="s">
        <v>8</v>
      </c>
      <c r="U32" s="1559">
        <f t="shared" si="13"/>
        <v>100</v>
      </c>
      <c r="V32" s="1558" t="s">
        <v>8</v>
      </c>
      <c r="W32" s="1559">
        <f t="shared" si="14"/>
        <v>100</v>
      </c>
      <c r="X32" s="3178"/>
      <c r="Y32" s="3397" t="s">
        <v>550</v>
      </c>
      <c r="Z32" s="3180" t="str">
        <f t="shared" si="15"/>
        <v>建筑类型</v>
      </c>
      <c r="AA32" s="3181">
        <f t="shared" si="3"/>
        <v>1</v>
      </c>
      <c r="AB32" s="3181">
        <f t="shared" si="4"/>
        <v>1</v>
      </c>
      <c r="AC32" s="3181">
        <f t="shared" si="5"/>
        <v>1</v>
      </c>
    </row>
    <row r="33" spans="1:29" s="1334" customFormat="1" ht="15">
      <c r="A33" s="603"/>
      <c r="B33" s="527" t="s">
        <v>726</v>
      </c>
      <c r="C33" s="879">
        <f>'数据-基础表'!B3</f>
        <v>205689</v>
      </c>
      <c r="D33" s="255">
        <v>100</v>
      </c>
      <c r="E33" s="534">
        <v>390562.68</v>
      </c>
      <c r="F33" s="863">
        <f>LOOKUP(E33,103:103,104:104)-LOOKUP(C33,103:103,104:104)+100</f>
        <v>101</v>
      </c>
      <c r="G33" s="533">
        <v>410000</v>
      </c>
      <c r="H33" s="255">
        <f>LOOKUP(G33,103:103,104:104)-LOOKUP(C33,103:103,104:104)+100</f>
        <v>102</v>
      </c>
      <c r="I33" s="534">
        <v>700000</v>
      </c>
      <c r="J33" s="255">
        <f>LOOKUP(I33,103:103,104:104)-LOOKUP(C33,103:103,104:104)+100</f>
        <v>104</v>
      </c>
      <c r="K33" s="865"/>
      <c r="L33" s="2124"/>
      <c r="M33" s="2155"/>
      <c r="N33" s="2155"/>
      <c r="O33" s="2127"/>
      <c r="P33" s="3397"/>
      <c r="Q33" s="1589" t="str">
        <f t="shared" si="11"/>
        <v>项目建筑规模</v>
      </c>
      <c r="R33" s="1562" t="s">
        <v>8</v>
      </c>
      <c r="S33" s="1563">
        <f t="shared" si="12"/>
        <v>101</v>
      </c>
      <c r="T33" s="1562" t="s">
        <v>8</v>
      </c>
      <c r="U33" s="1563">
        <f t="shared" si="13"/>
        <v>102</v>
      </c>
      <c r="V33" s="1562" t="s">
        <v>8</v>
      </c>
      <c r="W33" s="1563">
        <f t="shared" si="14"/>
        <v>104</v>
      </c>
      <c r="X33" s="1564"/>
      <c r="Y33" s="3397"/>
      <c r="Z33" s="1565" t="str">
        <f t="shared" si="15"/>
        <v>项目建筑规模</v>
      </c>
      <c r="AA33" s="3181">
        <f t="shared" si="3"/>
        <v>0.99009900990099009</v>
      </c>
      <c r="AB33" s="3181">
        <f t="shared" si="4"/>
        <v>0.98039215686274506</v>
      </c>
      <c r="AC33" s="3181">
        <f t="shared" si="5"/>
        <v>0.96153846153846156</v>
      </c>
    </row>
    <row r="34" spans="1:29" ht="15">
      <c r="A34" s="594"/>
      <c r="B34" s="527" t="s">
        <v>727</v>
      </c>
      <c r="C34" s="880" t="s">
        <v>3070</v>
      </c>
      <c r="D34" s="540">
        <v>100</v>
      </c>
      <c r="E34" s="880" t="s">
        <v>3070</v>
      </c>
      <c r="F34" s="575">
        <f>SUMIF(105:105,E34,106:106)-SUMIF(105:105,C34,106:106)+100</f>
        <v>100</v>
      </c>
      <c r="G34" s="880" t="s">
        <v>3070</v>
      </c>
      <c r="H34" s="540">
        <f>SUMIF(105:105,G34,106:106)-SUMIF(105:105,C34,106:106)+100</f>
        <v>100</v>
      </c>
      <c r="I34" s="880" t="s">
        <v>3070</v>
      </c>
      <c r="J34" s="540">
        <f>SUMIF(105:105,I34,106:106)-SUMIF(105:105,C34,106:106)+100</f>
        <v>100</v>
      </c>
      <c r="K34" s="864">
        <v>1</v>
      </c>
      <c r="L34" s="2126"/>
      <c r="M34" s="2118"/>
      <c r="N34" s="2118"/>
      <c r="O34" s="2125"/>
      <c r="P34" s="3397"/>
      <c r="Q34" s="3179" t="str">
        <f t="shared" si="11"/>
        <v>建筑结构</v>
      </c>
      <c r="R34" s="1558" t="s">
        <v>8</v>
      </c>
      <c r="S34" s="1559">
        <f t="shared" si="12"/>
        <v>100</v>
      </c>
      <c r="T34" s="1558" t="s">
        <v>8</v>
      </c>
      <c r="U34" s="1559">
        <f t="shared" si="13"/>
        <v>100</v>
      </c>
      <c r="V34" s="1558" t="s">
        <v>8</v>
      </c>
      <c r="W34" s="1559">
        <f t="shared" si="14"/>
        <v>100</v>
      </c>
      <c r="X34" s="3178"/>
      <c r="Y34" s="3397"/>
      <c r="Z34" s="3180" t="str">
        <f t="shared" si="15"/>
        <v>建筑结构</v>
      </c>
      <c r="AA34" s="3181">
        <f t="shared" si="3"/>
        <v>1</v>
      </c>
      <c r="AB34" s="3181">
        <f t="shared" si="4"/>
        <v>1</v>
      </c>
      <c r="AC34" s="3181">
        <f t="shared" si="5"/>
        <v>1</v>
      </c>
    </row>
    <row r="35" spans="1:29" ht="15">
      <c r="A35" s="594"/>
      <c r="B35" s="527" t="s">
        <v>728</v>
      </c>
      <c r="C35" s="599" t="s">
        <v>3030</v>
      </c>
      <c r="D35" s="540">
        <v>100</v>
      </c>
      <c r="E35" s="599" t="s">
        <v>3030</v>
      </c>
      <c r="F35" s="575">
        <f>SUMIF(107:107,E35,108:108)-SUMIF(107:107,C35,108:108)+100</f>
        <v>100</v>
      </c>
      <c r="G35" s="599" t="s">
        <v>3030</v>
      </c>
      <c r="H35" s="540">
        <f>SUMIF(107:107,G35,108:108)-SUMIF(107:107,C35,108:108)+100</f>
        <v>100</v>
      </c>
      <c r="I35" s="599" t="s">
        <v>3030</v>
      </c>
      <c r="J35" s="540">
        <f>SUMIF(107:107,I35,108:108)-SUMIF(107:107,C35,108:108)+100</f>
        <v>100</v>
      </c>
      <c r="K35" s="864">
        <v>1</v>
      </c>
      <c r="L35" s="2126"/>
      <c r="M35" s="2118"/>
      <c r="N35" s="2118"/>
      <c r="O35" s="2125"/>
      <c r="P35" s="3397"/>
      <c r="Q35" s="3179" t="str">
        <f t="shared" si="11"/>
        <v>建筑品质</v>
      </c>
      <c r="R35" s="1558" t="s">
        <v>8</v>
      </c>
      <c r="S35" s="1559">
        <f t="shared" si="12"/>
        <v>100</v>
      </c>
      <c r="T35" s="1558" t="s">
        <v>8</v>
      </c>
      <c r="U35" s="1559">
        <f t="shared" si="13"/>
        <v>100</v>
      </c>
      <c r="V35" s="1558" t="s">
        <v>8</v>
      </c>
      <c r="W35" s="1559">
        <f t="shared" si="14"/>
        <v>100</v>
      </c>
      <c r="X35" s="3178"/>
      <c r="Y35" s="3397"/>
      <c r="Z35" s="3180" t="str">
        <f t="shared" si="15"/>
        <v>建筑品质</v>
      </c>
      <c r="AA35" s="3181">
        <f t="shared" si="3"/>
        <v>1</v>
      </c>
      <c r="AB35" s="3181">
        <f t="shared" si="4"/>
        <v>1</v>
      </c>
      <c r="AC35" s="3181">
        <f t="shared" si="5"/>
        <v>1</v>
      </c>
    </row>
    <row r="36" spans="1:29" ht="15">
      <c r="A36" s="594"/>
      <c r="B36" s="527" t="s">
        <v>729</v>
      </c>
      <c r="C36" s="599" t="s">
        <v>3073</v>
      </c>
      <c r="D36" s="540">
        <v>100</v>
      </c>
      <c r="E36" s="599" t="s">
        <v>3073</v>
      </c>
      <c r="F36" s="575">
        <f>SUMIF(109:109,E36,110:110)-SUMIF(109:109,C36,110:110)+100</f>
        <v>100</v>
      </c>
      <c r="G36" s="599" t="s">
        <v>3073</v>
      </c>
      <c r="H36" s="540">
        <f>SUMIF(109:109,G36,110:110)-SUMIF(109:109,C36,110:110)+100</f>
        <v>100</v>
      </c>
      <c r="I36" s="599" t="s">
        <v>3073</v>
      </c>
      <c r="J36" s="540">
        <f>SUMIF(109:109,I36,110:110)-SUMIF(109:109,C36,110:110)+100</f>
        <v>100</v>
      </c>
      <c r="K36" s="864">
        <v>3</v>
      </c>
      <c r="L36" s="2126"/>
      <c r="M36" s="2118"/>
      <c r="N36" s="2118"/>
      <c r="O36" s="2125"/>
      <c r="P36" s="3397"/>
      <c r="Q36" s="3179" t="str">
        <f t="shared" si="11"/>
        <v>公共部分装修</v>
      </c>
      <c r="R36" s="1558" t="s">
        <v>8</v>
      </c>
      <c r="S36" s="1559">
        <f t="shared" si="12"/>
        <v>100</v>
      </c>
      <c r="T36" s="1558" t="s">
        <v>8</v>
      </c>
      <c r="U36" s="1559">
        <f t="shared" si="13"/>
        <v>100</v>
      </c>
      <c r="V36" s="1558" t="s">
        <v>8</v>
      </c>
      <c r="W36" s="1559">
        <f t="shared" si="14"/>
        <v>100</v>
      </c>
      <c r="X36" s="3178"/>
      <c r="Y36" s="3397"/>
      <c r="Z36" s="3180" t="str">
        <f t="shared" si="15"/>
        <v>公共部分装修</v>
      </c>
      <c r="AA36" s="3181">
        <f t="shared" si="3"/>
        <v>1</v>
      </c>
      <c r="AB36" s="3181">
        <f t="shared" si="4"/>
        <v>1</v>
      </c>
      <c r="AC36" s="318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7"/>
      <c r="Q37" s="3177" t="str">
        <f t="shared" si="11"/>
        <v>成新度</v>
      </c>
      <c r="R37" s="1553" t="s">
        <v>8</v>
      </c>
      <c r="S37" s="1554">
        <f t="shared" si="12"/>
        <v>100</v>
      </c>
      <c r="T37" s="1553" t="s">
        <v>8</v>
      </c>
      <c r="U37" s="1554">
        <f t="shared" si="13"/>
        <v>100</v>
      </c>
      <c r="V37" s="1553" t="s">
        <v>8</v>
      </c>
      <c r="W37" s="1554">
        <f t="shared" si="14"/>
        <v>100</v>
      </c>
      <c r="X37" s="1555"/>
      <c r="Y37" s="3397"/>
      <c r="Z37" s="3176" t="str">
        <f t="shared" si="15"/>
        <v>成新度</v>
      </c>
      <c r="AA37" s="1556">
        <f t="shared" si="3"/>
        <v>1</v>
      </c>
      <c r="AB37" s="1556">
        <f t="shared" si="4"/>
        <v>1</v>
      </c>
      <c r="AC37" s="1556">
        <f t="shared" si="5"/>
        <v>1</v>
      </c>
    </row>
    <row r="38" spans="1:29" ht="15">
      <c r="A38" s="594"/>
      <c r="B38" s="527" t="s">
        <v>731</v>
      </c>
      <c r="C38" s="599" t="s">
        <v>3030</v>
      </c>
      <c r="D38" s="540">
        <v>100</v>
      </c>
      <c r="E38" s="599" t="s">
        <v>3030</v>
      </c>
      <c r="F38" s="575">
        <f>SUMIF(114:114,E38,115:115)-SUMIF(114:114,C38,115:115)+100</f>
        <v>100</v>
      </c>
      <c r="G38" s="599" t="s">
        <v>3030</v>
      </c>
      <c r="H38" s="540">
        <f>SUMIF(114:114,G38,115:115)-SUMIF(114:114,C38,115:115)+100</f>
        <v>100</v>
      </c>
      <c r="I38" s="599" t="s">
        <v>3030</v>
      </c>
      <c r="J38" s="540">
        <f>SUMIF(114:114,I38,115:115)-SUMIF(114:114,C38,115:115)+100</f>
        <v>100</v>
      </c>
      <c r="K38" s="864">
        <v>1</v>
      </c>
      <c r="L38" s="2126"/>
      <c r="M38" s="2118"/>
      <c r="N38" s="2118"/>
      <c r="O38" s="2125"/>
      <c r="P38" s="3397" t="s">
        <v>550</v>
      </c>
      <c r="Q38" s="3179" t="str">
        <f t="shared" si="11"/>
        <v>物业管理</v>
      </c>
      <c r="R38" s="1558" t="s">
        <v>8</v>
      </c>
      <c r="S38" s="1559">
        <f t="shared" si="12"/>
        <v>100</v>
      </c>
      <c r="T38" s="1558" t="s">
        <v>8</v>
      </c>
      <c r="U38" s="1559">
        <f t="shared" si="13"/>
        <v>100</v>
      </c>
      <c r="V38" s="1558" t="s">
        <v>8</v>
      </c>
      <c r="W38" s="1559">
        <f t="shared" si="14"/>
        <v>100</v>
      </c>
      <c r="X38" s="3178"/>
      <c r="Y38" s="3397" t="s">
        <v>550</v>
      </c>
      <c r="Z38" s="3180" t="str">
        <f t="shared" si="15"/>
        <v>物业管理</v>
      </c>
      <c r="AA38" s="3181">
        <f t="shared" si="3"/>
        <v>1</v>
      </c>
      <c r="AB38" s="3181">
        <f t="shared" si="4"/>
        <v>1</v>
      </c>
      <c r="AC38" s="3181">
        <f t="shared" si="5"/>
        <v>1</v>
      </c>
    </row>
    <row r="39" spans="1:29" ht="15">
      <c r="A39" s="594"/>
      <c r="B39" s="1879" t="s">
        <v>2564</v>
      </c>
      <c r="C39" s="599" t="s">
        <v>3036</v>
      </c>
      <c r="D39" s="540">
        <v>100</v>
      </c>
      <c r="E39" s="599" t="s">
        <v>3036</v>
      </c>
      <c r="F39" s="575">
        <f>SUMIF(116:116,E39,117:117)-SUMIF(116:116,C39,117:117)+100</f>
        <v>100</v>
      </c>
      <c r="G39" s="599" t="s">
        <v>3036</v>
      </c>
      <c r="H39" s="540">
        <f>SUMIF(116:116,G39,117:117)-SUMIF(116:116,C39,117:117)+100</f>
        <v>100</v>
      </c>
      <c r="I39" s="599" t="s">
        <v>3036</v>
      </c>
      <c r="J39" s="540">
        <f>SUMIF(116:116,I39,117:117)-SUMIF(116:116,C39,117:117)+100</f>
        <v>100</v>
      </c>
      <c r="K39" s="864">
        <v>1</v>
      </c>
      <c r="L39" s="2126"/>
      <c r="M39" s="2118"/>
      <c r="N39" s="2118"/>
      <c r="O39" s="2125"/>
      <c r="P39" s="3397"/>
      <c r="Q39" s="3179" t="str">
        <f t="shared" si="11"/>
        <v>市政基础设施</v>
      </c>
      <c r="R39" s="1558" t="s">
        <v>8</v>
      </c>
      <c r="S39" s="1559">
        <f t="shared" si="12"/>
        <v>100</v>
      </c>
      <c r="T39" s="1558" t="s">
        <v>8</v>
      </c>
      <c r="U39" s="1559">
        <f t="shared" si="13"/>
        <v>100</v>
      </c>
      <c r="V39" s="1558" t="s">
        <v>8</v>
      </c>
      <c r="W39" s="1559">
        <f t="shared" si="14"/>
        <v>100</v>
      </c>
      <c r="X39" s="3178"/>
      <c r="Y39" s="3397"/>
      <c r="Z39" s="3180" t="str">
        <f t="shared" si="15"/>
        <v>市政基础设施</v>
      </c>
      <c r="AA39" s="3181">
        <f t="shared" si="3"/>
        <v>1</v>
      </c>
      <c r="AB39" s="3181">
        <f t="shared" si="4"/>
        <v>1</v>
      </c>
      <c r="AC39" s="3181">
        <f t="shared" si="5"/>
        <v>1</v>
      </c>
    </row>
    <row r="40" spans="1:29" ht="15">
      <c r="A40" s="594"/>
      <c r="B40" s="527" t="s">
        <v>732</v>
      </c>
      <c r="C40" s="599" t="s">
        <v>3076</v>
      </c>
      <c r="D40" s="540">
        <v>100</v>
      </c>
      <c r="E40" s="599" t="s">
        <v>3076</v>
      </c>
      <c r="F40" s="575">
        <f>SUMIF(118:118,E40,119:119)-SUMIF(118:118,C40,119:119)+100</f>
        <v>100</v>
      </c>
      <c r="G40" s="599" t="s">
        <v>3076</v>
      </c>
      <c r="H40" s="540">
        <f>SUMIF(118:118,G40,119:119)-SUMIF(118:118,C40,119:119)+100</f>
        <v>100</v>
      </c>
      <c r="I40" s="599" t="s">
        <v>3076</v>
      </c>
      <c r="J40" s="540">
        <f>SUMIF(118:118,I40,119:119)-SUMIF(118:118,C40,119:119)+100</f>
        <v>100</v>
      </c>
      <c r="K40" s="864">
        <v>1</v>
      </c>
      <c r="L40" s="2126"/>
      <c r="M40" s="2118"/>
      <c r="N40" s="2118"/>
      <c r="O40" s="2125"/>
      <c r="P40" s="3397"/>
      <c r="Q40" s="3179" t="str">
        <f t="shared" si="11"/>
        <v>房型</v>
      </c>
      <c r="R40" s="1558" t="s">
        <v>8</v>
      </c>
      <c r="S40" s="1559">
        <f t="shared" si="12"/>
        <v>100</v>
      </c>
      <c r="T40" s="1558" t="s">
        <v>8</v>
      </c>
      <c r="U40" s="1559">
        <f t="shared" si="13"/>
        <v>100</v>
      </c>
      <c r="V40" s="1558" t="s">
        <v>8</v>
      </c>
      <c r="W40" s="1559">
        <f t="shared" si="14"/>
        <v>100</v>
      </c>
      <c r="X40" s="3178"/>
      <c r="Y40" s="3397"/>
      <c r="Z40" s="3180" t="str">
        <f t="shared" si="15"/>
        <v>房型</v>
      </c>
      <c r="AA40" s="3181">
        <f t="shared" si="3"/>
        <v>1</v>
      </c>
      <c r="AB40" s="3181">
        <f t="shared" si="4"/>
        <v>1</v>
      </c>
      <c r="AC40" s="318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7"/>
      <c r="Q41" s="1589" t="str">
        <f t="shared" si="11"/>
        <v>单套/主力户型建筑面积</v>
      </c>
      <c r="R41" s="1562" t="s">
        <v>8</v>
      </c>
      <c r="S41" s="1563">
        <f t="shared" si="12"/>
        <v>100</v>
      </c>
      <c r="T41" s="1562" t="s">
        <v>8</v>
      </c>
      <c r="U41" s="1563">
        <f t="shared" si="13"/>
        <v>100</v>
      </c>
      <c r="V41" s="1562" t="s">
        <v>8</v>
      </c>
      <c r="W41" s="1563">
        <f t="shared" si="14"/>
        <v>100</v>
      </c>
      <c r="X41" s="1564"/>
      <c r="Y41" s="3397"/>
      <c r="Z41" s="1565" t="str">
        <f t="shared" si="15"/>
        <v>单套/主力户型建筑面积</v>
      </c>
      <c r="AA41" s="3181">
        <f t="shared" si="3"/>
        <v>1</v>
      </c>
      <c r="AB41" s="3181">
        <f t="shared" si="4"/>
        <v>1</v>
      </c>
      <c r="AC41" s="3181">
        <f t="shared" si="5"/>
        <v>1</v>
      </c>
    </row>
    <row r="42" spans="1:29" ht="15">
      <c r="A42" s="594"/>
      <c r="B42" s="527" t="s">
        <v>734</v>
      </c>
      <c r="C42" s="599" t="s">
        <v>3080</v>
      </c>
      <c r="D42" s="540">
        <v>100</v>
      </c>
      <c r="E42" s="599" t="s">
        <v>3080</v>
      </c>
      <c r="F42" s="575">
        <f>SUMIF(122:122,E42,123:123)-SUMIF(122:122,C42,123:123)+100</f>
        <v>100</v>
      </c>
      <c r="G42" s="599" t="s">
        <v>3080</v>
      </c>
      <c r="H42" s="540">
        <f>SUMIF(122:122,G42,123:123)-SUMIF(122:122,C42,123:123)+100</f>
        <v>100</v>
      </c>
      <c r="I42" s="599" t="s">
        <v>3080</v>
      </c>
      <c r="J42" s="540">
        <f>SUMIF(122:122,I42,123:123)-SUMIF(122:122,C42,123:123)+100</f>
        <v>100</v>
      </c>
      <c r="K42" s="864">
        <v>3</v>
      </c>
      <c r="L42" s="2126"/>
      <c r="M42" s="2118"/>
      <c r="N42" s="2118"/>
      <c r="O42" s="2125"/>
      <c r="P42" s="3397"/>
      <c r="Q42" s="3179" t="str">
        <f t="shared" si="11"/>
        <v>内部装修</v>
      </c>
      <c r="R42" s="1558" t="s">
        <v>8</v>
      </c>
      <c r="S42" s="1559">
        <f t="shared" si="12"/>
        <v>100</v>
      </c>
      <c r="T42" s="1558" t="s">
        <v>8</v>
      </c>
      <c r="U42" s="1559">
        <f t="shared" si="13"/>
        <v>100</v>
      </c>
      <c r="V42" s="1558" t="s">
        <v>8</v>
      </c>
      <c r="W42" s="1559">
        <f t="shared" si="14"/>
        <v>100</v>
      </c>
      <c r="X42" s="3178"/>
      <c r="Y42" s="3397"/>
      <c r="Z42" s="3180" t="str">
        <f t="shared" si="15"/>
        <v>内部装修</v>
      </c>
      <c r="AA42" s="3181">
        <f t="shared" si="3"/>
        <v>1</v>
      </c>
      <c r="AB42" s="3181">
        <f t="shared" si="4"/>
        <v>1</v>
      </c>
      <c r="AC42" s="3181">
        <f t="shared" si="5"/>
        <v>1</v>
      </c>
    </row>
    <row r="43" spans="1:29" ht="29.4" thickBot="1">
      <c r="A43" s="594"/>
      <c r="B43" s="527" t="s">
        <v>735</v>
      </c>
      <c r="C43" s="599" t="s">
        <v>3030</v>
      </c>
      <c r="D43" s="540">
        <v>100</v>
      </c>
      <c r="E43" s="599" t="s">
        <v>3030</v>
      </c>
      <c r="F43" s="575">
        <f>SUMIF(124:124,E43,125:125)-SUMIF(124:124,C43,125:125)+100</f>
        <v>100</v>
      </c>
      <c r="G43" s="599" t="s">
        <v>3030</v>
      </c>
      <c r="H43" s="540">
        <f>SUMIF(124:124,G43,125:125)-SUMIF(124:124,C43,125:125)+100</f>
        <v>100</v>
      </c>
      <c r="I43" s="599" t="s">
        <v>3030</v>
      </c>
      <c r="J43" s="540">
        <f>SUMIF(124:124,I43,125:125)-SUMIF(124:124,C43,125:125)+100</f>
        <v>100</v>
      </c>
      <c r="K43" s="864">
        <v>1</v>
      </c>
      <c r="L43" s="2126"/>
      <c r="M43" s="2118"/>
      <c r="N43" s="2118"/>
      <c r="O43" s="2125"/>
      <c r="P43" s="3397"/>
      <c r="Q43" s="3179" t="str">
        <f t="shared" si="11"/>
        <v>内部装修维护情况</v>
      </c>
      <c r="R43" s="1558" t="s">
        <v>8</v>
      </c>
      <c r="S43" s="1559">
        <f t="shared" si="12"/>
        <v>100</v>
      </c>
      <c r="T43" s="1558" t="s">
        <v>8</v>
      </c>
      <c r="U43" s="1559">
        <f t="shared" si="13"/>
        <v>100</v>
      </c>
      <c r="V43" s="1558" t="s">
        <v>8</v>
      </c>
      <c r="W43" s="1559">
        <f t="shared" si="14"/>
        <v>100</v>
      </c>
      <c r="X43" s="3178"/>
      <c r="Y43" s="3397"/>
      <c r="Z43" s="3180" t="str">
        <f t="shared" si="15"/>
        <v>内部装修维护情况</v>
      </c>
      <c r="AA43" s="3181">
        <f t="shared" si="3"/>
        <v>1</v>
      </c>
      <c r="AB43" s="3181">
        <f t="shared" si="4"/>
        <v>1</v>
      </c>
      <c r="AC43" s="3181">
        <f t="shared" si="5"/>
        <v>1</v>
      </c>
    </row>
    <row r="44" spans="1:29" s="1215" customFormat="1" ht="15.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7"/>
      <c r="Q44" s="3177">
        <f t="shared" si="11"/>
        <v>111</v>
      </c>
      <c r="R44" s="1553" t="s">
        <v>8</v>
      </c>
      <c r="S44" s="1554">
        <f t="shared" si="12"/>
        <v>100</v>
      </c>
      <c r="T44" s="1553" t="s">
        <v>8</v>
      </c>
      <c r="U44" s="1554">
        <f t="shared" si="13"/>
        <v>100</v>
      </c>
      <c r="V44" s="1553" t="s">
        <v>8</v>
      </c>
      <c r="W44" s="1554">
        <f t="shared" si="14"/>
        <v>100</v>
      </c>
      <c r="X44" s="1555"/>
      <c r="Y44" s="3397"/>
      <c r="Z44" s="3176">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7"/>
      <c r="Q45" s="3179">
        <f t="shared" si="11"/>
        <v>111</v>
      </c>
      <c r="R45" s="1558" t="s">
        <v>8</v>
      </c>
      <c r="S45" s="1559">
        <f t="shared" si="12"/>
        <v>100</v>
      </c>
      <c r="T45" s="1558" t="s">
        <v>8</v>
      </c>
      <c r="U45" s="1559">
        <f t="shared" si="13"/>
        <v>100</v>
      </c>
      <c r="V45" s="1558" t="s">
        <v>8</v>
      </c>
      <c r="W45" s="1559">
        <f t="shared" si="14"/>
        <v>100</v>
      </c>
      <c r="X45" s="3178"/>
      <c r="Y45" s="3397"/>
      <c r="Z45" s="3180">
        <f t="shared" si="15"/>
        <v>111</v>
      </c>
      <c r="AA45" s="3181">
        <f t="shared" si="3"/>
        <v>1</v>
      </c>
      <c r="AB45" s="3181">
        <f t="shared" si="4"/>
        <v>1</v>
      </c>
      <c r="AC45" s="318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1"/>
      <c r="Q46" s="3179">
        <f t="shared" si="11"/>
        <v>111</v>
      </c>
      <c r="R46" s="1558" t="s">
        <v>8</v>
      </c>
      <c r="S46" s="1559">
        <f t="shared" si="12"/>
        <v>100</v>
      </c>
      <c r="T46" s="1558" t="s">
        <v>8</v>
      </c>
      <c r="U46" s="1559">
        <f t="shared" si="13"/>
        <v>100</v>
      </c>
      <c r="V46" s="1558" t="s">
        <v>8</v>
      </c>
      <c r="W46" s="1559">
        <f t="shared" si="14"/>
        <v>100</v>
      </c>
      <c r="X46" s="3178"/>
      <c r="Y46" s="3481"/>
      <c r="Z46" s="3180">
        <f t="shared" si="15"/>
        <v>111</v>
      </c>
      <c r="AA46" s="3181">
        <f t="shared" si="3"/>
        <v>1</v>
      </c>
      <c r="AB46" s="3181">
        <f t="shared" si="4"/>
        <v>1</v>
      </c>
      <c r="AC46" s="3181">
        <f t="shared" si="5"/>
        <v>1</v>
      </c>
    </row>
    <row r="47" spans="1:29" ht="14.4">
      <c r="A47" s="607" t="s">
        <v>736</v>
      </c>
      <c r="B47" s="886"/>
      <c r="C47" s="2590" t="s">
        <v>1</v>
      </c>
      <c r="D47" s="2591"/>
      <c r="E47" s="2592">
        <v>12000</v>
      </c>
      <c r="F47" s="2593"/>
      <c r="G47" s="2594">
        <v>12500</v>
      </c>
      <c r="H47" s="2595"/>
      <c r="I47" s="2592">
        <v>12000</v>
      </c>
      <c r="J47" s="2595"/>
      <c r="K47" s="1590"/>
      <c r="L47" s="2128"/>
      <c r="M47" s="2129"/>
      <c r="N47" s="2118"/>
      <c r="O47" s="2129"/>
      <c r="P47" s="3361" t="str">
        <f>A47</f>
        <v>成交单价（元/平方米）</v>
      </c>
      <c r="Q47" s="3361"/>
      <c r="R47" s="3482">
        <f>E47</f>
        <v>12000</v>
      </c>
      <c r="S47" s="3482"/>
      <c r="T47" s="3482">
        <f>G47</f>
        <v>12500</v>
      </c>
      <c r="U47" s="3482"/>
      <c r="V47" s="3482">
        <f>I47</f>
        <v>12000</v>
      </c>
      <c r="W47" s="3482"/>
      <c r="X47" s="1544"/>
      <c r="Y47" s="1566"/>
      <c r="Z47" s="1544"/>
      <c r="AA47" s="1544"/>
      <c r="AB47" s="1544"/>
      <c r="AC47" s="1544"/>
    </row>
    <row r="48" spans="1:29" ht="15" thickBot="1">
      <c r="A48" s="615" t="s">
        <v>2693</v>
      </c>
      <c r="B48" s="887"/>
      <c r="C48" s="2596">
        <f>R49</f>
        <v>12185</v>
      </c>
      <c r="D48" s="2597"/>
      <c r="E48" s="2598">
        <f>R48</f>
        <v>12251</v>
      </c>
      <c r="F48" s="2598"/>
      <c r="G48" s="2596">
        <f>T48</f>
        <v>12636</v>
      </c>
      <c r="H48" s="2597"/>
      <c r="I48" s="2598">
        <f>V48</f>
        <v>11669</v>
      </c>
      <c r="J48" s="2597"/>
      <c r="K48" s="1591"/>
      <c r="L48" s="2128"/>
      <c r="M48" s="2129"/>
      <c r="N48" s="2129"/>
      <c r="O48" s="2129"/>
      <c r="P48" s="3361" t="str">
        <f>A48</f>
        <v>比较价格（元/平方米）</v>
      </c>
      <c r="Q48" s="3361"/>
      <c r="R48" s="3482">
        <f>IF(F1="售价",ROUND(PRODUCT(R47,AA7:AA46),0),ROUND(PRODUCT(R47,AA7:AA46),1))</f>
        <v>12251</v>
      </c>
      <c r="S48" s="3482"/>
      <c r="T48" s="3482">
        <f>IF(F1="售价",ROUND(PRODUCT(T47,AB7:AB46),0),ROUND(PRODUCT(T47,AB7:AB46),1))</f>
        <v>12636</v>
      </c>
      <c r="U48" s="3482"/>
      <c r="V48" s="3482">
        <f>IF(F1="售价",ROUND(PRODUCT(V47,AC7:AC46),0),ROUND(PRODUCT(V47,AC7:AC46),1))</f>
        <v>11669</v>
      </c>
      <c r="W48" s="3482"/>
      <c r="X48" s="1544"/>
      <c r="Y48" s="1544"/>
      <c r="Z48" s="1544"/>
      <c r="AA48" s="1544"/>
      <c r="AB48" s="1544"/>
      <c r="AC48" s="1544"/>
    </row>
    <row r="49" spans="1:29" ht="15" thickBot="1">
      <c r="A49" s="621" t="s">
        <v>2932</v>
      </c>
      <c r="B49" s="622"/>
      <c r="C49" s="2599">
        <f>R49</f>
        <v>12185</v>
      </c>
      <c r="D49" s="2599"/>
      <c r="E49" s="2599"/>
      <c r="F49" s="2599"/>
      <c r="G49" s="2599"/>
      <c r="H49" s="2599"/>
      <c r="I49" s="2599"/>
      <c r="J49" s="2599"/>
      <c r="K49" s="1592"/>
      <c r="L49" s="2128"/>
      <c r="M49" s="2129"/>
      <c r="N49" s="2129"/>
      <c r="O49" s="2129"/>
      <c r="P49" s="3358" t="str">
        <f>A49</f>
        <v>估价对象XX用房的比较价格（楼面单价，元/平方米）</v>
      </c>
      <c r="Q49" s="3359"/>
      <c r="R49" s="3483">
        <f>IF(F1="售价",ROUND(AVERAGE(R48:V48),0),ROUND(AVERAGE(R48:V48),1))</f>
        <v>12185</v>
      </c>
      <c r="S49" s="3483"/>
      <c r="T49" s="3483"/>
      <c r="U49" s="3483"/>
      <c r="V49" s="3483"/>
      <c r="W49" s="348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2.0916666666666694E-2</v>
      </c>
      <c r="F52" s="627" t="str">
        <f>IF(OR(E52&gt;=0.3,E52&lt;=-0.3),"超过30%","")</f>
        <v/>
      </c>
      <c r="G52" s="626">
        <f>IF(G47&lt;G48,G48/G47-1,G47/G48-1)</f>
        <v>1.0880000000000001E-2</v>
      </c>
      <c r="H52" s="627" t="str">
        <f>IF(OR(G52&gt;=0.3,G52&lt;=-0.3),"超过30%","")</f>
        <v/>
      </c>
      <c r="I52" s="626">
        <f>IF(I47&lt;I48,I48/I47-1,I47/I48-1)</f>
        <v>2.8365755420344474E-2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3.1426006040323307E-2</v>
      </c>
      <c r="F53" s="627" t="str">
        <f>IF(OR(E53&gt;=0.2,E53&lt;=-0.2),"超过20%","")</f>
        <v/>
      </c>
      <c r="G53" s="626">
        <f>IF(G48&lt;I48,I48/G48-1,G48/I48-1)</f>
        <v>8.2869140457622725E-2</v>
      </c>
      <c r="H53" s="627" t="str">
        <f>IF(OR(G53&gt;=0.2,G53&lt;=-0.2),"超过20%","")</f>
        <v/>
      </c>
      <c r="I53" s="626">
        <f>IF(I48&lt;E48,E48/I48-1,I48/E48-1)</f>
        <v>4.9875739137886788E-2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2317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2547</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3069</v>
      </c>
      <c r="D100" s="3188" t="s">
        <v>3068</v>
      </c>
      <c r="E100" s="3188" t="s">
        <v>3086</v>
      </c>
      <c r="F100" s="3188" t="s">
        <v>3087</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6" t="s">
        <v>3071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7" t="s">
        <v>3072</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6" t="s">
        <v>3074</v>
      </c>
      <c r="D109" s="3186" t="s">
        <v>3078</v>
      </c>
      <c r="E109" s="3186" t="s">
        <v>3079</v>
      </c>
      <c r="F109" s="3187" t="s">
        <v>3081</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6" t="s">
        <v>3075</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3037</v>
      </c>
      <c r="D116" s="1371" t="s">
        <v>3038</v>
      </c>
      <c r="E116" s="1371" t="s">
        <v>3040</v>
      </c>
      <c r="F116" s="1371" t="s">
        <v>3041</v>
      </c>
      <c r="G116" s="1371" t="s">
        <v>3042</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7" t="s">
        <v>3077</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6" t="s">
        <v>3074</v>
      </c>
      <c r="D122" s="3186" t="s">
        <v>3078</v>
      </c>
      <c r="E122" s="3186" t="s">
        <v>3079</v>
      </c>
      <c r="F122" s="3187" t="s">
        <v>3081</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2262</v>
      </c>
      <c r="H138" s="1912" t="s">
        <v>2263</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2269</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E33" sqref="E33:J33"/>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6.44140625" style="1332" customWidth="1"/>
    <col min="6" max="6" width="12.21875" style="1332" customWidth="1"/>
    <col min="7" max="7" width="17.109375" style="1332" customWidth="1"/>
    <col min="8" max="8" width="12.21875" style="1332" customWidth="1"/>
    <col min="9" max="9" width="16.5546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3027</v>
      </c>
      <c r="E1" s="2589"/>
      <c r="F1" s="2761" t="s">
        <v>3022</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10065</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67" t="s">
        <v>522</v>
      </c>
      <c r="D4" s="3368"/>
      <c r="E4" s="3402" t="s">
        <v>523</v>
      </c>
      <c r="F4" s="3403"/>
      <c r="G4" s="3367" t="s">
        <v>524</v>
      </c>
      <c r="H4" s="3368"/>
      <c r="I4" s="3367" t="s">
        <v>525</v>
      </c>
      <c r="J4" s="3368"/>
      <c r="K4" s="853" t="s">
        <v>526</v>
      </c>
      <c r="L4" s="2117"/>
      <c r="M4" s="2118"/>
      <c r="N4" s="2118"/>
      <c r="O4" s="2118"/>
      <c r="P4" s="3369" t="s">
        <v>527</v>
      </c>
      <c r="Q4" s="3370"/>
      <c r="R4" s="3375" t="s">
        <v>523</v>
      </c>
      <c r="S4" s="3376"/>
      <c r="T4" s="3375" t="s">
        <v>524</v>
      </c>
      <c r="U4" s="3376"/>
      <c r="V4" s="3362" t="s">
        <v>525</v>
      </c>
      <c r="W4" s="3362"/>
      <c r="X4" s="1552"/>
      <c r="Y4" s="3375" t="s">
        <v>527</v>
      </c>
      <c r="Z4" s="3376"/>
      <c r="AA4" s="3364" t="s">
        <v>523</v>
      </c>
      <c r="AB4" s="3364" t="s">
        <v>524</v>
      </c>
      <c r="AC4" s="3364" t="s">
        <v>525</v>
      </c>
    </row>
    <row r="5" spans="1:29">
      <c r="A5" s="515"/>
      <c r="B5" s="516"/>
      <c r="C5" s="3478" t="s">
        <v>3023</v>
      </c>
      <c r="D5" s="3384"/>
      <c r="E5" s="3479" t="s">
        <v>3083</v>
      </c>
      <c r="F5" s="3405"/>
      <c r="G5" s="3478" t="s">
        <v>3084</v>
      </c>
      <c r="H5" s="3384"/>
      <c r="I5" s="3478" t="s">
        <v>3085</v>
      </c>
      <c r="J5" s="3384"/>
      <c r="K5" s="854"/>
      <c r="L5" s="2117"/>
      <c r="M5" s="2118"/>
      <c r="N5" s="2118"/>
      <c r="O5" s="2118"/>
      <c r="P5" s="3371"/>
      <c r="Q5" s="3372"/>
      <c r="R5" s="3377"/>
      <c r="S5" s="3378"/>
      <c r="T5" s="3377"/>
      <c r="U5" s="3378"/>
      <c r="V5" s="3362"/>
      <c r="W5" s="3362"/>
      <c r="X5" s="1552"/>
      <c r="Y5" s="3377"/>
      <c r="Z5" s="3378"/>
      <c r="AA5" s="3365"/>
      <c r="AB5" s="3365"/>
      <c r="AC5" s="3365"/>
    </row>
    <row r="6" spans="1:29" ht="15" thickBot="1">
      <c r="A6" s="517"/>
      <c r="B6" s="518"/>
      <c r="C6" s="3480" t="s">
        <v>3024</v>
      </c>
      <c r="D6" s="3399"/>
      <c r="E6" s="3480" t="s">
        <v>3024</v>
      </c>
      <c r="F6" s="3399"/>
      <c r="G6" s="3480" t="s">
        <v>3024</v>
      </c>
      <c r="H6" s="3399"/>
      <c r="I6" s="3480" t="s">
        <v>3024</v>
      </c>
      <c r="J6" s="3399"/>
      <c r="K6" s="854" t="s">
        <v>528</v>
      </c>
      <c r="L6" s="2117"/>
      <c r="M6" s="2118"/>
      <c r="N6" s="2118"/>
      <c r="O6" s="2118"/>
      <c r="P6" s="3373"/>
      <c r="Q6" s="3374"/>
      <c r="R6" s="3377"/>
      <c r="S6" s="3378"/>
      <c r="T6" s="3379"/>
      <c r="U6" s="3380"/>
      <c r="V6" s="3362"/>
      <c r="W6" s="3362"/>
      <c r="X6" s="1552"/>
      <c r="Y6" s="3379"/>
      <c r="Z6" s="3380"/>
      <c r="AA6" s="3366"/>
      <c r="AB6" s="3366"/>
      <c r="AC6" s="3366"/>
    </row>
    <row r="7" spans="1:29" s="1215" customFormat="1" ht="15" thickBot="1">
      <c r="A7" s="2866"/>
      <c r="B7" s="2873" t="s">
        <v>529</v>
      </c>
      <c r="C7" s="519">
        <f>'数据-取费表'!B2</f>
        <v>43776</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91" t="s">
        <v>530</v>
      </c>
      <c r="Q7" s="3393"/>
      <c r="R7" s="1553" t="s">
        <v>13</v>
      </c>
      <c r="S7" s="1554">
        <f t="shared" ref="S7:S15" si="0">F7</f>
        <v>100</v>
      </c>
      <c r="T7" s="1553" t="s">
        <v>13</v>
      </c>
      <c r="U7" s="1554">
        <f t="shared" ref="U7:U15" si="1">H7</f>
        <v>100</v>
      </c>
      <c r="V7" s="1553" t="s">
        <v>13</v>
      </c>
      <c r="W7" s="1554">
        <f t="shared" ref="W7:W15" si="2">J7</f>
        <v>100</v>
      </c>
      <c r="X7" s="1555"/>
      <c r="Y7" s="3391" t="s">
        <v>530</v>
      </c>
      <c r="Z7" s="3392"/>
      <c r="AA7" s="1556">
        <f>D7/F7</f>
        <v>1</v>
      </c>
      <c r="AB7" s="1556">
        <f>D7/H7</f>
        <v>1</v>
      </c>
      <c r="AC7" s="1556">
        <f>D7/J7</f>
        <v>1</v>
      </c>
    </row>
    <row r="8" spans="1:29" s="1215" customFormat="1" ht="15" thickBot="1">
      <c r="A8" s="2867"/>
      <c r="B8" s="2874" t="s">
        <v>531</v>
      </c>
      <c r="C8" s="525" t="s">
        <v>576</v>
      </c>
      <c r="D8" s="520">
        <v>100</v>
      </c>
      <c r="E8" s="856" t="s">
        <v>3082</v>
      </c>
      <c r="F8" s="522">
        <f>SUMIF(61:61,E8,62:62)-SUMIF(61:61,C8,62:62)+100</f>
        <v>100</v>
      </c>
      <c r="G8" s="856" t="s">
        <v>3082</v>
      </c>
      <c r="H8" s="520">
        <f>SUMIF(61:61,G8,62:62)-SUMIF(61:61,C8,62:62)+100</f>
        <v>100</v>
      </c>
      <c r="I8" s="856" t="s">
        <v>3082</v>
      </c>
      <c r="J8" s="520">
        <f>SUMIF(61:61,I8,62:62)-SUMIF(61:61,C8,62:62)+100</f>
        <v>100</v>
      </c>
      <c r="K8" s="855"/>
      <c r="L8" s="2119"/>
      <c r="M8" s="2120"/>
      <c r="N8" s="2120"/>
      <c r="O8" s="2120"/>
      <c r="P8" s="3391" t="s">
        <v>533</v>
      </c>
      <c r="Q8" s="3392"/>
      <c r="R8" s="1553" t="s">
        <v>13</v>
      </c>
      <c r="S8" s="1554">
        <f t="shared" si="0"/>
        <v>100</v>
      </c>
      <c r="T8" s="1553" t="s">
        <v>13</v>
      </c>
      <c r="U8" s="1554">
        <f t="shared" si="1"/>
        <v>100</v>
      </c>
      <c r="V8" s="1553" t="s">
        <v>13</v>
      </c>
      <c r="W8" s="1554">
        <f t="shared" si="2"/>
        <v>100</v>
      </c>
      <c r="X8" s="1555"/>
      <c r="Y8" s="3391" t="s">
        <v>533</v>
      </c>
      <c r="Z8" s="3392"/>
      <c r="AA8" s="1556">
        <f t="shared" ref="AA8:AA46" si="3">D8/F8</f>
        <v>1</v>
      </c>
      <c r="AB8" s="1556">
        <f t="shared" ref="AB8:AB46" si="4">D8/H8</f>
        <v>1</v>
      </c>
      <c r="AC8" s="1556">
        <f t="shared" ref="AC8:AC46" si="5">D8/J8</f>
        <v>1</v>
      </c>
    </row>
    <row r="9" spans="1:29" s="1215" customFormat="1" ht="14.4">
      <c r="A9" s="2868"/>
      <c r="B9" s="2875" t="s">
        <v>2756</v>
      </c>
      <c r="C9" s="3192" t="s">
        <v>3066</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61"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8.8">
      <c r="A10" s="2869"/>
      <c r="B10" s="2874" t="s">
        <v>2757</v>
      </c>
      <c r="C10" s="861" t="s">
        <v>3067</v>
      </c>
      <c r="D10" s="255">
        <v>100</v>
      </c>
      <c r="E10" s="861" t="s">
        <v>3067</v>
      </c>
      <c r="F10" s="863">
        <f>SUMIF(65:65,E10,66:66)-SUMIF(65:65,C10,66:66)+100</f>
        <v>100</v>
      </c>
      <c r="G10" s="861" t="s">
        <v>3067</v>
      </c>
      <c r="H10" s="255">
        <f>SUMIF(65:65,G10,66:66)-SUMIF(65:65,C10,66:66)+100</f>
        <v>100</v>
      </c>
      <c r="I10" s="861" t="s">
        <v>3067</v>
      </c>
      <c r="J10" s="255">
        <f>SUMIF(65:65,I10,66:66)-SUMIF(65:65,C10,66:66)+100</f>
        <v>100</v>
      </c>
      <c r="K10" s="864">
        <v>1</v>
      </c>
      <c r="L10" s="2122"/>
      <c r="M10" s="2162"/>
      <c r="N10" s="2162"/>
      <c r="O10" s="2123"/>
      <c r="P10" s="3361"/>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6" thickBot="1">
      <c r="A11" s="2870"/>
      <c r="B11" s="2874" t="s">
        <v>2758</v>
      </c>
      <c r="C11" s="533">
        <f>'比较法-住宅、综合'!C13</f>
        <v>3.66</v>
      </c>
      <c r="D11" s="255">
        <v>100</v>
      </c>
      <c r="E11" s="534">
        <v>1.7</v>
      </c>
      <c r="F11" s="863">
        <f>LOOKUP(E11,68:68,69:69)-LOOKUP(C11,68:68,69:69)+100</f>
        <v>104</v>
      </c>
      <c r="G11" s="533">
        <v>1.7</v>
      </c>
      <c r="H11" s="255">
        <f>LOOKUP(G11,68:68,69:69)-LOOKUP(C11,68:68,69:69)+100</f>
        <v>104</v>
      </c>
      <c r="I11" s="533">
        <v>2.4</v>
      </c>
      <c r="J11" s="255">
        <f>LOOKUP(I11,68:68,69:69)-LOOKUP(C11,68:68,69:69)+100</f>
        <v>104</v>
      </c>
      <c r="K11" s="864">
        <f>'比较法-住宅、综合'!K13</f>
        <v>2</v>
      </c>
      <c r="L11" s="2124"/>
      <c r="M11" s="2118"/>
      <c r="N11" s="2118"/>
      <c r="O11" s="2125"/>
      <c r="P11" s="3361"/>
      <c r="Q11" s="1146" t="str">
        <f t="shared" si="6"/>
        <v>容积率</v>
      </c>
      <c r="R11" s="1553" t="s">
        <v>11</v>
      </c>
      <c r="S11" s="1554">
        <f t="shared" si="0"/>
        <v>104</v>
      </c>
      <c r="T11" s="1553" t="s">
        <v>11</v>
      </c>
      <c r="U11" s="1554">
        <f t="shared" si="1"/>
        <v>104</v>
      </c>
      <c r="V11" s="1553" t="s">
        <v>11</v>
      </c>
      <c r="W11" s="1554">
        <f t="shared" si="2"/>
        <v>104</v>
      </c>
      <c r="X11" s="1555"/>
      <c r="Y11" s="3307"/>
      <c r="Z11" s="1145" t="str">
        <f t="shared" si="7"/>
        <v>容积率</v>
      </c>
      <c r="AA11" s="1556">
        <f t="shared" si="3"/>
        <v>0.96153846153846156</v>
      </c>
      <c r="AB11" s="1556">
        <f t="shared" si="4"/>
        <v>0.96153846153846156</v>
      </c>
      <c r="AC11" s="1556">
        <f t="shared" si="5"/>
        <v>0.96153846153846156</v>
      </c>
    </row>
    <row r="12" spans="1:29" s="1215"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61"/>
      <c r="Q12" s="1146">
        <f t="shared" si="6"/>
        <v>111</v>
      </c>
      <c r="R12" s="1553" t="s">
        <v>11</v>
      </c>
      <c r="S12" s="1554">
        <f t="shared" si="0"/>
        <v>100</v>
      </c>
      <c r="T12" s="1553" t="s">
        <v>11</v>
      </c>
      <c r="U12" s="1554">
        <f t="shared" si="1"/>
        <v>100</v>
      </c>
      <c r="V12" s="1553" t="s">
        <v>11</v>
      </c>
      <c r="W12" s="1554">
        <f t="shared" si="2"/>
        <v>100</v>
      </c>
      <c r="X12" s="1555"/>
      <c r="Y12" s="3307"/>
      <c r="Z12" s="1145">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61"/>
      <c r="Q13" s="1146">
        <f t="shared" si="6"/>
        <v>111</v>
      </c>
      <c r="R13" s="1553" t="s">
        <v>11</v>
      </c>
      <c r="S13" s="1554">
        <f t="shared" si="0"/>
        <v>100</v>
      </c>
      <c r="T13" s="1553" t="s">
        <v>11</v>
      </c>
      <c r="U13" s="1554">
        <f t="shared" si="1"/>
        <v>100</v>
      </c>
      <c r="V13" s="1553" t="s">
        <v>11</v>
      </c>
      <c r="W13" s="1554">
        <f t="shared" si="2"/>
        <v>100</v>
      </c>
      <c r="X13" s="1555"/>
      <c r="Y13" s="3307"/>
      <c r="Z13" s="1145">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61"/>
      <c r="Q14" s="1146">
        <f t="shared" si="6"/>
        <v>111</v>
      </c>
      <c r="R14" s="1553" t="s">
        <v>11</v>
      </c>
      <c r="S14" s="1554">
        <f t="shared" si="0"/>
        <v>100</v>
      </c>
      <c r="T14" s="1553" t="s">
        <v>11</v>
      </c>
      <c r="U14" s="1554">
        <f t="shared" si="1"/>
        <v>100</v>
      </c>
      <c r="V14" s="1553" t="s">
        <v>11</v>
      </c>
      <c r="W14" s="1554">
        <f t="shared" si="2"/>
        <v>100</v>
      </c>
      <c r="X14" s="1555"/>
      <c r="Y14" s="3307"/>
      <c r="Z14" s="1145">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100</v>
      </c>
      <c r="K15" s="868">
        <v>2</v>
      </c>
      <c r="L15" s="2126"/>
      <c r="M15" s="2118"/>
      <c r="N15" s="2118"/>
      <c r="O15" s="2125"/>
      <c r="P15" s="3394" t="s">
        <v>540</v>
      </c>
      <c r="Q15" s="1557" t="str">
        <f t="shared" si="6"/>
        <v>居住社区成熟度</v>
      </c>
      <c r="R15" s="1558" t="s">
        <v>11</v>
      </c>
      <c r="S15" s="1559">
        <f t="shared" si="0"/>
        <v>98</v>
      </c>
      <c r="T15" s="1558" t="s">
        <v>11</v>
      </c>
      <c r="U15" s="1559">
        <f t="shared" si="1"/>
        <v>98</v>
      </c>
      <c r="V15" s="1558" t="s">
        <v>11</v>
      </c>
      <c r="W15" s="1559">
        <f t="shared" si="2"/>
        <v>100</v>
      </c>
      <c r="X15" s="1552"/>
      <c r="Y15" s="3394" t="s">
        <v>540</v>
      </c>
      <c r="Z15" s="1560" t="str">
        <f t="shared" si="7"/>
        <v>居住社区成熟度</v>
      </c>
      <c r="AA15" s="1561">
        <f t="shared" si="3"/>
        <v>1.0204081632653061</v>
      </c>
      <c r="AB15" s="1561">
        <f t="shared" si="4"/>
        <v>1.0204081632653061</v>
      </c>
      <c r="AC15" s="1561">
        <f t="shared" si="5"/>
        <v>1</v>
      </c>
    </row>
    <row r="16" spans="1:29" ht="15">
      <c r="A16" s="532"/>
      <c r="B16" s="869"/>
      <c r="C16" s="576" t="s">
        <v>3030</v>
      </c>
      <c r="D16" s="555"/>
      <c r="E16" s="576" t="s">
        <v>3032</v>
      </c>
      <c r="F16" s="557"/>
      <c r="G16" s="576" t="s">
        <v>3032</v>
      </c>
      <c r="H16" s="559"/>
      <c r="I16" s="576" t="s">
        <v>3030</v>
      </c>
      <c r="J16" s="555"/>
      <c r="K16" s="870"/>
      <c r="L16" s="2126"/>
      <c r="M16" s="2118"/>
      <c r="N16" s="2118"/>
      <c r="O16" s="2125"/>
      <c r="P16" s="3395"/>
      <c r="Q16" s="1557"/>
      <c r="R16" s="1558"/>
      <c r="S16" s="1559"/>
      <c r="T16" s="1558"/>
      <c r="U16" s="1559"/>
      <c r="V16" s="1558"/>
      <c r="W16" s="1559"/>
      <c r="X16" s="1552"/>
      <c r="Y16" s="3395"/>
      <c r="Z16" s="1560"/>
      <c r="AA16" s="1561">
        <v>1</v>
      </c>
      <c r="AB16" s="1561">
        <v>1</v>
      </c>
      <c r="AC16" s="156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100</v>
      </c>
      <c r="K17" s="868">
        <v>2</v>
      </c>
      <c r="L17" s="2126"/>
      <c r="M17" s="2118"/>
      <c r="N17" s="2118"/>
      <c r="O17" s="2125"/>
      <c r="P17" s="3395"/>
      <c r="Q17" s="1557" t="str">
        <f>B17</f>
        <v>交通便捷度</v>
      </c>
      <c r="R17" s="1558" t="s">
        <v>11</v>
      </c>
      <c r="S17" s="1559">
        <f>F17</f>
        <v>98</v>
      </c>
      <c r="T17" s="1558" t="s">
        <v>11</v>
      </c>
      <c r="U17" s="1559">
        <f>H17</f>
        <v>98</v>
      </c>
      <c r="V17" s="1558" t="s">
        <v>11</v>
      </c>
      <c r="W17" s="1559">
        <f>J17</f>
        <v>100</v>
      </c>
      <c r="X17" s="1552"/>
      <c r="Y17" s="3395"/>
      <c r="Z17" s="1560" t="str">
        <f>Q17</f>
        <v>交通便捷度</v>
      </c>
      <c r="AA17" s="1561">
        <f t="shared" si="3"/>
        <v>1.0204081632653061</v>
      </c>
      <c r="AB17" s="1561">
        <f t="shared" si="4"/>
        <v>1.0204081632653061</v>
      </c>
      <c r="AC17" s="1561">
        <f t="shared" si="5"/>
        <v>1</v>
      </c>
    </row>
    <row r="18" spans="1:29" ht="15">
      <c r="A18" s="532"/>
      <c r="B18" s="595"/>
      <c r="C18" s="873" t="s">
        <v>3030</v>
      </c>
      <c r="D18" s="559"/>
      <c r="E18" s="576" t="s">
        <v>3032</v>
      </c>
      <c r="F18" s="563"/>
      <c r="G18" s="576" t="s">
        <v>3032</v>
      </c>
      <c r="H18" s="555"/>
      <c r="I18" s="576" t="s">
        <v>3030</v>
      </c>
      <c r="J18" s="555"/>
      <c r="K18" s="870"/>
      <c r="L18" s="2126"/>
      <c r="M18" s="2118"/>
      <c r="N18" s="2118"/>
      <c r="O18" s="2125"/>
      <c r="P18" s="3395"/>
      <c r="Q18" s="1557"/>
      <c r="R18" s="1558"/>
      <c r="S18" s="1559"/>
      <c r="T18" s="1558"/>
      <c r="U18" s="1559"/>
      <c r="V18" s="1558"/>
      <c r="W18" s="1559"/>
      <c r="X18" s="1552"/>
      <c r="Y18" s="3395"/>
      <c r="Z18" s="1560"/>
      <c r="AA18" s="1561">
        <v>1</v>
      </c>
      <c r="AB18" s="1561">
        <v>1</v>
      </c>
      <c r="AC18" s="156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100</v>
      </c>
      <c r="K19" s="868">
        <v>1</v>
      </c>
      <c r="L19" s="2126"/>
      <c r="M19" s="2118"/>
      <c r="N19" s="2118"/>
      <c r="O19" s="2125"/>
      <c r="P19" s="3395"/>
      <c r="Q19" s="1557" t="str">
        <f>B19</f>
        <v>公共配套设施</v>
      </c>
      <c r="R19" s="1558" t="s">
        <v>11</v>
      </c>
      <c r="S19" s="1559">
        <f>F19</f>
        <v>99</v>
      </c>
      <c r="T19" s="1558" t="s">
        <v>11</v>
      </c>
      <c r="U19" s="1559">
        <f>H19</f>
        <v>99</v>
      </c>
      <c r="V19" s="1558" t="s">
        <v>11</v>
      </c>
      <c r="W19" s="1559">
        <f>J19</f>
        <v>100</v>
      </c>
      <c r="X19" s="1552"/>
      <c r="Y19" s="3395"/>
      <c r="Z19" s="1560" t="str">
        <f>Q19</f>
        <v>公共配套设施</v>
      </c>
      <c r="AA19" s="1561">
        <f t="shared" si="3"/>
        <v>1.0101010101010102</v>
      </c>
      <c r="AB19" s="1561">
        <f t="shared" si="4"/>
        <v>1.0101010101010102</v>
      </c>
      <c r="AC19" s="1561">
        <f t="shared" si="5"/>
        <v>1</v>
      </c>
    </row>
    <row r="20" spans="1:29" ht="15">
      <c r="A20" s="532"/>
      <c r="B20" s="595"/>
      <c r="C20" s="576" t="s">
        <v>3030</v>
      </c>
      <c r="D20" s="555"/>
      <c r="E20" s="576" t="s">
        <v>3032</v>
      </c>
      <c r="F20" s="557"/>
      <c r="G20" s="576" t="s">
        <v>3032</v>
      </c>
      <c r="H20" s="555"/>
      <c r="I20" s="576" t="s">
        <v>3030</v>
      </c>
      <c r="J20" s="555"/>
      <c r="K20" s="870"/>
      <c r="L20" s="2126"/>
      <c r="M20" s="2118"/>
      <c r="N20" s="2118"/>
      <c r="O20" s="2125"/>
      <c r="P20" s="3395"/>
      <c r="Q20" s="1557"/>
      <c r="R20" s="1558"/>
      <c r="S20" s="1559"/>
      <c r="T20" s="1558"/>
      <c r="U20" s="1559"/>
      <c r="V20" s="1558"/>
      <c r="W20" s="1559"/>
      <c r="X20" s="1552"/>
      <c r="Y20" s="3395"/>
      <c r="Z20" s="1560"/>
      <c r="AA20" s="1561">
        <v>1</v>
      </c>
      <c r="AB20" s="1561">
        <v>1</v>
      </c>
      <c r="AC20" s="1561">
        <v>1</v>
      </c>
    </row>
    <row r="21" spans="1:29" ht="15">
      <c r="A21" s="532"/>
      <c r="B21" s="2556"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95"/>
      <c r="Q21" s="2542" t="str">
        <f>B21</f>
        <v>基础设施水平</v>
      </c>
      <c r="R21" s="1558" t="s">
        <v>11</v>
      </c>
      <c r="S21" s="1559">
        <f>F21</f>
        <v>100</v>
      </c>
      <c r="T21" s="1558" t="s">
        <v>11</v>
      </c>
      <c r="U21" s="1559">
        <f>H21</f>
        <v>100</v>
      </c>
      <c r="V21" s="1558" t="s">
        <v>11</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921"/>
      <c r="C22" s="873" t="s">
        <v>3036</v>
      </c>
      <c r="D22" s="555"/>
      <c r="E22" s="873" t="s">
        <v>3036</v>
      </c>
      <c r="F22" s="557"/>
      <c r="G22" s="873" t="s">
        <v>3036</v>
      </c>
      <c r="H22" s="555"/>
      <c r="I22" s="873" t="s">
        <v>3036</v>
      </c>
      <c r="J22" s="555"/>
      <c r="K22" s="2562"/>
      <c r="L22" s="2126"/>
      <c r="M22" s="2118"/>
      <c r="N22" s="2118"/>
      <c r="O22" s="2125"/>
      <c r="P22" s="3395"/>
      <c r="Q22" s="2542"/>
      <c r="R22" s="1558"/>
      <c r="S22" s="1559"/>
      <c r="T22" s="1558"/>
      <c r="U22" s="1559"/>
      <c r="V22" s="1558"/>
      <c r="W22" s="1559"/>
      <c r="X22" s="2544"/>
      <c r="Y22" s="3395"/>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95"/>
      <c r="Q23" s="1557" t="str">
        <f>B23</f>
        <v>自然及人文环境</v>
      </c>
      <c r="R23" s="1558" t="s">
        <v>11</v>
      </c>
      <c r="S23" s="1559">
        <f>F23</f>
        <v>100</v>
      </c>
      <c r="T23" s="1558" t="s">
        <v>11</v>
      </c>
      <c r="U23" s="1559">
        <f>H23</f>
        <v>100</v>
      </c>
      <c r="V23" s="1558" t="s">
        <v>11</v>
      </c>
      <c r="W23" s="1559">
        <f>J23</f>
        <v>100</v>
      </c>
      <c r="X23" s="1552"/>
      <c r="Y23" s="3395"/>
      <c r="Z23" s="1560" t="str">
        <f>Q23</f>
        <v>自然及人文环境</v>
      </c>
      <c r="AA23" s="1561">
        <f t="shared" si="3"/>
        <v>1</v>
      </c>
      <c r="AB23" s="1561">
        <f t="shared" si="4"/>
        <v>1</v>
      </c>
      <c r="AC23" s="1561">
        <f t="shared" si="5"/>
        <v>1</v>
      </c>
    </row>
    <row r="24" spans="1:29" ht="15.6" thickBot="1">
      <c r="A24" s="532"/>
      <c r="B24" s="595"/>
      <c r="C24" s="576" t="s">
        <v>3030</v>
      </c>
      <c r="D24" s="555"/>
      <c r="E24" s="576" t="s">
        <v>3030</v>
      </c>
      <c r="F24" s="557"/>
      <c r="G24" s="576" t="s">
        <v>3030</v>
      </c>
      <c r="H24" s="555"/>
      <c r="I24" s="576" t="s">
        <v>3030</v>
      </c>
      <c r="J24" s="555"/>
      <c r="K24" s="870"/>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5"/>
      <c r="Q25" s="1557" t="str">
        <f t="shared" ref="Q25:Q46" si="11">B25</f>
        <v>楼层-1</v>
      </c>
      <c r="R25" s="1558" t="s">
        <v>11</v>
      </c>
      <c r="S25" s="1559">
        <f>F25</f>
        <v>100</v>
      </c>
      <c r="T25" s="1558" t="s">
        <v>11</v>
      </c>
      <c r="U25" s="1559">
        <f>H25</f>
        <v>100</v>
      </c>
      <c r="V25" s="1558" t="s">
        <v>11</v>
      </c>
      <c r="W25" s="1559">
        <f>J25</f>
        <v>100</v>
      </c>
      <c r="X25" s="1552"/>
      <c r="Y25" s="3395"/>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5"/>
      <c r="Q26" s="1557" t="str">
        <f t="shared" si="11"/>
        <v>朝向</v>
      </c>
      <c r="R26" s="1558" t="s">
        <v>11</v>
      </c>
      <c r="S26" s="1559">
        <f>F26</f>
        <v>100</v>
      </c>
      <c r="T26" s="1558" t="s">
        <v>11</v>
      </c>
      <c r="U26" s="1559">
        <f>H26</f>
        <v>100</v>
      </c>
      <c r="V26" s="1558" t="s">
        <v>11</v>
      </c>
      <c r="W26" s="1559">
        <f>J26</f>
        <v>100</v>
      </c>
      <c r="X26" s="1552"/>
      <c r="Y26" s="3395"/>
      <c r="Z26" s="1560" t="str">
        <f>Q26</f>
        <v>朝向</v>
      </c>
      <c r="AA26" s="1561">
        <f t="shared" si="3"/>
        <v>1</v>
      </c>
      <c r="AB26" s="1561">
        <f t="shared" si="4"/>
        <v>1</v>
      </c>
      <c r="AC26" s="1561">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5"/>
      <c r="Q27" s="1146" t="str">
        <f t="shared" si="11"/>
        <v>道路级别</v>
      </c>
      <c r="R27" s="1553" t="s">
        <v>11</v>
      </c>
      <c r="S27" s="1554">
        <f>F27</f>
        <v>100</v>
      </c>
      <c r="T27" s="1553" t="s">
        <v>11</v>
      </c>
      <c r="U27" s="1554">
        <f>H27</f>
        <v>100</v>
      </c>
      <c r="V27" s="1553" t="s">
        <v>11</v>
      </c>
      <c r="W27" s="1554">
        <f>J27</f>
        <v>100</v>
      </c>
      <c r="X27" s="1555"/>
      <c r="Y27" s="3395"/>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5"/>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5"/>
      <c r="Q29" s="1557">
        <f t="shared" si="11"/>
        <v>111</v>
      </c>
      <c r="R29" s="1558" t="s">
        <v>11</v>
      </c>
      <c r="S29" s="1559">
        <f t="shared" si="12"/>
        <v>100</v>
      </c>
      <c r="T29" s="1558" t="s">
        <v>11</v>
      </c>
      <c r="U29" s="1559">
        <f t="shared" si="13"/>
        <v>100</v>
      </c>
      <c r="V29" s="1558" t="s">
        <v>11</v>
      </c>
      <c r="W29" s="1559">
        <f t="shared" si="14"/>
        <v>100</v>
      </c>
      <c r="X29" s="1552"/>
      <c r="Y29" s="3395"/>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5"/>
      <c r="Q30" s="1557">
        <f t="shared" si="11"/>
        <v>111</v>
      </c>
      <c r="R30" s="1558" t="s">
        <v>11</v>
      </c>
      <c r="S30" s="1559">
        <f t="shared" si="12"/>
        <v>100</v>
      </c>
      <c r="T30" s="1558" t="s">
        <v>11</v>
      </c>
      <c r="U30" s="1559">
        <f t="shared" si="13"/>
        <v>100</v>
      </c>
      <c r="V30" s="1558" t="s">
        <v>11</v>
      </c>
      <c r="W30" s="1559">
        <f t="shared" si="14"/>
        <v>100</v>
      </c>
      <c r="X30" s="1552"/>
      <c r="Y30" s="3395"/>
      <c r="Z30" s="1560">
        <f t="shared" si="15"/>
        <v>111</v>
      </c>
      <c r="AA30" s="1561">
        <f t="shared" si="3"/>
        <v>1</v>
      </c>
      <c r="AB30" s="1561">
        <f t="shared" si="4"/>
        <v>1</v>
      </c>
      <c r="AC30" s="156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5"/>
      <c r="Q31" s="1557">
        <f t="shared" si="11"/>
        <v>111</v>
      </c>
      <c r="R31" s="1558" t="s">
        <v>11</v>
      </c>
      <c r="S31" s="1559">
        <f t="shared" si="12"/>
        <v>100</v>
      </c>
      <c r="T31" s="1558" t="s">
        <v>11</v>
      </c>
      <c r="U31" s="1559">
        <f t="shared" si="13"/>
        <v>100</v>
      </c>
      <c r="V31" s="1558" t="s">
        <v>11</v>
      </c>
      <c r="W31" s="1559">
        <f t="shared" si="14"/>
        <v>100</v>
      </c>
      <c r="X31" s="1552"/>
      <c r="Y31" s="3395"/>
      <c r="Z31" s="1560">
        <f t="shared" si="15"/>
        <v>111</v>
      </c>
      <c r="AA31" s="1561">
        <f t="shared" si="3"/>
        <v>1</v>
      </c>
      <c r="AB31" s="1561">
        <f t="shared" si="4"/>
        <v>1</v>
      </c>
      <c r="AC31" s="1561">
        <f t="shared" si="5"/>
        <v>1</v>
      </c>
    </row>
    <row r="32" spans="1:29" ht="15">
      <c r="A32" s="2861" t="s">
        <v>2755</v>
      </c>
      <c r="B32" s="172" t="s">
        <v>725</v>
      </c>
      <c r="C32" s="878" t="s">
        <v>3027</v>
      </c>
      <c r="D32" s="597">
        <v>100</v>
      </c>
      <c r="E32" s="878" t="s">
        <v>3027</v>
      </c>
      <c r="F32" s="575">
        <f>SUMIF(100:100,E32,101:101)-SUMIF(100:100,C32,101:101)+100</f>
        <v>100</v>
      </c>
      <c r="G32" s="878" t="s">
        <v>3027</v>
      </c>
      <c r="H32" s="597">
        <f>SUMIF(100:100,G32,101:101)-SUMIF(100:100,C32,101:101)+100</f>
        <v>100</v>
      </c>
      <c r="I32" s="878" t="s">
        <v>3027</v>
      </c>
      <c r="J32" s="540">
        <f>SUMIF(100:100,I32,101:101)-SUMIF(100:100,C32,101:101)+100</f>
        <v>100</v>
      </c>
      <c r="K32" s="864">
        <v>5</v>
      </c>
      <c r="L32" s="2126"/>
      <c r="M32" s="2118"/>
      <c r="N32" s="2118"/>
      <c r="O32" s="2125"/>
      <c r="P32" s="3396" t="s">
        <v>550</v>
      </c>
      <c r="Q32" s="1557" t="str">
        <f t="shared" si="11"/>
        <v>建筑类型</v>
      </c>
      <c r="R32" s="1558" t="s">
        <v>11</v>
      </c>
      <c r="S32" s="1559">
        <f t="shared" si="12"/>
        <v>100</v>
      </c>
      <c r="T32" s="1558" t="s">
        <v>11</v>
      </c>
      <c r="U32" s="1559">
        <f t="shared" si="13"/>
        <v>100</v>
      </c>
      <c r="V32" s="1558" t="s">
        <v>11</v>
      </c>
      <c r="W32" s="1559">
        <f t="shared" si="14"/>
        <v>100</v>
      </c>
      <c r="X32" s="1552"/>
      <c r="Y32" s="3397" t="s">
        <v>550</v>
      </c>
      <c r="Z32" s="1560" t="str">
        <f t="shared" si="15"/>
        <v>建筑类型</v>
      </c>
      <c r="AA32" s="1561">
        <f t="shared" si="3"/>
        <v>1</v>
      </c>
      <c r="AB32" s="1561">
        <f t="shared" si="4"/>
        <v>1</v>
      </c>
      <c r="AC32" s="1561">
        <f t="shared" si="5"/>
        <v>1</v>
      </c>
    </row>
    <row r="33" spans="1:29" s="1334" customFormat="1" ht="15">
      <c r="A33" s="603"/>
      <c r="B33" s="527" t="s">
        <v>726</v>
      </c>
      <c r="C33" s="879">
        <f>'数据-基础表'!B3</f>
        <v>205689</v>
      </c>
      <c r="D33" s="255">
        <v>100</v>
      </c>
      <c r="E33" s="534">
        <v>390562.68</v>
      </c>
      <c r="F33" s="863">
        <f>LOOKUP(E33,103:103,104:104)-LOOKUP(C33,103:103,104:104)+100</f>
        <v>101</v>
      </c>
      <c r="G33" s="533">
        <v>410000</v>
      </c>
      <c r="H33" s="255">
        <f>LOOKUP(G33,103:103,104:104)-LOOKUP(C33,103:103,104:104)+100</f>
        <v>102</v>
      </c>
      <c r="I33" s="534">
        <v>392492</v>
      </c>
      <c r="J33" s="255">
        <f>LOOKUP(I33,103:103,104:104)-LOOKUP(C33,103:103,104:104)+100</f>
        <v>101</v>
      </c>
      <c r="K33" s="865"/>
      <c r="L33" s="2124"/>
      <c r="M33" s="2155"/>
      <c r="N33" s="2155"/>
      <c r="O33" s="2127"/>
      <c r="P33" s="3397"/>
      <c r="Q33" s="1589" t="str">
        <f t="shared" si="11"/>
        <v>项目建筑规模</v>
      </c>
      <c r="R33" s="1562" t="s">
        <v>11</v>
      </c>
      <c r="S33" s="1563">
        <f t="shared" si="12"/>
        <v>101</v>
      </c>
      <c r="T33" s="1562" t="s">
        <v>11</v>
      </c>
      <c r="U33" s="1563">
        <f t="shared" si="13"/>
        <v>102</v>
      </c>
      <c r="V33" s="1562" t="s">
        <v>11</v>
      </c>
      <c r="W33" s="1563">
        <f t="shared" si="14"/>
        <v>101</v>
      </c>
      <c r="X33" s="1564"/>
      <c r="Y33" s="3397"/>
      <c r="Z33" s="1565" t="str">
        <f t="shared" si="15"/>
        <v>项目建筑规模</v>
      </c>
      <c r="AA33" s="1561">
        <f t="shared" si="3"/>
        <v>0.99009900990099009</v>
      </c>
      <c r="AB33" s="1561">
        <f t="shared" si="4"/>
        <v>0.98039215686274506</v>
      </c>
      <c r="AC33" s="1561">
        <f t="shared" si="5"/>
        <v>0.99009900990099009</v>
      </c>
    </row>
    <row r="34" spans="1:29" ht="15">
      <c r="A34" s="594"/>
      <c r="B34" s="527" t="s">
        <v>727</v>
      </c>
      <c r="C34" s="880" t="s">
        <v>3070</v>
      </c>
      <c r="D34" s="540">
        <v>100</v>
      </c>
      <c r="E34" s="880" t="s">
        <v>3070</v>
      </c>
      <c r="F34" s="575">
        <f>SUMIF(105:105,E34,106:106)-SUMIF(105:105,C34,106:106)+100</f>
        <v>100</v>
      </c>
      <c r="G34" s="880" t="s">
        <v>3070</v>
      </c>
      <c r="H34" s="540">
        <f>SUMIF(105:105,G34,106:106)-SUMIF(105:105,C34,106:106)+100</f>
        <v>100</v>
      </c>
      <c r="I34" s="880" t="s">
        <v>3070</v>
      </c>
      <c r="J34" s="540">
        <f>SUMIF(105:105,I34,106:106)-SUMIF(105:105,C34,106:106)+100</f>
        <v>100</v>
      </c>
      <c r="K34" s="864">
        <v>1</v>
      </c>
      <c r="L34" s="2126"/>
      <c r="M34" s="2118"/>
      <c r="N34" s="2118"/>
      <c r="O34" s="2125"/>
      <c r="P34" s="3397"/>
      <c r="Q34" s="1557" t="str">
        <f t="shared" si="11"/>
        <v>建筑结构</v>
      </c>
      <c r="R34" s="1558" t="s">
        <v>11</v>
      </c>
      <c r="S34" s="1559">
        <f t="shared" si="12"/>
        <v>100</v>
      </c>
      <c r="T34" s="1558" t="s">
        <v>11</v>
      </c>
      <c r="U34" s="1559">
        <f t="shared" si="13"/>
        <v>100</v>
      </c>
      <c r="V34" s="1558" t="s">
        <v>11</v>
      </c>
      <c r="W34" s="1559">
        <f t="shared" si="14"/>
        <v>100</v>
      </c>
      <c r="X34" s="1552"/>
      <c r="Y34" s="3397"/>
      <c r="Z34" s="1560" t="str">
        <f t="shared" si="15"/>
        <v>建筑结构</v>
      </c>
      <c r="AA34" s="1561">
        <f t="shared" si="3"/>
        <v>1</v>
      </c>
      <c r="AB34" s="1561">
        <f t="shared" si="4"/>
        <v>1</v>
      </c>
      <c r="AC34" s="1561">
        <f t="shared" si="5"/>
        <v>1</v>
      </c>
    </row>
    <row r="35" spans="1:29" ht="15">
      <c r="A35" s="594"/>
      <c r="B35" s="527" t="s">
        <v>728</v>
      </c>
      <c r="C35" s="599" t="s">
        <v>3030</v>
      </c>
      <c r="D35" s="540">
        <v>100</v>
      </c>
      <c r="E35" s="599" t="s">
        <v>3030</v>
      </c>
      <c r="F35" s="575">
        <f>SUMIF(107:107,E35,108:108)-SUMIF(107:107,C35,108:108)+100</f>
        <v>100</v>
      </c>
      <c r="G35" s="599" t="s">
        <v>3030</v>
      </c>
      <c r="H35" s="540">
        <f>SUMIF(107:107,G35,108:108)-SUMIF(107:107,C35,108:108)+100</f>
        <v>100</v>
      </c>
      <c r="I35" s="599" t="s">
        <v>3030</v>
      </c>
      <c r="J35" s="540">
        <f>SUMIF(107:107,I35,108:108)-SUMIF(107:107,C35,108:108)+100</f>
        <v>100</v>
      </c>
      <c r="K35" s="864">
        <v>1</v>
      </c>
      <c r="L35" s="2126"/>
      <c r="M35" s="2118"/>
      <c r="N35" s="2118"/>
      <c r="O35" s="2125"/>
      <c r="P35" s="3397"/>
      <c r="Q35" s="1557" t="str">
        <f t="shared" si="11"/>
        <v>建筑品质</v>
      </c>
      <c r="R35" s="1558" t="s">
        <v>11</v>
      </c>
      <c r="S35" s="1559">
        <f t="shared" si="12"/>
        <v>100</v>
      </c>
      <c r="T35" s="1558" t="s">
        <v>11</v>
      </c>
      <c r="U35" s="1559">
        <f t="shared" si="13"/>
        <v>100</v>
      </c>
      <c r="V35" s="1558" t="s">
        <v>11</v>
      </c>
      <c r="W35" s="1559">
        <f t="shared" si="14"/>
        <v>100</v>
      </c>
      <c r="X35" s="1552"/>
      <c r="Y35" s="3397"/>
      <c r="Z35" s="1560" t="str">
        <f t="shared" si="15"/>
        <v>建筑品质</v>
      </c>
      <c r="AA35" s="1561">
        <f t="shared" si="3"/>
        <v>1</v>
      </c>
      <c r="AB35" s="1561">
        <f t="shared" si="4"/>
        <v>1</v>
      </c>
      <c r="AC35" s="1561">
        <f t="shared" si="5"/>
        <v>1</v>
      </c>
    </row>
    <row r="36" spans="1:29" ht="15">
      <c r="A36" s="594"/>
      <c r="B36" s="527" t="s">
        <v>729</v>
      </c>
      <c r="C36" s="599" t="s">
        <v>3073</v>
      </c>
      <c r="D36" s="540">
        <v>100</v>
      </c>
      <c r="E36" s="599" t="s">
        <v>3073</v>
      </c>
      <c r="F36" s="575">
        <f>SUMIF(109:109,E36,110:110)-SUMIF(109:109,C36,110:110)+100</f>
        <v>100</v>
      </c>
      <c r="G36" s="599" t="s">
        <v>3073</v>
      </c>
      <c r="H36" s="540">
        <f>SUMIF(109:109,G36,110:110)-SUMIF(109:109,C36,110:110)+100</f>
        <v>100</v>
      </c>
      <c r="I36" s="599" t="s">
        <v>3073</v>
      </c>
      <c r="J36" s="540">
        <f>SUMIF(109:109,I36,110:110)-SUMIF(109:109,C36,110:110)+100</f>
        <v>100</v>
      </c>
      <c r="K36" s="864">
        <v>3</v>
      </c>
      <c r="L36" s="2126"/>
      <c r="M36" s="2118"/>
      <c r="N36" s="2118"/>
      <c r="O36" s="2125"/>
      <c r="P36" s="3397"/>
      <c r="Q36" s="1557" t="str">
        <f t="shared" si="11"/>
        <v>公共部分装修</v>
      </c>
      <c r="R36" s="1558" t="s">
        <v>11</v>
      </c>
      <c r="S36" s="1559">
        <f t="shared" si="12"/>
        <v>100</v>
      </c>
      <c r="T36" s="1558" t="s">
        <v>11</v>
      </c>
      <c r="U36" s="1559">
        <f t="shared" si="13"/>
        <v>100</v>
      </c>
      <c r="V36" s="1558" t="s">
        <v>11</v>
      </c>
      <c r="W36" s="1559">
        <f t="shared" si="14"/>
        <v>100</v>
      </c>
      <c r="X36" s="1552"/>
      <c r="Y36" s="3397"/>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7"/>
      <c r="Q37" s="1146" t="str">
        <f t="shared" si="11"/>
        <v>成新度</v>
      </c>
      <c r="R37" s="1553" t="s">
        <v>11</v>
      </c>
      <c r="S37" s="1554">
        <f t="shared" si="12"/>
        <v>100</v>
      </c>
      <c r="T37" s="1553" t="s">
        <v>11</v>
      </c>
      <c r="U37" s="1554">
        <f t="shared" si="13"/>
        <v>100</v>
      </c>
      <c r="V37" s="1553" t="s">
        <v>11</v>
      </c>
      <c r="W37" s="1554">
        <f t="shared" si="14"/>
        <v>100</v>
      </c>
      <c r="X37" s="1555"/>
      <c r="Y37" s="3397"/>
      <c r="Z37" s="1145" t="str">
        <f t="shared" si="15"/>
        <v>成新度</v>
      </c>
      <c r="AA37" s="1556">
        <f t="shared" si="3"/>
        <v>1</v>
      </c>
      <c r="AB37" s="1556">
        <f t="shared" si="4"/>
        <v>1</v>
      </c>
      <c r="AC37" s="1556">
        <f t="shared" si="5"/>
        <v>1</v>
      </c>
    </row>
    <row r="38" spans="1:29" ht="15">
      <c r="A38" s="594"/>
      <c r="B38" s="527" t="s">
        <v>731</v>
      </c>
      <c r="C38" s="599" t="s">
        <v>3030</v>
      </c>
      <c r="D38" s="540">
        <v>100</v>
      </c>
      <c r="E38" s="599" t="s">
        <v>3030</v>
      </c>
      <c r="F38" s="575">
        <f>SUMIF(114:114,E38,115:115)-SUMIF(114:114,C38,115:115)+100</f>
        <v>100</v>
      </c>
      <c r="G38" s="599" t="s">
        <v>3030</v>
      </c>
      <c r="H38" s="540">
        <f>SUMIF(114:114,G38,115:115)-SUMIF(114:114,C38,115:115)+100</f>
        <v>100</v>
      </c>
      <c r="I38" s="599" t="s">
        <v>3030</v>
      </c>
      <c r="J38" s="540">
        <f>SUMIF(114:114,I38,115:115)-SUMIF(114:114,C38,115:115)+100</f>
        <v>100</v>
      </c>
      <c r="K38" s="864">
        <v>1</v>
      </c>
      <c r="L38" s="2126"/>
      <c r="M38" s="2118"/>
      <c r="N38" s="2118"/>
      <c r="O38" s="2125"/>
      <c r="P38" s="3397" t="s">
        <v>550</v>
      </c>
      <c r="Q38" s="1557" t="str">
        <f t="shared" si="11"/>
        <v>物业管理</v>
      </c>
      <c r="R38" s="1558" t="s">
        <v>11</v>
      </c>
      <c r="S38" s="1559">
        <f t="shared" si="12"/>
        <v>100</v>
      </c>
      <c r="T38" s="1558" t="s">
        <v>11</v>
      </c>
      <c r="U38" s="1559">
        <f t="shared" si="13"/>
        <v>100</v>
      </c>
      <c r="V38" s="1558" t="s">
        <v>11</v>
      </c>
      <c r="W38" s="1559">
        <f t="shared" si="14"/>
        <v>100</v>
      </c>
      <c r="X38" s="1552"/>
      <c r="Y38" s="3397" t="s">
        <v>550</v>
      </c>
      <c r="Z38" s="1560" t="str">
        <f t="shared" si="15"/>
        <v>物业管理</v>
      </c>
      <c r="AA38" s="1561">
        <f t="shared" si="3"/>
        <v>1</v>
      </c>
      <c r="AB38" s="1561">
        <f t="shared" si="4"/>
        <v>1</v>
      </c>
      <c r="AC38" s="1561">
        <f t="shared" si="5"/>
        <v>1</v>
      </c>
    </row>
    <row r="39" spans="1:29" ht="15">
      <c r="A39" s="594"/>
      <c r="B39" s="1879" t="s">
        <v>2564</v>
      </c>
      <c r="C39" s="599" t="s">
        <v>3036</v>
      </c>
      <c r="D39" s="540">
        <v>100</v>
      </c>
      <c r="E39" s="599" t="s">
        <v>3036</v>
      </c>
      <c r="F39" s="575">
        <f>SUMIF(116:116,E39,117:117)-SUMIF(116:116,C39,117:117)+100</f>
        <v>100</v>
      </c>
      <c r="G39" s="599" t="s">
        <v>3036</v>
      </c>
      <c r="H39" s="540">
        <f>SUMIF(116:116,G39,117:117)-SUMIF(116:116,C39,117:117)+100</f>
        <v>100</v>
      </c>
      <c r="I39" s="599" t="s">
        <v>3036</v>
      </c>
      <c r="J39" s="540">
        <f>SUMIF(116:116,I39,117:117)-SUMIF(116:116,C39,117:117)+100</f>
        <v>100</v>
      </c>
      <c r="K39" s="864">
        <v>1</v>
      </c>
      <c r="L39" s="2126"/>
      <c r="M39" s="2118"/>
      <c r="N39" s="2118"/>
      <c r="O39" s="2125"/>
      <c r="P39" s="3397"/>
      <c r="Q39" s="1557" t="str">
        <f t="shared" si="11"/>
        <v>市政基础设施</v>
      </c>
      <c r="R39" s="1558" t="s">
        <v>11</v>
      </c>
      <c r="S39" s="1559">
        <f t="shared" si="12"/>
        <v>100</v>
      </c>
      <c r="T39" s="1558" t="s">
        <v>11</v>
      </c>
      <c r="U39" s="1559">
        <f t="shared" si="13"/>
        <v>100</v>
      </c>
      <c r="V39" s="1558" t="s">
        <v>11</v>
      </c>
      <c r="W39" s="1559">
        <f t="shared" si="14"/>
        <v>100</v>
      </c>
      <c r="X39" s="1552"/>
      <c r="Y39" s="3397"/>
      <c r="Z39" s="1560" t="str">
        <f t="shared" si="15"/>
        <v>市政基础设施</v>
      </c>
      <c r="AA39" s="1561">
        <f t="shared" si="3"/>
        <v>1</v>
      </c>
      <c r="AB39" s="1561">
        <f t="shared" si="4"/>
        <v>1</v>
      </c>
      <c r="AC39" s="1561">
        <f t="shared" si="5"/>
        <v>1</v>
      </c>
    </row>
    <row r="40" spans="1:29" ht="15">
      <c r="A40" s="594"/>
      <c r="B40" s="527" t="s">
        <v>732</v>
      </c>
      <c r="C40" s="599" t="s">
        <v>3076</v>
      </c>
      <c r="D40" s="540">
        <v>100</v>
      </c>
      <c r="E40" s="599" t="s">
        <v>3076</v>
      </c>
      <c r="F40" s="575">
        <f>SUMIF(118:118,E40,119:119)-SUMIF(118:118,C40,119:119)+100</f>
        <v>100</v>
      </c>
      <c r="G40" s="599" t="s">
        <v>3076</v>
      </c>
      <c r="H40" s="540">
        <f>SUMIF(118:118,G40,119:119)-SUMIF(118:118,C40,119:119)+100</f>
        <v>100</v>
      </c>
      <c r="I40" s="599" t="s">
        <v>3076</v>
      </c>
      <c r="J40" s="540">
        <f>SUMIF(118:118,I40,119:119)-SUMIF(118:118,C40,119:119)+100</f>
        <v>100</v>
      </c>
      <c r="K40" s="864">
        <v>1</v>
      </c>
      <c r="L40" s="2126"/>
      <c r="M40" s="2118"/>
      <c r="N40" s="2118"/>
      <c r="O40" s="2125"/>
      <c r="P40" s="3397"/>
      <c r="Q40" s="1557" t="str">
        <f t="shared" si="11"/>
        <v>房型</v>
      </c>
      <c r="R40" s="1558" t="s">
        <v>11</v>
      </c>
      <c r="S40" s="1559">
        <f t="shared" si="12"/>
        <v>100</v>
      </c>
      <c r="T40" s="1558" t="s">
        <v>11</v>
      </c>
      <c r="U40" s="1559">
        <f t="shared" si="13"/>
        <v>100</v>
      </c>
      <c r="V40" s="1558" t="s">
        <v>11</v>
      </c>
      <c r="W40" s="1559">
        <f t="shared" si="14"/>
        <v>100</v>
      </c>
      <c r="X40" s="1552"/>
      <c r="Y40" s="3397"/>
      <c r="Z40" s="1560" t="str">
        <f t="shared" si="15"/>
        <v>房型</v>
      </c>
      <c r="AA40" s="1561">
        <f t="shared" si="3"/>
        <v>1</v>
      </c>
      <c r="AB40" s="1561">
        <f t="shared" si="4"/>
        <v>1</v>
      </c>
      <c r="AC40" s="156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7"/>
      <c r="Q41" s="1589" t="str">
        <f t="shared" si="11"/>
        <v>单套/主力户型建筑面积</v>
      </c>
      <c r="R41" s="1562" t="s">
        <v>11</v>
      </c>
      <c r="S41" s="1563">
        <f t="shared" si="12"/>
        <v>100</v>
      </c>
      <c r="T41" s="1562" t="s">
        <v>11</v>
      </c>
      <c r="U41" s="1563">
        <f t="shared" si="13"/>
        <v>100</v>
      </c>
      <c r="V41" s="1562" t="s">
        <v>11</v>
      </c>
      <c r="W41" s="1563">
        <f t="shared" si="14"/>
        <v>100</v>
      </c>
      <c r="X41" s="1564"/>
      <c r="Y41" s="3397"/>
      <c r="Z41" s="1565" t="str">
        <f t="shared" si="15"/>
        <v>单套/主力户型建筑面积</v>
      </c>
      <c r="AA41" s="1561">
        <f t="shared" si="3"/>
        <v>1</v>
      </c>
      <c r="AB41" s="1561">
        <f t="shared" si="4"/>
        <v>1</v>
      </c>
      <c r="AC41" s="1561">
        <f t="shared" si="5"/>
        <v>1</v>
      </c>
    </row>
    <row r="42" spans="1:29" ht="15">
      <c r="A42" s="594"/>
      <c r="B42" s="527" t="s">
        <v>734</v>
      </c>
      <c r="C42" s="599" t="s">
        <v>3080</v>
      </c>
      <c r="D42" s="540">
        <v>100</v>
      </c>
      <c r="E42" s="599" t="s">
        <v>3080</v>
      </c>
      <c r="F42" s="575">
        <f>SUMIF(122:122,E42,123:123)-SUMIF(122:122,C42,123:123)+100</f>
        <v>100</v>
      </c>
      <c r="G42" s="599" t="s">
        <v>3080</v>
      </c>
      <c r="H42" s="540">
        <f>SUMIF(122:122,G42,123:123)-SUMIF(122:122,C42,123:123)+100</f>
        <v>100</v>
      </c>
      <c r="I42" s="599" t="s">
        <v>3080</v>
      </c>
      <c r="J42" s="540">
        <f>SUMIF(122:122,I42,123:123)-SUMIF(122:122,C42,123:123)+100</f>
        <v>100</v>
      </c>
      <c r="K42" s="864">
        <v>3</v>
      </c>
      <c r="L42" s="2126"/>
      <c r="M42" s="2118"/>
      <c r="N42" s="2118"/>
      <c r="O42" s="2125"/>
      <c r="P42" s="3397"/>
      <c r="Q42" s="1557" t="str">
        <f t="shared" si="11"/>
        <v>内部装修</v>
      </c>
      <c r="R42" s="1558" t="s">
        <v>11</v>
      </c>
      <c r="S42" s="1559">
        <f t="shared" si="12"/>
        <v>100</v>
      </c>
      <c r="T42" s="1558" t="s">
        <v>11</v>
      </c>
      <c r="U42" s="1559">
        <f t="shared" si="13"/>
        <v>100</v>
      </c>
      <c r="V42" s="1558" t="s">
        <v>11</v>
      </c>
      <c r="W42" s="1559">
        <f t="shared" si="14"/>
        <v>100</v>
      </c>
      <c r="X42" s="1552"/>
      <c r="Y42" s="3397"/>
      <c r="Z42" s="1560" t="str">
        <f t="shared" si="15"/>
        <v>内部装修</v>
      </c>
      <c r="AA42" s="1561">
        <f t="shared" si="3"/>
        <v>1</v>
      </c>
      <c r="AB42" s="1561">
        <f t="shared" si="4"/>
        <v>1</v>
      </c>
      <c r="AC42" s="1561">
        <f t="shared" si="5"/>
        <v>1</v>
      </c>
    </row>
    <row r="43" spans="1:29" ht="29.4" thickBot="1">
      <c r="A43" s="594"/>
      <c r="B43" s="527" t="s">
        <v>735</v>
      </c>
      <c r="C43" s="599" t="s">
        <v>3030</v>
      </c>
      <c r="D43" s="540">
        <v>100</v>
      </c>
      <c r="E43" s="599" t="s">
        <v>3030</v>
      </c>
      <c r="F43" s="575">
        <f>SUMIF(124:124,E43,125:125)-SUMIF(124:124,C43,125:125)+100</f>
        <v>100</v>
      </c>
      <c r="G43" s="599" t="s">
        <v>3030</v>
      </c>
      <c r="H43" s="540">
        <f>SUMIF(124:124,G43,125:125)-SUMIF(124:124,C43,125:125)+100</f>
        <v>100</v>
      </c>
      <c r="I43" s="599" t="s">
        <v>3030</v>
      </c>
      <c r="J43" s="540">
        <f>SUMIF(124:124,I43,125:125)-SUMIF(124:124,C43,125:125)+100</f>
        <v>100</v>
      </c>
      <c r="K43" s="864">
        <v>1</v>
      </c>
      <c r="L43" s="2126"/>
      <c r="M43" s="2118"/>
      <c r="N43" s="2118"/>
      <c r="O43" s="2125"/>
      <c r="P43" s="3397"/>
      <c r="Q43" s="1557" t="str">
        <f t="shared" si="11"/>
        <v>内部装修维护情况</v>
      </c>
      <c r="R43" s="1558" t="s">
        <v>11</v>
      </c>
      <c r="S43" s="1559">
        <f t="shared" si="12"/>
        <v>100</v>
      </c>
      <c r="T43" s="1558" t="s">
        <v>11</v>
      </c>
      <c r="U43" s="1559">
        <f t="shared" si="13"/>
        <v>100</v>
      </c>
      <c r="V43" s="1558" t="s">
        <v>11</v>
      </c>
      <c r="W43" s="1559">
        <f t="shared" si="14"/>
        <v>100</v>
      </c>
      <c r="X43" s="1552"/>
      <c r="Y43" s="3397"/>
      <c r="Z43" s="1560" t="str">
        <f t="shared" si="15"/>
        <v>内部装修维护情况</v>
      </c>
      <c r="AA43" s="1561">
        <f t="shared" si="3"/>
        <v>1</v>
      </c>
      <c r="AB43" s="1561">
        <f t="shared" si="4"/>
        <v>1</v>
      </c>
      <c r="AC43" s="1561">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7"/>
      <c r="Q44" s="1146">
        <f t="shared" si="11"/>
        <v>111</v>
      </c>
      <c r="R44" s="1553" t="s">
        <v>11</v>
      </c>
      <c r="S44" s="1554">
        <f t="shared" si="12"/>
        <v>100</v>
      </c>
      <c r="T44" s="1553" t="s">
        <v>11</v>
      </c>
      <c r="U44" s="1554">
        <f t="shared" si="13"/>
        <v>100</v>
      </c>
      <c r="V44" s="1553" t="s">
        <v>11</v>
      </c>
      <c r="W44" s="1554">
        <f t="shared" si="14"/>
        <v>100</v>
      </c>
      <c r="X44" s="1555"/>
      <c r="Y44" s="3397"/>
      <c r="Z44" s="1145">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7"/>
      <c r="Q45" s="1557">
        <f t="shared" si="11"/>
        <v>111</v>
      </c>
      <c r="R45" s="1558" t="s">
        <v>11</v>
      </c>
      <c r="S45" s="1559">
        <f t="shared" si="12"/>
        <v>100</v>
      </c>
      <c r="T45" s="1558" t="s">
        <v>11</v>
      </c>
      <c r="U45" s="1559">
        <f t="shared" si="13"/>
        <v>100</v>
      </c>
      <c r="V45" s="1558" t="s">
        <v>11</v>
      </c>
      <c r="W45" s="1559">
        <f t="shared" si="14"/>
        <v>100</v>
      </c>
      <c r="X45" s="1552"/>
      <c r="Y45" s="3397"/>
      <c r="Z45" s="1560">
        <f t="shared" si="15"/>
        <v>111</v>
      </c>
      <c r="AA45" s="1561">
        <f t="shared" si="3"/>
        <v>1</v>
      </c>
      <c r="AB45" s="1561">
        <f t="shared" si="4"/>
        <v>1</v>
      </c>
      <c r="AC45" s="156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1"/>
      <c r="Q46" s="1557">
        <f t="shared" si="11"/>
        <v>111</v>
      </c>
      <c r="R46" s="1558" t="s">
        <v>10</v>
      </c>
      <c r="S46" s="1559">
        <f t="shared" si="12"/>
        <v>100</v>
      </c>
      <c r="T46" s="1558" t="s">
        <v>10</v>
      </c>
      <c r="U46" s="1559">
        <f t="shared" si="13"/>
        <v>100</v>
      </c>
      <c r="V46" s="1558" t="s">
        <v>10</v>
      </c>
      <c r="W46" s="1559">
        <f t="shared" si="14"/>
        <v>100</v>
      </c>
      <c r="X46" s="1552"/>
      <c r="Y46" s="3481"/>
      <c r="Z46" s="1560">
        <f t="shared" si="15"/>
        <v>111</v>
      </c>
      <c r="AA46" s="1561">
        <f t="shared" si="3"/>
        <v>1</v>
      </c>
      <c r="AB46" s="1561">
        <f t="shared" si="4"/>
        <v>1</v>
      </c>
      <c r="AC46" s="1561">
        <f t="shared" si="5"/>
        <v>1</v>
      </c>
    </row>
    <row r="47" spans="1:29" ht="14.4">
      <c r="A47" s="607" t="s">
        <v>736</v>
      </c>
      <c r="B47" s="886"/>
      <c r="C47" s="2590" t="s">
        <v>9</v>
      </c>
      <c r="D47" s="2591"/>
      <c r="E47" s="2592">
        <v>9500</v>
      </c>
      <c r="F47" s="2593"/>
      <c r="G47" s="2594">
        <v>10300</v>
      </c>
      <c r="H47" s="2595"/>
      <c r="I47" s="2592">
        <v>11000</v>
      </c>
      <c r="J47" s="2595"/>
      <c r="K47" s="1590"/>
      <c r="L47" s="2128"/>
      <c r="M47" s="2129"/>
      <c r="N47" s="2118"/>
      <c r="O47" s="2129"/>
      <c r="P47" s="3361" t="str">
        <f>A47</f>
        <v>成交单价（元/平方米）</v>
      </c>
      <c r="Q47" s="3361"/>
      <c r="R47" s="3482">
        <f>E47</f>
        <v>9500</v>
      </c>
      <c r="S47" s="3482"/>
      <c r="T47" s="3482">
        <f>G47</f>
        <v>10300</v>
      </c>
      <c r="U47" s="3482"/>
      <c r="V47" s="3482">
        <f>I47</f>
        <v>11000</v>
      </c>
      <c r="W47" s="3482"/>
      <c r="X47" s="1544"/>
      <c r="Y47" s="1566"/>
      <c r="Z47" s="1544"/>
      <c r="AA47" s="1544"/>
      <c r="AB47" s="1544"/>
      <c r="AC47" s="1544"/>
    </row>
    <row r="48" spans="1:29" ht="15" thickBot="1">
      <c r="A48" s="615" t="s">
        <v>2760</v>
      </c>
      <c r="B48" s="887"/>
      <c r="C48" s="2596">
        <f>R49</f>
        <v>10065</v>
      </c>
      <c r="D48" s="2597"/>
      <c r="E48" s="2598">
        <f>R48</f>
        <v>9512</v>
      </c>
      <c r="F48" s="2598"/>
      <c r="G48" s="2596">
        <f>T48</f>
        <v>10212</v>
      </c>
      <c r="H48" s="2597"/>
      <c r="I48" s="2598">
        <f>V48</f>
        <v>10472</v>
      </c>
      <c r="J48" s="2597"/>
      <c r="K48" s="1591"/>
      <c r="L48" s="2128"/>
      <c r="M48" s="2129"/>
      <c r="N48" s="2129"/>
      <c r="O48" s="2129"/>
      <c r="P48" s="3361" t="str">
        <f>A48</f>
        <v>比较价格（元/平方米）</v>
      </c>
      <c r="Q48" s="3361"/>
      <c r="R48" s="3482">
        <f>IF(F1="售价",ROUND(PRODUCT(R47,AA7:AA46),0),ROUND(PRODUCT(R47,AA7:AA46),1))</f>
        <v>9512</v>
      </c>
      <c r="S48" s="3482"/>
      <c r="T48" s="3482">
        <f>IF(F1="售价",ROUND(PRODUCT(T47,AB7:AB46),0),ROUND(PRODUCT(T47,AB7:AB46),1))</f>
        <v>10212</v>
      </c>
      <c r="U48" s="3482"/>
      <c r="V48" s="3482">
        <f>IF(F1="售价",ROUND(PRODUCT(V47,AC7:AC46),0),ROUND(PRODUCT(V47,AC7:AC46),1))</f>
        <v>10472</v>
      </c>
      <c r="W48" s="3482"/>
      <c r="X48" s="1544"/>
      <c r="Y48" s="1544"/>
      <c r="Z48" s="1544"/>
      <c r="AA48" s="1544"/>
      <c r="AB48" s="1544"/>
      <c r="AC48" s="1544"/>
    </row>
    <row r="49" spans="1:29" ht="15" thickBot="1">
      <c r="A49" s="621" t="s">
        <v>2932</v>
      </c>
      <c r="B49" s="622"/>
      <c r="C49" s="2599">
        <f>R49</f>
        <v>10065</v>
      </c>
      <c r="D49" s="2599"/>
      <c r="E49" s="2599"/>
      <c r="F49" s="2599"/>
      <c r="G49" s="2599"/>
      <c r="H49" s="2599"/>
      <c r="I49" s="2599"/>
      <c r="J49" s="2599"/>
      <c r="K49" s="1592"/>
      <c r="L49" s="2128"/>
      <c r="M49" s="2129"/>
      <c r="N49" s="2129"/>
      <c r="O49" s="2129"/>
      <c r="P49" s="3358" t="str">
        <f>A49</f>
        <v>估价对象XX用房的比较价格（楼面单价，元/平方米）</v>
      </c>
      <c r="Q49" s="3359"/>
      <c r="R49" s="3483">
        <f>IF(F1="售价",ROUND(AVERAGE(R48:V48),0),ROUND(AVERAGE(R48:V48),1))</f>
        <v>10065</v>
      </c>
      <c r="S49" s="3483"/>
      <c r="T49" s="3483"/>
      <c r="U49" s="3483"/>
      <c r="V49" s="3483"/>
      <c r="W49" s="348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1.2631578947368549E-3</v>
      </c>
      <c r="F52" s="627" t="str">
        <f>IF(OR(E52&gt;=0.3,E52&lt;=-0.3),"超过30%","")</f>
        <v/>
      </c>
      <c r="G52" s="626">
        <f>IF(G47&lt;G48,G48/G47-1,G47/G48-1)</f>
        <v>8.6173129651390123E-3</v>
      </c>
      <c r="H52" s="627" t="str">
        <f>IF(OR(G52&gt;=0.3,G52&lt;=-0.3),"超过30%","")</f>
        <v/>
      </c>
      <c r="I52" s="626">
        <f>IF(I47&lt;I48,I48/I47-1,I47/I48-1)</f>
        <v>5.0420168067226934E-2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7.3591253153910907E-2</v>
      </c>
      <c r="F53" s="627" t="str">
        <f>IF(OR(E53&gt;=0.2,E53&lt;=-0.2),"超过20%","")</f>
        <v/>
      </c>
      <c r="G53" s="626">
        <f>IF(G48&lt;I48,I48/G48-1,G48/I48-1)</f>
        <v>2.5460242851547132E-2</v>
      </c>
      <c r="H53" s="627" t="str">
        <f>IF(OR(G53&gt;=0.2,G53&lt;=-0.2),"超过20%","")</f>
        <v/>
      </c>
      <c r="I53" s="626">
        <f>IF(I48&lt;E48,E48/I48-1,I48/E48-1)</f>
        <v>0.10092514718250634</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8.4210526315789513E-2</v>
      </c>
      <c r="F54" s="627" t="str">
        <f>IF(OR(E54&gt;=0.3,E54&lt;=-0.3),"超过30%","")</f>
        <v/>
      </c>
      <c r="G54" s="626">
        <f>IF(G47&lt;I47,I47/G47-1,G47/I47-1)</f>
        <v>6.7961165048543659E-2</v>
      </c>
      <c r="H54" s="627" t="str">
        <f>IF(OR(G54&gt;=0.3,G54&lt;=-0.3),"超过30%","")</f>
        <v/>
      </c>
      <c r="I54" s="626">
        <f>IF(I47&lt;E47,E47/I47-1,I47/E47-1)</f>
        <v>0.15789473684210531</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3（含）-3</v>
      </c>
      <c r="F67" s="682" t="str">
        <f t="shared" si="19"/>
        <v>3（含）-4</v>
      </c>
      <c r="G67" s="682" t="str">
        <f t="shared" si="19"/>
        <v>4（含）-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v>3</v>
      </c>
      <c r="G68" s="541">
        <v>4</v>
      </c>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3069</v>
      </c>
      <c r="D100" s="3188" t="s">
        <v>3068</v>
      </c>
      <c r="E100" s="3188" t="s">
        <v>3086</v>
      </c>
      <c r="F100" s="3188" t="s">
        <v>3087</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6" t="s">
        <v>3071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7" t="s">
        <v>3072</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6" t="s">
        <v>3074</v>
      </c>
      <c r="D109" s="3186" t="s">
        <v>3078</v>
      </c>
      <c r="E109" s="3186" t="s">
        <v>3079</v>
      </c>
      <c r="F109" s="3187" t="s">
        <v>3081</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6" t="s">
        <v>3075</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3037</v>
      </c>
      <c r="D116" s="1371" t="s">
        <v>3038</v>
      </c>
      <c r="E116" s="1371" t="s">
        <v>3040</v>
      </c>
      <c r="F116" s="1371" t="s">
        <v>3041</v>
      </c>
      <c r="G116" s="1371" t="s">
        <v>3042</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7" t="s">
        <v>3077</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6" t="s">
        <v>3074</v>
      </c>
      <c r="D122" s="3186" t="s">
        <v>3078</v>
      </c>
      <c r="E122" s="3186" t="s">
        <v>3079</v>
      </c>
      <c r="F122" s="3187" t="s">
        <v>3081</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67" t="s">
        <v>522</v>
      </c>
      <c r="D4" s="3368"/>
      <c r="E4" s="3402" t="s">
        <v>523</v>
      </c>
      <c r="F4" s="3403"/>
      <c r="G4" s="3367" t="s">
        <v>524</v>
      </c>
      <c r="H4" s="3368"/>
      <c r="I4" s="3367" t="s">
        <v>525</v>
      </c>
      <c r="J4" s="3368"/>
      <c r="K4" s="514" t="s">
        <v>526</v>
      </c>
      <c r="L4" s="2117"/>
      <c r="M4" s="2118"/>
      <c r="N4" s="2118"/>
      <c r="O4" s="2118"/>
      <c r="P4" s="3369" t="s">
        <v>527</v>
      </c>
      <c r="Q4" s="3370"/>
      <c r="R4" s="3375" t="s">
        <v>523</v>
      </c>
      <c r="S4" s="3376"/>
      <c r="T4" s="3375" t="s">
        <v>524</v>
      </c>
      <c r="U4" s="3376"/>
      <c r="V4" s="3362" t="s">
        <v>525</v>
      </c>
      <c r="W4" s="3362"/>
      <c r="X4" s="1552"/>
      <c r="Y4" s="3375" t="s">
        <v>527</v>
      </c>
      <c r="Z4" s="3376"/>
      <c r="AA4" s="3364" t="s">
        <v>523</v>
      </c>
      <c r="AB4" s="3362" t="s">
        <v>524</v>
      </c>
      <c r="AC4" s="3364" t="s">
        <v>525</v>
      </c>
    </row>
    <row r="5" spans="1:29">
      <c r="A5" s="515"/>
      <c r="B5" s="516"/>
      <c r="C5" s="3383" t="s">
        <v>2926</v>
      </c>
      <c r="D5" s="3384"/>
      <c r="E5" s="3404" t="s">
        <v>2927</v>
      </c>
      <c r="F5" s="3405"/>
      <c r="G5" s="3383" t="s">
        <v>2928</v>
      </c>
      <c r="H5" s="3384"/>
      <c r="I5" s="3383" t="s">
        <v>2929</v>
      </c>
      <c r="J5" s="3384"/>
      <c r="K5" s="514"/>
      <c r="L5" s="2117"/>
      <c r="M5" s="2118"/>
      <c r="N5" s="2118"/>
      <c r="O5" s="2118"/>
      <c r="P5" s="3371"/>
      <c r="Q5" s="3372"/>
      <c r="R5" s="3377"/>
      <c r="S5" s="3378"/>
      <c r="T5" s="3377"/>
      <c r="U5" s="3378"/>
      <c r="V5" s="3362"/>
      <c r="W5" s="3362"/>
      <c r="X5" s="1552"/>
      <c r="Y5" s="3377"/>
      <c r="Z5" s="3378"/>
      <c r="AA5" s="3365"/>
      <c r="AB5" s="3362"/>
      <c r="AC5" s="3365"/>
    </row>
    <row r="6" spans="1:29" ht="15" thickBot="1">
      <c r="A6" s="517"/>
      <c r="B6" s="518"/>
      <c r="C6" s="3398" t="s">
        <v>2930</v>
      </c>
      <c r="D6" s="3399"/>
      <c r="E6" s="3400" t="s">
        <v>2930</v>
      </c>
      <c r="F6" s="3401"/>
      <c r="G6" s="3398" t="s">
        <v>2930</v>
      </c>
      <c r="H6" s="3399"/>
      <c r="I6" s="3398" t="s">
        <v>2930</v>
      </c>
      <c r="J6" s="3399"/>
      <c r="K6" s="514" t="s">
        <v>528</v>
      </c>
      <c r="L6" s="2117"/>
      <c r="M6" s="2118"/>
      <c r="N6" s="2118"/>
      <c r="O6" s="2118"/>
      <c r="P6" s="3373"/>
      <c r="Q6" s="3374"/>
      <c r="R6" s="3377"/>
      <c r="S6" s="3378"/>
      <c r="T6" s="3379"/>
      <c r="U6" s="3380"/>
      <c r="V6" s="3362"/>
      <c r="W6" s="3362"/>
      <c r="X6" s="1552"/>
      <c r="Y6" s="3379"/>
      <c r="Z6" s="3380"/>
      <c r="AA6" s="3366"/>
      <c r="AB6" s="3362"/>
      <c r="AC6" s="3366"/>
    </row>
    <row r="7" spans="1:29" s="1215" customFormat="1" ht="15" thickBot="1">
      <c r="A7" s="2866"/>
      <c r="B7" s="2873" t="s">
        <v>529</v>
      </c>
      <c r="C7" s="519">
        <f>'数据-取费表'!B2</f>
        <v>43776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91" t="s">
        <v>530</v>
      </c>
      <c r="Q7" s="3393"/>
      <c r="R7" s="1553" t="s">
        <v>8</v>
      </c>
      <c r="S7" s="1554">
        <f t="shared" ref="S7:S15" si="0">F7</f>
        <v>0</v>
      </c>
      <c r="T7" s="1553" t="s">
        <v>8</v>
      </c>
      <c r="U7" s="1554">
        <f t="shared" ref="U7:U15" si="1">H7</f>
        <v>0</v>
      </c>
      <c r="V7" s="1553" t="s">
        <v>8</v>
      </c>
      <c r="W7" s="1554">
        <f t="shared" ref="W7:W15" si="2">J7</f>
        <v>0</v>
      </c>
      <c r="X7" s="1555"/>
      <c r="Y7" s="3391" t="s">
        <v>530</v>
      </c>
      <c r="Z7" s="3392"/>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46" si="3">D8/F8</f>
        <v>#DIV/0!</v>
      </c>
      <c r="AB8" s="1556" t="e">
        <f t="shared" ref="AB8:AB46" si="4">D8/H8</f>
        <v>#DIV/0!</v>
      </c>
      <c r="AC8" s="1556" t="e">
        <f t="shared" ref="AC8:AC46" si="5">D8/J8</f>
        <v>#DIV/0!</v>
      </c>
    </row>
    <row r="9" spans="1:29" s="1215" customFormat="1" ht="14.4">
      <c r="A9" s="2868"/>
      <c r="B9" s="2875" t="s">
        <v>2756</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61"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61"/>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61"/>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61"/>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61"/>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61"/>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15">
      <c r="A15" s="2864" t="s">
        <v>2754</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4" t="s">
        <v>540</v>
      </c>
      <c r="Q15" s="1557" t="str">
        <f t="shared" si="6"/>
        <v>商业繁华度</v>
      </c>
      <c r="R15" s="1558" t="s">
        <v>8</v>
      </c>
      <c r="S15" s="1559">
        <f t="shared" si="0"/>
        <v>100</v>
      </c>
      <c r="T15" s="1558" t="s">
        <v>8</v>
      </c>
      <c r="U15" s="1559">
        <f t="shared" si="1"/>
        <v>100</v>
      </c>
      <c r="V15" s="1558" t="s">
        <v>8</v>
      </c>
      <c r="W15" s="1559">
        <f t="shared" si="2"/>
        <v>100</v>
      </c>
      <c r="X15" s="1552"/>
      <c r="Y15" s="3394"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5"/>
      <c r="Q16" s="1557"/>
      <c r="R16" s="1558"/>
      <c r="S16" s="1559"/>
      <c r="T16" s="1558"/>
      <c r="U16" s="1559"/>
      <c r="V16" s="1558"/>
      <c r="W16" s="1559"/>
      <c r="X16" s="1552"/>
      <c r="Y16" s="3395"/>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5"/>
      <c r="Q18" s="1557"/>
      <c r="R18" s="1558"/>
      <c r="S18" s="1559"/>
      <c r="T18" s="1558"/>
      <c r="U18" s="1559"/>
      <c r="V18" s="1558"/>
      <c r="W18" s="1559"/>
      <c r="X18" s="1552"/>
      <c r="Y18" s="3395"/>
      <c r="Z18" s="1560"/>
      <c r="AA18" s="1561">
        <v>1</v>
      </c>
      <c r="AB18" s="1561">
        <v>1</v>
      </c>
      <c r="AC18" s="1561">
        <v>1</v>
      </c>
    </row>
    <row r="19" spans="1:29" ht="15">
      <c r="A19" s="532"/>
      <c r="B19" s="2563"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5"/>
      <c r="Q20" s="1557"/>
      <c r="R20" s="1558"/>
      <c r="S20" s="1559"/>
      <c r="T20" s="1558"/>
      <c r="U20" s="1559"/>
      <c r="V20" s="1558"/>
      <c r="W20" s="1559"/>
      <c r="X20" s="1552"/>
      <c r="Y20" s="3395"/>
      <c r="Z20" s="1560"/>
      <c r="AA20" s="1561">
        <v>1</v>
      </c>
      <c r="AB20" s="1561">
        <v>1</v>
      </c>
      <c r="AC20" s="1561">
        <v>1</v>
      </c>
    </row>
    <row r="21" spans="1:29" ht="15">
      <c r="A21" s="532"/>
      <c r="B21" s="2556"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395"/>
      <c r="Q22" s="2542"/>
      <c r="R22" s="1558"/>
      <c r="S22" s="1559"/>
      <c r="T22" s="1558"/>
      <c r="U22" s="1559"/>
      <c r="V22" s="1558"/>
      <c r="W22" s="1559"/>
      <c r="X22" s="2544"/>
      <c r="Y22" s="3395"/>
      <c r="Z22" s="2543"/>
      <c r="AA22" s="1561">
        <v>1</v>
      </c>
      <c r="AB22" s="1561">
        <v>1</v>
      </c>
      <c r="AC22" s="1561">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5"/>
      <c r="Q23" s="1557" t="str">
        <f>B23</f>
        <v>自然及人文环境</v>
      </c>
      <c r="R23" s="1558" t="s">
        <v>8</v>
      </c>
      <c r="S23" s="1559">
        <f>F23</f>
        <v>100</v>
      </c>
      <c r="T23" s="1558" t="s">
        <v>8</v>
      </c>
      <c r="U23" s="1559">
        <f>H23</f>
        <v>100</v>
      </c>
      <c r="V23" s="1558" t="s">
        <v>8</v>
      </c>
      <c r="W23" s="1559">
        <f>J23</f>
        <v>100</v>
      </c>
      <c r="X23" s="1552"/>
      <c r="Y23" s="339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5"/>
      <c r="Q25" s="1557" t="str">
        <f t="shared" ref="Q25:Q46" si="11">B25</f>
        <v>临街状况</v>
      </c>
      <c r="R25" s="1558" t="s">
        <v>8</v>
      </c>
      <c r="S25" s="1559">
        <f>F25</f>
        <v>100</v>
      </c>
      <c r="T25" s="1558" t="s">
        <v>8</v>
      </c>
      <c r="U25" s="1559">
        <f>H25</f>
        <v>100</v>
      </c>
      <c r="V25" s="1558" t="s">
        <v>8</v>
      </c>
      <c r="W25" s="1559">
        <f>J25</f>
        <v>100</v>
      </c>
      <c r="X25" s="1552"/>
      <c r="Y25" s="3395"/>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5"/>
      <c r="Q26" s="1557" t="str">
        <f t="shared" si="11"/>
        <v>平面位置/可视性</v>
      </c>
      <c r="R26" s="1558" t="s">
        <v>8</v>
      </c>
      <c r="S26" s="1559">
        <f>F26</f>
        <v>100</v>
      </c>
      <c r="T26" s="1558" t="s">
        <v>8</v>
      </c>
      <c r="U26" s="1559">
        <f>H26</f>
        <v>100</v>
      </c>
      <c r="V26" s="1558" t="s">
        <v>8</v>
      </c>
      <c r="W26" s="1559">
        <f>J26</f>
        <v>100</v>
      </c>
      <c r="X26" s="1552"/>
      <c r="Y26" s="3395"/>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5"/>
      <c r="Q27" s="1146" t="str">
        <f t="shared" si="11"/>
        <v>人流量</v>
      </c>
      <c r="R27" s="1553" t="s">
        <v>8</v>
      </c>
      <c r="S27" s="1554">
        <f>F27</f>
        <v>100</v>
      </c>
      <c r="T27" s="1553" t="s">
        <v>8</v>
      </c>
      <c r="U27" s="1554">
        <f>H27</f>
        <v>100</v>
      </c>
      <c r="V27" s="1553" t="s">
        <v>8</v>
      </c>
      <c r="W27" s="1554">
        <f>J27</f>
        <v>100</v>
      </c>
      <c r="X27" s="1555"/>
      <c r="Y27" s="3395"/>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5"/>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5"/>
      <c r="Q29" s="1557">
        <f t="shared" si="11"/>
        <v>111</v>
      </c>
      <c r="R29" s="1558" t="s">
        <v>8</v>
      </c>
      <c r="S29" s="1559">
        <f t="shared" si="12"/>
        <v>100</v>
      </c>
      <c r="T29" s="1558" t="s">
        <v>8</v>
      </c>
      <c r="U29" s="1559">
        <f t="shared" si="13"/>
        <v>100</v>
      </c>
      <c r="V29" s="1558" t="s">
        <v>8</v>
      </c>
      <c r="W29" s="1559">
        <f t="shared" si="14"/>
        <v>100</v>
      </c>
      <c r="X29" s="1552"/>
      <c r="Y29" s="3395"/>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5"/>
      <c r="Q30" s="1557">
        <f t="shared" si="11"/>
        <v>111</v>
      </c>
      <c r="R30" s="1558" t="s">
        <v>8</v>
      </c>
      <c r="S30" s="1559">
        <f t="shared" si="12"/>
        <v>100</v>
      </c>
      <c r="T30" s="1558" t="s">
        <v>8</v>
      </c>
      <c r="U30" s="1559">
        <f t="shared" si="13"/>
        <v>100</v>
      </c>
      <c r="V30" s="1558" t="s">
        <v>8</v>
      </c>
      <c r="W30" s="1559">
        <f t="shared" si="14"/>
        <v>100</v>
      </c>
      <c r="X30" s="1552"/>
      <c r="Y30" s="3395"/>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5"/>
      <c r="Q31" s="1557">
        <f t="shared" si="11"/>
        <v>111</v>
      </c>
      <c r="R31" s="1558" t="s">
        <v>8</v>
      </c>
      <c r="S31" s="1559">
        <f t="shared" si="12"/>
        <v>100</v>
      </c>
      <c r="T31" s="1558" t="s">
        <v>8</v>
      </c>
      <c r="U31" s="1559">
        <f t="shared" si="13"/>
        <v>100</v>
      </c>
      <c r="V31" s="1558" t="s">
        <v>8</v>
      </c>
      <c r="W31" s="1559">
        <f t="shared" si="14"/>
        <v>100</v>
      </c>
      <c r="X31" s="1552"/>
      <c r="Y31" s="3395"/>
      <c r="Z31" s="1560">
        <f t="shared" si="15"/>
        <v>111</v>
      </c>
      <c r="AA31" s="1561">
        <f t="shared" si="3"/>
        <v>1</v>
      </c>
      <c r="AB31" s="1561">
        <f t="shared" si="4"/>
        <v>1</v>
      </c>
      <c r="AC31" s="1561">
        <f t="shared" si="5"/>
        <v>1</v>
      </c>
    </row>
    <row r="32" spans="1:29" ht="15">
      <c r="A32" s="2861"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6" t="s">
        <v>550</v>
      </c>
      <c r="Q32" s="1557" t="str">
        <f t="shared" si="11"/>
        <v>商业类型</v>
      </c>
      <c r="R32" s="1558" t="s">
        <v>8</v>
      </c>
      <c r="S32" s="1559">
        <f t="shared" si="12"/>
        <v>100</v>
      </c>
      <c r="T32" s="1558" t="s">
        <v>8</v>
      </c>
      <c r="U32" s="1559">
        <f t="shared" si="13"/>
        <v>100</v>
      </c>
      <c r="V32" s="1558" t="s">
        <v>8</v>
      </c>
      <c r="W32" s="1559">
        <f t="shared" si="14"/>
        <v>100</v>
      </c>
      <c r="X32" s="1552"/>
      <c r="Y32" s="3397"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7"/>
      <c r="Q33" s="1589" t="str">
        <f t="shared" si="11"/>
        <v>项目建筑规模</v>
      </c>
      <c r="R33" s="1562" t="s">
        <v>8</v>
      </c>
      <c r="S33" s="1563" t="e">
        <f t="shared" si="12"/>
        <v>#N/A</v>
      </c>
      <c r="T33" s="1562" t="s">
        <v>8</v>
      </c>
      <c r="U33" s="1563" t="e">
        <f t="shared" si="13"/>
        <v>#N/A</v>
      </c>
      <c r="V33" s="1562" t="s">
        <v>8</v>
      </c>
      <c r="W33" s="1563" t="e">
        <f t="shared" si="14"/>
        <v>#N/A</v>
      </c>
      <c r="X33" s="1564"/>
      <c r="Y33" s="3397"/>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7"/>
      <c r="Q34" s="1557" t="str">
        <f t="shared" si="11"/>
        <v>建筑结构</v>
      </c>
      <c r="R34" s="1558" t="s">
        <v>8</v>
      </c>
      <c r="S34" s="1559">
        <f t="shared" si="12"/>
        <v>100</v>
      </c>
      <c r="T34" s="1558" t="s">
        <v>8</v>
      </c>
      <c r="U34" s="1559">
        <f t="shared" si="13"/>
        <v>100</v>
      </c>
      <c r="V34" s="1558" t="s">
        <v>8</v>
      </c>
      <c r="W34" s="1559">
        <f t="shared" si="14"/>
        <v>100</v>
      </c>
      <c r="X34" s="1552"/>
      <c r="Y34" s="3397"/>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7"/>
      <c r="Q35" s="1557" t="str">
        <f t="shared" si="11"/>
        <v>公共部分装修</v>
      </c>
      <c r="R35" s="1558" t="s">
        <v>8</v>
      </c>
      <c r="S35" s="1559">
        <f t="shared" si="12"/>
        <v>100</v>
      </c>
      <c r="T35" s="1558" t="s">
        <v>8</v>
      </c>
      <c r="U35" s="1559">
        <f t="shared" si="13"/>
        <v>100</v>
      </c>
      <c r="V35" s="1558" t="s">
        <v>8</v>
      </c>
      <c r="W35" s="1559">
        <f t="shared" si="14"/>
        <v>100</v>
      </c>
      <c r="X35" s="1552"/>
      <c r="Y35" s="3397"/>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7"/>
      <c r="Q36" s="1557" t="str">
        <f t="shared" si="11"/>
        <v>成新度</v>
      </c>
      <c r="R36" s="1558" t="s">
        <v>8</v>
      </c>
      <c r="S36" s="1559" t="e">
        <f t="shared" si="12"/>
        <v>#N/A</v>
      </c>
      <c r="T36" s="1558" t="s">
        <v>8</v>
      </c>
      <c r="U36" s="1559" t="e">
        <f t="shared" si="13"/>
        <v>#N/A</v>
      </c>
      <c r="V36" s="1558" t="s">
        <v>8</v>
      </c>
      <c r="W36" s="1559" t="e">
        <f t="shared" si="14"/>
        <v>#N/A</v>
      </c>
      <c r="X36" s="1552"/>
      <c r="Y36" s="3397"/>
      <c r="Z36" s="1560" t="str">
        <f t="shared" si="15"/>
        <v>成新度</v>
      </c>
      <c r="AA36" s="1561" t="e">
        <f t="shared" si="3"/>
        <v>#N/A</v>
      </c>
      <c r="AB36" s="1561" t="e">
        <f t="shared" si="4"/>
        <v>#N/A</v>
      </c>
      <c r="AC36" s="1561" t="e">
        <f t="shared" si="5"/>
        <v>#N/A</v>
      </c>
    </row>
    <row r="37" spans="1:29" s="1215" customFormat="1" ht="15">
      <c r="A37" s="600"/>
      <c r="B37" s="1879"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7"/>
      <c r="Q37" s="1146" t="str">
        <f t="shared" si="11"/>
        <v>市政基础设施</v>
      </c>
      <c r="R37" s="1553" t="s">
        <v>8</v>
      </c>
      <c r="S37" s="1554">
        <f t="shared" si="12"/>
        <v>100</v>
      </c>
      <c r="T37" s="1553" t="s">
        <v>8</v>
      </c>
      <c r="U37" s="1554">
        <f t="shared" si="13"/>
        <v>100</v>
      </c>
      <c r="V37" s="1553" t="s">
        <v>8</v>
      </c>
      <c r="W37" s="1554">
        <f t="shared" si="14"/>
        <v>100</v>
      </c>
      <c r="X37" s="1555"/>
      <c r="Y37" s="3397"/>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7" t="s">
        <v>766</v>
      </c>
      <c r="Q38" s="1557" t="str">
        <f t="shared" si="11"/>
        <v>业态</v>
      </c>
      <c r="R38" s="1558" t="s">
        <v>8</v>
      </c>
      <c r="S38" s="1559">
        <f t="shared" si="12"/>
        <v>100</v>
      </c>
      <c r="T38" s="1558" t="s">
        <v>8</v>
      </c>
      <c r="U38" s="1559">
        <f t="shared" si="13"/>
        <v>100</v>
      </c>
      <c r="V38" s="1558" t="s">
        <v>8</v>
      </c>
      <c r="W38" s="1559">
        <f t="shared" si="14"/>
        <v>100</v>
      </c>
      <c r="X38" s="1552"/>
      <c r="Y38" s="3397"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7"/>
      <c r="Q39" s="1557" t="str">
        <f t="shared" si="11"/>
        <v>层高</v>
      </c>
      <c r="R39" s="1558" t="s">
        <v>8</v>
      </c>
      <c r="S39" s="1559">
        <f t="shared" si="12"/>
        <v>100</v>
      </c>
      <c r="T39" s="1558" t="s">
        <v>8</v>
      </c>
      <c r="U39" s="1559">
        <f t="shared" si="13"/>
        <v>100</v>
      </c>
      <c r="V39" s="1558" t="s">
        <v>8</v>
      </c>
      <c r="W39" s="1559">
        <f t="shared" si="14"/>
        <v>100</v>
      </c>
      <c r="X39" s="1552"/>
      <c r="Y39" s="3397"/>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7"/>
      <c r="Q40" s="1557" t="str">
        <f t="shared" si="11"/>
        <v>单套建筑面积</v>
      </c>
      <c r="R40" s="1558" t="s">
        <v>8</v>
      </c>
      <c r="S40" s="1559">
        <f t="shared" si="12"/>
        <v>100</v>
      </c>
      <c r="T40" s="1558" t="s">
        <v>8</v>
      </c>
      <c r="U40" s="1559">
        <f t="shared" si="13"/>
        <v>100</v>
      </c>
      <c r="V40" s="1558" t="s">
        <v>8</v>
      </c>
      <c r="W40" s="1559">
        <f t="shared" si="14"/>
        <v>100</v>
      </c>
      <c r="X40" s="1552"/>
      <c r="Y40" s="3397"/>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7"/>
      <c r="Q41" s="1589" t="str">
        <f t="shared" si="11"/>
        <v>进深比</v>
      </c>
      <c r="R41" s="1562" t="s">
        <v>8</v>
      </c>
      <c r="S41" s="1563">
        <f t="shared" si="12"/>
        <v>100</v>
      </c>
      <c r="T41" s="1562" t="s">
        <v>8</v>
      </c>
      <c r="U41" s="1563">
        <f t="shared" si="13"/>
        <v>100</v>
      </c>
      <c r="V41" s="1562" t="s">
        <v>8</v>
      </c>
      <c r="W41" s="1563">
        <f t="shared" si="14"/>
        <v>100</v>
      </c>
      <c r="X41" s="1564"/>
      <c r="Y41" s="3397"/>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7"/>
      <c r="Q42" s="1557" t="str">
        <f t="shared" si="11"/>
        <v>内部装修</v>
      </c>
      <c r="R42" s="1558" t="s">
        <v>8</v>
      </c>
      <c r="S42" s="1559">
        <f t="shared" si="12"/>
        <v>100</v>
      </c>
      <c r="T42" s="1558" t="s">
        <v>8</v>
      </c>
      <c r="U42" s="1559">
        <f t="shared" si="13"/>
        <v>100</v>
      </c>
      <c r="V42" s="1558" t="s">
        <v>8</v>
      </c>
      <c r="W42" s="1559">
        <f t="shared" si="14"/>
        <v>100</v>
      </c>
      <c r="X42" s="1552"/>
      <c r="Y42" s="3397"/>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7"/>
      <c r="Q43" s="1557" t="str">
        <f t="shared" si="11"/>
        <v>内部装修维护情况</v>
      </c>
      <c r="R43" s="1558" t="s">
        <v>8</v>
      </c>
      <c r="S43" s="1559">
        <f t="shared" si="12"/>
        <v>100</v>
      </c>
      <c r="T43" s="1558" t="s">
        <v>8</v>
      </c>
      <c r="U43" s="1559">
        <f t="shared" si="13"/>
        <v>100</v>
      </c>
      <c r="V43" s="1558" t="s">
        <v>8</v>
      </c>
      <c r="W43" s="1559">
        <f t="shared" si="14"/>
        <v>100</v>
      </c>
      <c r="X43" s="1552"/>
      <c r="Y43" s="3397"/>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7"/>
      <c r="Q44" s="1146">
        <f t="shared" si="11"/>
        <v>111</v>
      </c>
      <c r="R44" s="1553" t="s">
        <v>8</v>
      </c>
      <c r="S44" s="1554">
        <f t="shared" si="12"/>
        <v>100</v>
      </c>
      <c r="T44" s="1553" t="s">
        <v>8</v>
      </c>
      <c r="U44" s="1554">
        <f t="shared" si="13"/>
        <v>100</v>
      </c>
      <c r="V44" s="1553" t="s">
        <v>8</v>
      </c>
      <c r="W44" s="1554">
        <f t="shared" si="14"/>
        <v>100</v>
      </c>
      <c r="X44" s="1555"/>
      <c r="Y44" s="3397"/>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7"/>
      <c r="Q45" s="1557">
        <f t="shared" si="11"/>
        <v>111</v>
      </c>
      <c r="R45" s="1558" t="s">
        <v>8</v>
      </c>
      <c r="S45" s="1559">
        <f t="shared" si="12"/>
        <v>100</v>
      </c>
      <c r="T45" s="1558" t="s">
        <v>8</v>
      </c>
      <c r="U45" s="1559">
        <f t="shared" si="13"/>
        <v>100</v>
      </c>
      <c r="V45" s="1558" t="s">
        <v>8</v>
      </c>
      <c r="W45" s="1559">
        <f t="shared" si="14"/>
        <v>100</v>
      </c>
      <c r="X45" s="1552"/>
      <c r="Y45" s="3397"/>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1"/>
      <c r="Q46" s="1557">
        <f t="shared" si="11"/>
        <v>111</v>
      </c>
      <c r="R46" s="1558" t="s">
        <v>8</v>
      </c>
      <c r="S46" s="1559">
        <f t="shared" si="12"/>
        <v>100</v>
      </c>
      <c r="T46" s="1558" t="s">
        <v>8</v>
      </c>
      <c r="U46" s="1559">
        <f t="shared" si="13"/>
        <v>100</v>
      </c>
      <c r="V46" s="1558" t="s">
        <v>8</v>
      </c>
      <c r="W46" s="1559">
        <f t="shared" si="14"/>
        <v>100</v>
      </c>
      <c r="X46" s="1552"/>
      <c r="Y46" s="3481"/>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61" t="str">
        <f>A47</f>
        <v>成交单价（元/平方米）</v>
      </c>
      <c r="Q47" s="3361"/>
      <c r="R47" s="3482">
        <f>E47</f>
        <v>0</v>
      </c>
      <c r="S47" s="3482"/>
      <c r="T47" s="3482">
        <f>G47</f>
        <v>0</v>
      </c>
      <c r="U47" s="3482"/>
      <c r="V47" s="3482">
        <f>I47</f>
        <v>0</v>
      </c>
      <c r="W47" s="3482"/>
      <c r="X47" s="1544"/>
      <c r="Y47" s="1566"/>
      <c r="Z47" s="1544"/>
      <c r="AA47" s="1544"/>
      <c r="AB47" s="1544"/>
      <c r="AC47" s="1544"/>
    </row>
    <row r="48" spans="1:29" ht="15" thickBot="1">
      <c r="A48" s="615" t="s">
        <v>2760</v>
      </c>
      <c r="B48" s="887"/>
      <c r="C48" s="2596" t="e">
        <f>R49</f>
        <v>#DIV/0!</v>
      </c>
      <c r="D48" s="2597"/>
      <c r="E48" s="2598" t="e">
        <f>R48</f>
        <v>#DIV/0!</v>
      </c>
      <c r="F48" s="2598"/>
      <c r="G48" s="2596" t="e">
        <f>T48</f>
        <v>#DIV/0!</v>
      </c>
      <c r="H48" s="2597"/>
      <c r="I48" s="2598" t="e">
        <f>V48</f>
        <v>#DIV/0!</v>
      </c>
      <c r="J48" s="2597"/>
      <c r="K48" s="1596"/>
      <c r="L48" s="2128"/>
      <c r="M48" s="2129"/>
      <c r="N48" s="2118"/>
      <c r="O48" s="2129"/>
      <c r="P48" s="3361" t="str">
        <f>A48</f>
        <v>比较价格（元/平方米）</v>
      </c>
      <c r="Q48" s="336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7"/>
      <c r="L49" s="2128"/>
      <c r="M49" s="2129"/>
      <c r="N49" s="2118"/>
      <c r="O49" s="2129"/>
      <c r="P49" s="3358" t="str">
        <f>A49</f>
        <v>估价对象XX用房的比较价格（楼面单价，元/平方米）</v>
      </c>
      <c r="Q49" s="3359"/>
      <c r="R49" s="3483" t="e">
        <f>IF(F1="售价",ROUND(AVERAGE(R48:V48),0),ROUND(AVERAGE(R48:V48),1))</f>
        <v>#DIV/0!</v>
      </c>
      <c r="S49" s="3483"/>
      <c r="T49" s="3483"/>
      <c r="U49" s="3483"/>
      <c r="V49" s="3483"/>
      <c r="W49" s="348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2556</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67" t="s">
        <v>522</v>
      </c>
      <c r="D4" s="3368"/>
      <c r="E4" s="3402" t="s">
        <v>523</v>
      </c>
      <c r="F4" s="3403"/>
      <c r="G4" s="3367" t="s">
        <v>524</v>
      </c>
      <c r="H4" s="3368"/>
      <c r="I4" s="3367" t="s">
        <v>525</v>
      </c>
      <c r="J4" s="3368"/>
      <c r="K4" s="514" t="s">
        <v>526</v>
      </c>
      <c r="L4" s="2117"/>
      <c r="M4" s="2118"/>
      <c r="N4" s="2118"/>
      <c r="O4" s="2118"/>
      <c r="P4" s="3485" t="s">
        <v>527</v>
      </c>
      <c r="Q4" s="3370"/>
      <c r="R4" s="3375" t="s">
        <v>523</v>
      </c>
      <c r="S4" s="3376"/>
      <c r="T4" s="3375" t="s">
        <v>524</v>
      </c>
      <c r="U4" s="3376"/>
      <c r="V4" s="3362" t="s">
        <v>525</v>
      </c>
      <c r="W4" s="3362"/>
      <c r="X4" s="1552"/>
      <c r="Y4" s="3375" t="s">
        <v>527</v>
      </c>
      <c r="Z4" s="3376"/>
      <c r="AA4" s="3364" t="s">
        <v>523</v>
      </c>
      <c r="AB4" s="3364" t="s">
        <v>524</v>
      </c>
      <c r="AC4" s="3364" t="s">
        <v>525</v>
      </c>
    </row>
    <row r="5" spans="1:29">
      <c r="A5" s="515"/>
      <c r="B5" s="516"/>
      <c r="C5" s="3383" t="s">
        <v>2926</v>
      </c>
      <c r="D5" s="3384"/>
      <c r="E5" s="3404" t="s">
        <v>2927</v>
      </c>
      <c r="F5" s="3405"/>
      <c r="G5" s="3383" t="s">
        <v>2928</v>
      </c>
      <c r="H5" s="3384"/>
      <c r="I5" s="3383" t="s">
        <v>2929</v>
      </c>
      <c r="J5" s="3384"/>
      <c r="K5" s="514"/>
      <c r="L5" s="2117"/>
      <c r="M5" s="2118"/>
      <c r="N5" s="2118"/>
      <c r="O5" s="2118"/>
      <c r="P5" s="3486"/>
      <c r="Q5" s="3372"/>
      <c r="R5" s="3377"/>
      <c r="S5" s="3378"/>
      <c r="T5" s="3377"/>
      <c r="U5" s="3378"/>
      <c r="V5" s="3362"/>
      <c r="W5" s="3362"/>
      <c r="X5" s="1552"/>
      <c r="Y5" s="3377"/>
      <c r="Z5" s="3378"/>
      <c r="AA5" s="3365"/>
      <c r="AB5" s="3365"/>
      <c r="AC5" s="3365"/>
    </row>
    <row r="6" spans="1:29" ht="15" thickBot="1">
      <c r="A6" s="517"/>
      <c r="B6" s="518"/>
      <c r="C6" s="3398" t="s">
        <v>2930</v>
      </c>
      <c r="D6" s="3399"/>
      <c r="E6" s="3400" t="s">
        <v>2930</v>
      </c>
      <c r="F6" s="3401"/>
      <c r="G6" s="3398" t="s">
        <v>2930</v>
      </c>
      <c r="H6" s="3399"/>
      <c r="I6" s="3398" t="s">
        <v>2930</v>
      </c>
      <c r="J6" s="3399"/>
      <c r="K6" s="514" t="s">
        <v>528</v>
      </c>
      <c r="L6" s="2117"/>
      <c r="M6" s="2118"/>
      <c r="N6" s="2118"/>
      <c r="O6" s="2118"/>
      <c r="P6" s="3487"/>
      <c r="Q6" s="3374"/>
      <c r="R6" s="3377"/>
      <c r="S6" s="3378"/>
      <c r="T6" s="3379"/>
      <c r="U6" s="3380"/>
      <c r="V6" s="3362"/>
      <c r="W6" s="3362"/>
      <c r="X6" s="1552"/>
      <c r="Y6" s="3379"/>
      <c r="Z6" s="3380"/>
      <c r="AA6" s="3366"/>
      <c r="AB6" s="3366"/>
      <c r="AC6" s="3366"/>
    </row>
    <row r="7" spans="1:29" s="1215" customFormat="1" ht="15" thickBot="1">
      <c r="A7" s="2866"/>
      <c r="B7" s="2873" t="s">
        <v>529</v>
      </c>
      <c r="C7" s="519">
        <f>'数据-取费表'!B2</f>
        <v>43776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3" t="s">
        <v>530</v>
      </c>
      <c r="Q7" s="3393"/>
      <c r="R7" s="1553" t="s">
        <v>8</v>
      </c>
      <c r="S7" s="1554">
        <f t="shared" ref="S7:S15" si="0">F7</f>
        <v>0</v>
      </c>
      <c r="T7" s="1553" t="s">
        <v>8</v>
      </c>
      <c r="U7" s="1554">
        <f t="shared" ref="U7:U15" si="1">H7</f>
        <v>0</v>
      </c>
      <c r="V7" s="1553" t="s">
        <v>8</v>
      </c>
      <c r="W7" s="1554">
        <f t="shared" ref="W7:W15" si="2">J7</f>
        <v>0</v>
      </c>
      <c r="X7" s="1555"/>
      <c r="Y7" s="3391" t="s">
        <v>530</v>
      </c>
      <c r="Z7" s="3392"/>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3" t="s">
        <v>533</v>
      </c>
      <c r="Q8" s="3392"/>
      <c r="R8" s="1553" t="s">
        <v>8</v>
      </c>
      <c r="S8" s="1554">
        <f t="shared" si="0"/>
        <v>0</v>
      </c>
      <c r="T8" s="1553" t="s">
        <v>8</v>
      </c>
      <c r="U8" s="1554">
        <f t="shared" si="1"/>
        <v>0</v>
      </c>
      <c r="V8" s="1553" t="s">
        <v>8</v>
      </c>
      <c r="W8" s="1554">
        <f t="shared" si="2"/>
        <v>0</v>
      </c>
      <c r="X8" s="1555"/>
      <c r="Y8" s="3391" t="s">
        <v>533</v>
      </c>
      <c r="Z8" s="3392"/>
      <c r="AA8" s="1556" t="e">
        <f t="shared" ref="AA8:AA47" si="3">D8/F8</f>
        <v>#DIV/0!</v>
      </c>
      <c r="AB8" s="1556" t="e">
        <f t="shared" ref="AB8:AB47" si="4">D8/H8</f>
        <v>#DIV/0!</v>
      </c>
      <c r="AC8" s="1556" t="e">
        <f t="shared" ref="AC8:AC47" si="5">D8/J8</f>
        <v>#DIV/0!</v>
      </c>
    </row>
    <row r="9" spans="1:29" s="1215" customFormat="1" ht="14.4">
      <c r="A9" s="2868"/>
      <c r="B9" s="2875" t="s">
        <v>2756</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61"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61"/>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61"/>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61"/>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61"/>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61"/>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15">
      <c r="A15" s="2864" t="s">
        <v>2754</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4" t="s">
        <v>540</v>
      </c>
      <c r="Q15" s="1557" t="str">
        <f t="shared" si="6"/>
        <v>办公集聚程度</v>
      </c>
      <c r="R15" s="1558" t="s">
        <v>8</v>
      </c>
      <c r="S15" s="1559">
        <f t="shared" si="0"/>
        <v>100</v>
      </c>
      <c r="T15" s="1558" t="s">
        <v>8</v>
      </c>
      <c r="U15" s="1559">
        <f t="shared" si="1"/>
        <v>100</v>
      </c>
      <c r="V15" s="1558" t="s">
        <v>8</v>
      </c>
      <c r="W15" s="1559">
        <f t="shared" si="2"/>
        <v>100</v>
      </c>
      <c r="X15" s="1552"/>
      <c r="Y15" s="339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5"/>
      <c r="Q16" s="1557"/>
      <c r="R16" s="1558"/>
      <c r="S16" s="1559"/>
      <c r="T16" s="1558"/>
      <c r="U16" s="1559"/>
      <c r="V16" s="1558"/>
      <c r="W16" s="1559"/>
      <c r="X16" s="1552"/>
      <c r="Y16" s="3395"/>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5"/>
      <c r="Q18" s="1557"/>
      <c r="R18" s="1558"/>
      <c r="S18" s="1559"/>
      <c r="T18" s="1558"/>
      <c r="U18" s="1559"/>
      <c r="V18" s="1558"/>
      <c r="W18" s="1559"/>
      <c r="X18" s="1552"/>
      <c r="Y18" s="3395"/>
      <c r="Z18" s="1560"/>
      <c r="AA18" s="1561">
        <v>1</v>
      </c>
      <c r="AB18" s="1561">
        <v>1</v>
      </c>
      <c r="AC18" s="1561">
        <v>1</v>
      </c>
    </row>
    <row r="19" spans="1:29" ht="15">
      <c r="A19" s="532"/>
      <c r="B19" s="2566"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5"/>
      <c r="Q20" s="1557"/>
      <c r="R20" s="1558"/>
      <c r="S20" s="1559"/>
      <c r="T20" s="1558"/>
      <c r="U20" s="1559"/>
      <c r="V20" s="1558"/>
      <c r="W20" s="1559"/>
      <c r="X20" s="1552"/>
      <c r="Y20" s="3395"/>
      <c r="Z20" s="1560"/>
      <c r="AA20" s="1561">
        <v>1</v>
      </c>
      <c r="AB20" s="1561">
        <v>1</v>
      </c>
      <c r="AC20" s="1561">
        <v>1</v>
      </c>
    </row>
    <row r="21" spans="1:29" ht="15">
      <c r="A21" s="532"/>
      <c r="B21" s="2554"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5"/>
      <c r="Q22" s="2542"/>
      <c r="R22" s="1558"/>
      <c r="S22" s="1559"/>
      <c r="T22" s="1558"/>
      <c r="U22" s="1559"/>
      <c r="V22" s="1558"/>
      <c r="W22" s="1559"/>
      <c r="X22" s="2544"/>
      <c r="Y22" s="3395"/>
      <c r="Z22" s="2543"/>
      <c r="AA22" s="1561">
        <v>1</v>
      </c>
      <c r="AB22" s="1561">
        <v>1</v>
      </c>
      <c r="AC22" s="1561">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5"/>
      <c r="Q23" s="1557" t="str">
        <f>B23</f>
        <v>环境质量</v>
      </c>
      <c r="R23" s="1558" t="s">
        <v>8</v>
      </c>
      <c r="S23" s="1559">
        <f>F23</f>
        <v>100</v>
      </c>
      <c r="T23" s="1558" t="s">
        <v>8</v>
      </c>
      <c r="U23" s="1559">
        <f>H23</f>
        <v>100</v>
      </c>
      <c r="V23" s="1558" t="s">
        <v>8</v>
      </c>
      <c r="W23" s="1559">
        <f>J23</f>
        <v>100</v>
      </c>
      <c r="X23" s="1552"/>
      <c r="Y23" s="339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5"/>
      <c r="Q24" s="1557"/>
      <c r="R24" s="1558"/>
      <c r="S24" s="1559"/>
      <c r="T24" s="1558"/>
      <c r="U24" s="1559"/>
      <c r="V24" s="1558"/>
      <c r="W24" s="1559"/>
      <c r="X24" s="1552"/>
      <c r="Y24" s="3395"/>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5"/>
      <c r="Q25" s="1557" t="str">
        <f>B25</f>
        <v>毗邻道路的类型与等级</v>
      </c>
      <c r="R25" s="1558" t="s">
        <v>8</v>
      </c>
      <c r="S25" s="1559">
        <f>F25</f>
        <v>100</v>
      </c>
      <c r="T25" s="1558" t="s">
        <v>8</v>
      </c>
      <c r="U25" s="1559">
        <f>H25</f>
        <v>100</v>
      </c>
      <c r="V25" s="1558" t="s">
        <v>8</v>
      </c>
      <c r="W25" s="1559">
        <f>J25</f>
        <v>100</v>
      </c>
      <c r="X25" s="1552"/>
      <c r="Y25" s="339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5"/>
      <c r="Q26" s="1557"/>
      <c r="R26" s="1558"/>
      <c r="S26" s="1559"/>
      <c r="T26" s="1558"/>
      <c r="U26" s="1559"/>
      <c r="V26" s="1558"/>
      <c r="W26" s="1559"/>
      <c r="X26" s="1552"/>
      <c r="Y26" s="339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5"/>
      <c r="Q27" s="1557" t="str">
        <f t="shared" ref="Q27:Q47" si="11">B27</f>
        <v>楼层</v>
      </c>
      <c r="R27" s="1558" t="s">
        <v>8</v>
      </c>
      <c r="S27" s="1559">
        <f>F27</f>
        <v>100</v>
      </c>
      <c r="T27" s="1558" t="s">
        <v>8</v>
      </c>
      <c r="U27" s="1559">
        <f>H27</f>
        <v>100</v>
      </c>
      <c r="V27" s="1558" t="s">
        <v>8</v>
      </c>
      <c r="W27" s="1559">
        <f>J27</f>
        <v>100</v>
      </c>
      <c r="X27" s="1552"/>
      <c r="Y27" s="3395"/>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5"/>
      <c r="Q28" s="1146" t="str">
        <f t="shared" si="11"/>
        <v>朝向</v>
      </c>
      <c r="R28" s="1553" t="s">
        <v>8</v>
      </c>
      <c r="S28" s="1554">
        <f>F28</f>
        <v>100</v>
      </c>
      <c r="T28" s="1553" t="s">
        <v>8</v>
      </c>
      <c r="U28" s="1554">
        <f>H28</f>
        <v>100</v>
      </c>
      <c r="V28" s="1553" t="s">
        <v>8</v>
      </c>
      <c r="W28" s="1554">
        <f>J28</f>
        <v>100</v>
      </c>
      <c r="X28" s="1555"/>
      <c r="Y28" s="3395"/>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5"/>
      <c r="Q29" s="1557">
        <f t="shared" si="11"/>
        <v>111</v>
      </c>
      <c r="R29" s="1558" t="s">
        <v>8</v>
      </c>
      <c r="S29" s="1559">
        <f t="shared" ref="S29:S47" si="12">F29</f>
        <v>100</v>
      </c>
      <c r="T29" s="1558" t="s">
        <v>8</v>
      </c>
      <c r="U29" s="1559">
        <f t="shared" ref="U29:U47" si="13">H29</f>
        <v>100</v>
      </c>
      <c r="V29" s="1558" t="s">
        <v>8</v>
      </c>
      <c r="W29" s="1559">
        <f t="shared" ref="W29:W47" si="14">J29</f>
        <v>100</v>
      </c>
      <c r="X29" s="1552"/>
      <c r="Y29" s="3395"/>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5"/>
      <c r="Q30" s="1557">
        <f t="shared" si="11"/>
        <v>111</v>
      </c>
      <c r="R30" s="1558" t="s">
        <v>8</v>
      </c>
      <c r="S30" s="1559">
        <f t="shared" si="12"/>
        <v>100</v>
      </c>
      <c r="T30" s="1558" t="s">
        <v>8</v>
      </c>
      <c r="U30" s="1559">
        <f t="shared" si="13"/>
        <v>100</v>
      </c>
      <c r="V30" s="1558" t="s">
        <v>8</v>
      </c>
      <c r="W30" s="1559">
        <f t="shared" si="14"/>
        <v>100</v>
      </c>
      <c r="X30" s="1552"/>
      <c r="Y30" s="3395"/>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5"/>
      <c r="Q31" s="1557">
        <f t="shared" si="11"/>
        <v>111</v>
      </c>
      <c r="R31" s="1558" t="s">
        <v>8</v>
      </c>
      <c r="S31" s="1559">
        <f t="shared" si="12"/>
        <v>100</v>
      </c>
      <c r="T31" s="1558" t="s">
        <v>8</v>
      </c>
      <c r="U31" s="1559">
        <f t="shared" si="13"/>
        <v>100</v>
      </c>
      <c r="V31" s="1558" t="s">
        <v>8</v>
      </c>
      <c r="W31" s="1559">
        <f t="shared" si="14"/>
        <v>100</v>
      </c>
      <c r="X31" s="1552"/>
      <c r="Y31" s="3395"/>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5"/>
      <c r="Q32" s="1557">
        <f t="shared" si="11"/>
        <v>111</v>
      </c>
      <c r="R32" s="1558" t="s">
        <v>8</v>
      </c>
      <c r="S32" s="1559">
        <f t="shared" si="12"/>
        <v>100</v>
      </c>
      <c r="T32" s="1558" t="s">
        <v>8</v>
      </c>
      <c r="U32" s="1559">
        <f t="shared" si="13"/>
        <v>100</v>
      </c>
      <c r="V32" s="1558" t="s">
        <v>8</v>
      </c>
      <c r="W32" s="1559">
        <f t="shared" si="14"/>
        <v>100</v>
      </c>
      <c r="X32" s="1552"/>
      <c r="Y32" s="3395"/>
      <c r="Z32" s="1560">
        <f t="shared" si="15"/>
        <v>111</v>
      </c>
      <c r="AA32" s="1561">
        <f t="shared" si="3"/>
        <v>1</v>
      </c>
      <c r="AB32" s="1561">
        <f t="shared" si="4"/>
        <v>1</v>
      </c>
      <c r="AC32" s="1561">
        <f t="shared" si="5"/>
        <v>1</v>
      </c>
    </row>
    <row r="33" spans="1:29" ht="15">
      <c r="A33" s="2861"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6" t="s">
        <v>550</v>
      </c>
      <c r="Q33" s="1557" t="str">
        <f t="shared" si="11"/>
        <v>建筑类型</v>
      </c>
      <c r="R33" s="1558" t="s">
        <v>8</v>
      </c>
      <c r="S33" s="1559">
        <f t="shared" si="12"/>
        <v>100</v>
      </c>
      <c r="T33" s="1558" t="s">
        <v>8</v>
      </c>
      <c r="U33" s="1559">
        <f t="shared" si="13"/>
        <v>100</v>
      </c>
      <c r="V33" s="1558" t="s">
        <v>8</v>
      </c>
      <c r="W33" s="1559">
        <f t="shared" si="14"/>
        <v>100</v>
      </c>
      <c r="X33" s="1552"/>
      <c r="Y33" s="3397"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7"/>
      <c r="Q34" s="1589" t="str">
        <f t="shared" si="11"/>
        <v>项目建筑规模</v>
      </c>
      <c r="R34" s="1562" t="s">
        <v>8</v>
      </c>
      <c r="S34" s="1563" t="e">
        <f t="shared" si="12"/>
        <v>#N/A</v>
      </c>
      <c r="T34" s="1562" t="s">
        <v>8</v>
      </c>
      <c r="U34" s="1563" t="e">
        <f t="shared" si="13"/>
        <v>#N/A</v>
      </c>
      <c r="V34" s="1562" t="s">
        <v>8</v>
      </c>
      <c r="W34" s="1563" t="e">
        <f t="shared" si="14"/>
        <v>#N/A</v>
      </c>
      <c r="X34" s="1564"/>
      <c r="Y34" s="3397"/>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7"/>
      <c r="Q35" s="1557" t="str">
        <f t="shared" si="11"/>
        <v>建筑结构</v>
      </c>
      <c r="R35" s="1558" t="s">
        <v>8</v>
      </c>
      <c r="S35" s="1559">
        <f t="shared" si="12"/>
        <v>100</v>
      </c>
      <c r="T35" s="1558" t="s">
        <v>8</v>
      </c>
      <c r="U35" s="1559">
        <f t="shared" si="13"/>
        <v>100</v>
      </c>
      <c r="V35" s="1558" t="s">
        <v>8</v>
      </c>
      <c r="W35" s="1559">
        <f t="shared" si="14"/>
        <v>100</v>
      </c>
      <c r="X35" s="1552"/>
      <c r="Y35" s="3397"/>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7"/>
      <c r="Q36" s="1557" t="str">
        <f t="shared" si="11"/>
        <v>公共部分装修</v>
      </c>
      <c r="R36" s="1558" t="s">
        <v>8</v>
      </c>
      <c r="S36" s="1559">
        <f t="shared" si="12"/>
        <v>100</v>
      </c>
      <c r="T36" s="1558" t="s">
        <v>8</v>
      </c>
      <c r="U36" s="1559">
        <f t="shared" si="13"/>
        <v>100</v>
      </c>
      <c r="V36" s="1558" t="s">
        <v>8</v>
      </c>
      <c r="W36" s="1559">
        <f t="shared" si="14"/>
        <v>100</v>
      </c>
      <c r="X36" s="1552"/>
      <c r="Y36" s="3397"/>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7"/>
      <c r="Q37" s="1557" t="str">
        <f t="shared" si="11"/>
        <v>成新度</v>
      </c>
      <c r="R37" s="1558" t="s">
        <v>8</v>
      </c>
      <c r="S37" s="1559" t="e">
        <f t="shared" si="12"/>
        <v>#N/A</v>
      </c>
      <c r="T37" s="1558" t="s">
        <v>8</v>
      </c>
      <c r="U37" s="1559" t="e">
        <f t="shared" si="13"/>
        <v>#N/A</v>
      </c>
      <c r="V37" s="1558" t="s">
        <v>8</v>
      </c>
      <c r="W37" s="1559" t="e">
        <f t="shared" si="14"/>
        <v>#N/A</v>
      </c>
      <c r="X37" s="1552"/>
      <c r="Y37" s="3397"/>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7"/>
      <c r="Q38" s="1146" t="str">
        <f t="shared" si="11"/>
        <v>写字楼等级</v>
      </c>
      <c r="R38" s="1553" t="s">
        <v>8</v>
      </c>
      <c r="S38" s="1554">
        <f t="shared" si="12"/>
        <v>100</v>
      </c>
      <c r="T38" s="1553" t="s">
        <v>8</v>
      </c>
      <c r="U38" s="1554">
        <f t="shared" si="13"/>
        <v>100</v>
      </c>
      <c r="V38" s="1553" t="s">
        <v>8</v>
      </c>
      <c r="W38" s="1554">
        <f t="shared" si="14"/>
        <v>100</v>
      </c>
      <c r="X38" s="1555"/>
      <c r="Y38" s="3397"/>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7" t="s">
        <v>550</v>
      </c>
      <c r="Q39" s="1557" t="str">
        <f t="shared" si="11"/>
        <v>物业管理</v>
      </c>
      <c r="R39" s="1558" t="s">
        <v>8</v>
      </c>
      <c r="S39" s="1559">
        <f t="shared" si="12"/>
        <v>100</v>
      </c>
      <c r="T39" s="1558" t="s">
        <v>8</v>
      </c>
      <c r="U39" s="1559">
        <f t="shared" si="13"/>
        <v>100</v>
      </c>
      <c r="V39" s="1558" t="s">
        <v>8</v>
      </c>
      <c r="W39" s="1559">
        <f t="shared" si="14"/>
        <v>100</v>
      </c>
      <c r="X39" s="1552"/>
      <c r="Y39" s="3397" t="s">
        <v>550</v>
      </c>
      <c r="Z39" s="1560" t="str">
        <f t="shared" si="15"/>
        <v>物业管理</v>
      </c>
      <c r="AA39" s="1561">
        <f t="shared" si="3"/>
        <v>1</v>
      </c>
      <c r="AB39" s="1561">
        <f t="shared" si="4"/>
        <v>1</v>
      </c>
      <c r="AC39" s="1561">
        <f t="shared" si="5"/>
        <v>1</v>
      </c>
    </row>
    <row r="40" spans="1:29" ht="15">
      <c r="A40" s="594"/>
      <c r="B40" s="1879"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7"/>
      <c r="Q40" s="1557" t="str">
        <f t="shared" si="11"/>
        <v>市政基础设施</v>
      </c>
      <c r="R40" s="1558" t="s">
        <v>8</v>
      </c>
      <c r="S40" s="1559">
        <f t="shared" si="12"/>
        <v>100</v>
      </c>
      <c r="T40" s="1558" t="s">
        <v>8</v>
      </c>
      <c r="U40" s="1559">
        <f t="shared" si="13"/>
        <v>100</v>
      </c>
      <c r="V40" s="1558" t="s">
        <v>8</v>
      </c>
      <c r="W40" s="1559">
        <f t="shared" si="14"/>
        <v>100</v>
      </c>
      <c r="X40" s="1552"/>
      <c r="Y40" s="3397"/>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7"/>
      <c r="Q41" s="1557" t="str">
        <f t="shared" si="11"/>
        <v>层高</v>
      </c>
      <c r="R41" s="1558" t="s">
        <v>8</v>
      </c>
      <c r="S41" s="1559">
        <f t="shared" si="12"/>
        <v>100</v>
      </c>
      <c r="T41" s="1558" t="s">
        <v>8</v>
      </c>
      <c r="U41" s="1559">
        <f t="shared" si="13"/>
        <v>100</v>
      </c>
      <c r="V41" s="1558" t="s">
        <v>8</v>
      </c>
      <c r="W41" s="1559">
        <f t="shared" si="14"/>
        <v>100</v>
      </c>
      <c r="X41" s="1552"/>
      <c r="Y41" s="3397"/>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7"/>
      <c r="Q42" s="1589" t="str">
        <f t="shared" si="11"/>
        <v>单套建筑面积</v>
      </c>
      <c r="R42" s="1562" t="s">
        <v>8</v>
      </c>
      <c r="S42" s="1563">
        <f t="shared" si="12"/>
        <v>100</v>
      </c>
      <c r="T42" s="1562" t="s">
        <v>8</v>
      </c>
      <c r="U42" s="1563">
        <f t="shared" si="13"/>
        <v>100</v>
      </c>
      <c r="V42" s="1562" t="s">
        <v>8</v>
      </c>
      <c r="W42" s="1563">
        <f t="shared" si="14"/>
        <v>100</v>
      </c>
      <c r="X42" s="1564"/>
      <c r="Y42" s="3397"/>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7"/>
      <c r="Q43" s="1557" t="str">
        <f t="shared" si="11"/>
        <v>内部装修</v>
      </c>
      <c r="R43" s="1558" t="s">
        <v>8</v>
      </c>
      <c r="S43" s="1559">
        <f t="shared" si="12"/>
        <v>100</v>
      </c>
      <c r="T43" s="1558" t="s">
        <v>8</v>
      </c>
      <c r="U43" s="1559">
        <f t="shared" si="13"/>
        <v>100</v>
      </c>
      <c r="V43" s="1558" t="s">
        <v>8</v>
      </c>
      <c r="W43" s="1559">
        <f t="shared" si="14"/>
        <v>100</v>
      </c>
      <c r="X43" s="1552"/>
      <c r="Y43" s="3397"/>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7"/>
      <c r="Q44" s="1557" t="str">
        <f t="shared" si="11"/>
        <v>内部装修维护情况</v>
      </c>
      <c r="R44" s="1558" t="s">
        <v>8</v>
      </c>
      <c r="S44" s="1559">
        <f t="shared" si="12"/>
        <v>100</v>
      </c>
      <c r="T44" s="1558" t="s">
        <v>8</v>
      </c>
      <c r="U44" s="1559">
        <f t="shared" si="13"/>
        <v>100</v>
      </c>
      <c r="V44" s="1558" t="s">
        <v>8</v>
      </c>
      <c r="W44" s="1559">
        <f t="shared" si="14"/>
        <v>100</v>
      </c>
      <c r="X44" s="1552"/>
      <c r="Y44" s="3397"/>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7"/>
      <c r="Q45" s="1146">
        <f t="shared" si="11"/>
        <v>111</v>
      </c>
      <c r="R45" s="1553" t="s">
        <v>8</v>
      </c>
      <c r="S45" s="1554">
        <f t="shared" si="12"/>
        <v>100</v>
      </c>
      <c r="T45" s="1553" t="s">
        <v>8</v>
      </c>
      <c r="U45" s="1554">
        <f t="shared" si="13"/>
        <v>100</v>
      </c>
      <c r="V45" s="1553" t="s">
        <v>8</v>
      </c>
      <c r="W45" s="1554">
        <f t="shared" si="14"/>
        <v>100</v>
      </c>
      <c r="X45" s="1555"/>
      <c r="Y45" s="3397"/>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7"/>
      <c r="Q46" s="1557">
        <f t="shared" si="11"/>
        <v>111</v>
      </c>
      <c r="R46" s="1558" t="s">
        <v>8</v>
      </c>
      <c r="S46" s="1559">
        <f t="shared" si="12"/>
        <v>100</v>
      </c>
      <c r="T46" s="1558" t="s">
        <v>8</v>
      </c>
      <c r="U46" s="1559">
        <f t="shared" si="13"/>
        <v>100</v>
      </c>
      <c r="V46" s="1558" t="s">
        <v>8</v>
      </c>
      <c r="W46" s="1559">
        <f t="shared" si="14"/>
        <v>100</v>
      </c>
      <c r="X46" s="1552"/>
      <c r="Y46" s="3397"/>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1"/>
      <c r="Q47" s="1557">
        <f t="shared" si="11"/>
        <v>111</v>
      </c>
      <c r="R47" s="1558" t="s">
        <v>8</v>
      </c>
      <c r="S47" s="1559">
        <f t="shared" si="12"/>
        <v>100</v>
      </c>
      <c r="T47" s="1558" t="s">
        <v>8</v>
      </c>
      <c r="U47" s="1559">
        <f t="shared" si="13"/>
        <v>100</v>
      </c>
      <c r="V47" s="1558" t="s">
        <v>8</v>
      </c>
      <c r="W47" s="1559">
        <f t="shared" si="14"/>
        <v>100</v>
      </c>
      <c r="X47" s="1552"/>
      <c r="Y47" s="3481"/>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359" t="str">
        <f>A48</f>
        <v>成交单价（元/平方米）</v>
      </c>
      <c r="Q48" s="3361"/>
      <c r="R48" s="3482">
        <f>E48</f>
        <v>0</v>
      </c>
      <c r="S48" s="3482"/>
      <c r="T48" s="3482">
        <f>G48</f>
        <v>0</v>
      </c>
      <c r="U48" s="3482"/>
      <c r="V48" s="3482">
        <f>I48</f>
        <v>0</v>
      </c>
      <c r="W48" s="3482"/>
      <c r="X48" s="1544"/>
      <c r="Y48" s="1566"/>
      <c r="Z48" s="1544"/>
      <c r="AA48" s="1544"/>
      <c r="AB48" s="1544"/>
      <c r="AC48" s="1544"/>
    </row>
    <row r="49" spans="1:29" ht="15" thickBot="1">
      <c r="A49" s="615" t="s">
        <v>2760</v>
      </c>
      <c r="B49" s="887"/>
      <c r="C49" s="2596" t="e">
        <f>R50</f>
        <v>#DIV/0!</v>
      </c>
      <c r="D49" s="2597"/>
      <c r="E49" s="2598" t="e">
        <f>R49</f>
        <v>#DIV/0!</v>
      </c>
      <c r="F49" s="2598"/>
      <c r="G49" s="2596" t="e">
        <f>T49</f>
        <v>#DIV/0!</v>
      </c>
      <c r="H49" s="2597"/>
      <c r="I49" s="2598" t="e">
        <f>V49</f>
        <v>#DIV/0!</v>
      </c>
      <c r="J49" s="2597"/>
      <c r="K49" s="1596"/>
      <c r="L49" s="2128"/>
      <c r="M49" s="2118"/>
      <c r="N49" s="2118"/>
      <c r="O49" s="2118"/>
      <c r="P49" s="3359" t="str">
        <f>A49</f>
        <v>比较价格（元/平方米）</v>
      </c>
      <c r="Q49" s="336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4"/>
      <c r="Y49" s="1544"/>
      <c r="Z49" s="1544"/>
      <c r="AA49" s="1544"/>
      <c r="AB49" s="1544"/>
      <c r="AC49" s="1544"/>
    </row>
    <row r="50" spans="1:29" ht="15" thickBot="1">
      <c r="A50" s="621" t="s">
        <v>2932</v>
      </c>
      <c r="B50" s="622"/>
      <c r="C50" s="2599" t="e">
        <f>R50</f>
        <v>#DIV/0!</v>
      </c>
      <c r="D50" s="2599"/>
      <c r="E50" s="2599"/>
      <c r="F50" s="2599"/>
      <c r="G50" s="2599"/>
      <c r="H50" s="2599"/>
      <c r="I50" s="2599"/>
      <c r="J50" s="2599"/>
      <c r="K50" s="1597"/>
      <c r="L50" s="2128"/>
      <c r="M50" s="2118"/>
      <c r="N50" s="2118"/>
      <c r="O50" s="2118"/>
      <c r="P50" s="3484" t="str">
        <f>A50</f>
        <v>估价对象XX用房的比较价格（楼面单价，元/平方米）</v>
      </c>
      <c r="Q50" s="3359"/>
      <c r="R50" s="3483" t="e">
        <f>IF(F1="售价",ROUND(AVERAGE(R49:V49),0),ROUND(AVERAGE(R49:V49),1))</f>
        <v>#DIV/0!</v>
      </c>
      <c r="S50" s="3483"/>
      <c r="T50" s="3483"/>
      <c r="U50" s="3483"/>
      <c r="V50" s="3483"/>
      <c r="W50" s="348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2557</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2558</v>
      </c>
      <c r="C83" s="2561" t="s">
        <v>2559</v>
      </c>
      <c r="D83" s="2561" t="s">
        <v>2560</v>
      </c>
      <c r="E83" s="2561" t="s">
        <v>2561</v>
      </c>
      <c r="F83" s="2561" t="s">
        <v>2562</v>
      </c>
      <c r="G83" s="2561" t="s">
        <v>2563</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2556</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67" t="s">
        <v>522</v>
      </c>
      <c r="D4" s="3368"/>
      <c r="E4" s="3402" t="s">
        <v>523</v>
      </c>
      <c r="F4" s="3403"/>
      <c r="G4" s="3367" t="s">
        <v>524</v>
      </c>
      <c r="H4" s="3368"/>
      <c r="I4" s="3367" t="s">
        <v>525</v>
      </c>
      <c r="J4" s="3368"/>
      <c r="K4" s="514" t="s">
        <v>526</v>
      </c>
      <c r="L4" s="2117"/>
      <c r="M4" s="2118"/>
      <c r="N4" s="2118"/>
      <c r="O4" s="2118"/>
      <c r="P4" s="3369" t="s">
        <v>527</v>
      </c>
      <c r="Q4" s="3370"/>
      <c r="R4" s="3375" t="s">
        <v>523</v>
      </c>
      <c r="S4" s="3376"/>
      <c r="T4" s="3375" t="s">
        <v>524</v>
      </c>
      <c r="U4" s="3376"/>
      <c r="V4" s="3362" t="s">
        <v>525</v>
      </c>
      <c r="W4" s="3362"/>
      <c r="X4" s="1552"/>
      <c r="Y4" s="3375" t="s">
        <v>527</v>
      </c>
      <c r="Z4" s="3376"/>
      <c r="AA4" s="3364" t="s">
        <v>523</v>
      </c>
      <c r="AB4" s="3365" t="s">
        <v>524</v>
      </c>
      <c r="AC4" s="3364" t="s">
        <v>525</v>
      </c>
    </row>
    <row r="5" spans="1:29">
      <c r="A5" s="515"/>
      <c r="B5" s="516"/>
      <c r="C5" s="3383" t="s">
        <v>2926</v>
      </c>
      <c r="D5" s="3384"/>
      <c r="E5" s="3404" t="s">
        <v>2927</v>
      </c>
      <c r="F5" s="3405"/>
      <c r="G5" s="3383" t="s">
        <v>2928</v>
      </c>
      <c r="H5" s="3384"/>
      <c r="I5" s="3383" t="s">
        <v>2929</v>
      </c>
      <c r="J5" s="3384"/>
      <c r="K5" s="514"/>
      <c r="L5" s="2117"/>
      <c r="M5" s="2118"/>
      <c r="N5" s="2118"/>
      <c r="O5" s="2118"/>
      <c r="P5" s="3371"/>
      <c r="Q5" s="3372"/>
      <c r="R5" s="3377"/>
      <c r="S5" s="3378"/>
      <c r="T5" s="3377"/>
      <c r="U5" s="3378"/>
      <c r="V5" s="3362"/>
      <c r="W5" s="3362"/>
      <c r="X5" s="1552"/>
      <c r="Y5" s="3377"/>
      <c r="Z5" s="3378"/>
      <c r="AA5" s="3365"/>
      <c r="AB5" s="3365"/>
      <c r="AC5" s="3365"/>
    </row>
    <row r="6" spans="1:29" ht="15" thickBot="1">
      <c r="A6" s="517"/>
      <c r="B6" s="518"/>
      <c r="C6" s="3398" t="s">
        <v>2930</v>
      </c>
      <c r="D6" s="3399"/>
      <c r="E6" s="3400" t="s">
        <v>2930</v>
      </c>
      <c r="F6" s="3401"/>
      <c r="G6" s="3398" t="s">
        <v>2930</v>
      </c>
      <c r="H6" s="3399"/>
      <c r="I6" s="3398" t="s">
        <v>2930</v>
      </c>
      <c r="J6" s="3399"/>
      <c r="K6" s="514" t="s">
        <v>528</v>
      </c>
      <c r="L6" s="2117"/>
      <c r="M6" s="2118"/>
      <c r="N6" s="2118"/>
      <c r="O6" s="2118"/>
      <c r="P6" s="3373"/>
      <c r="Q6" s="3374"/>
      <c r="R6" s="3377"/>
      <c r="S6" s="3378"/>
      <c r="T6" s="3379"/>
      <c r="U6" s="3380"/>
      <c r="V6" s="3362"/>
      <c r="W6" s="3362"/>
      <c r="X6" s="1552"/>
      <c r="Y6" s="3379"/>
      <c r="Z6" s="3380"/>
      <c r="AA6" s="3366"/>
      <c r="AB6" s="3366"/>
      <c r="AC6" s="3366"/>
    </row>
    <row r="7" spans="1:29" s="1215" customFormat="1" ht="15" thickBot="1">
      <c r="A7" s="2866"/>
      <c r="B7" s="2873" t="s">
        <v>529</v>
      </c>
      <c r="C7" s="519">
        <f>'数据-取费表'!B2</f>
        <v>43776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91" t="s">
        <v>530</v>
      </c>
      <c r="Q7" s="3393"/>
      <c r="R7" s="1553" t="s">
        <v>8</v>
      </c>
      <c r="S7" s="1554">
        <f t="shared" ref="S7:S15" si="0">F7</f>
        <v>0</v>
      </c>
      <c r="T7" s="1553" t="s">
        <v>8</v>
      </c>
      <c r="U7" s="1554">
        <f t="shared" ref="U7:U15" si="1">H7</f>
        <v>0</v>
      </c>
      <c r="V7" s="1553" t="s">
        <v>8</v>
      </c>
      <c r="W7" s="1554">
        <f t="shared" ref="W7:W15" si="2">J7</f>
        <v>0</v>
      </c>
      <c r="X7" s="1555"/>
      <c r="Y7" s="3391" t="s">
        <v>530</v>
      </c>
      <c r="Z7" s="3392"/>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40" si="3">D8/F8</f>
        <v>#DIV/0!</v>
      </c>
      <c r="AB8" s="1556" t="e">
        <f t="shared" ref="AB8:AB40" si="4">D8/H8</f>
        <v>#DIV/0!</v>
      </c>
      <c r="AC8" s="1556" t="e">
        <f t="shared" ref="AC8:AC40" si="5">D8/J8</f>
        <v>#DIV/0!</v>
      </c>
    </row>
    <row r="9" spans="1:29" s="1215" customFormat="1" ht="14.4">
      <c r="A9" s="2868"/>
      <c r="B9" s="2875" t="s">
        <v>2756</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61" t="s">
        <v>535</v>
      </c>
      <c r="Q9" s="1146" t="str">
        <f t="shared" ref="Q9:Q15" si="6">B9</f>
        <v>用途</v>
      </c>
      <c r="R9" s="1553" t="s">
        <v>8</v>
      </c>
      <c r="S9" s="1554">
        <f t="shared" si="0"/>
        <v>100</v>
      </c>
      <c r="T9" s="1553" t="s">
        <v>8</v>
      </c>
      <c r="U9" s="1554">
        <f t="shared" si="1"/>
        <v>100</v>
      </c>
      <c r="V9" s="1553" t="s">
        <v>8</v>
      </c>
      <c r="W9" s="1554">
        <f t="shared" si="2"/>
        <v>100</v>
      </c>
      <c r="X9" s="1555"/>
      <c r="Y9" s="3307"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61"/>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61"/>
      <c r="Q11" s="1146" t="str">
        <f t="shared" si="6"/>
        <v>容积率</v>
      </c>
      <c r="R11" s="1553" t="s">
        <v>8</v>
      </c>
      <c r="S11" s="1554" t="e">
        <f t="shared" si="0"/>
        <v>#N/A</v>
      </c>
      <c r="T11" s="1553" t="s">
        <v>8</v>
      </c>
      <c r="U11" s="1554" t="e">
        <f t="shared" si="1"/>
        <v>#N/A</v>
      </c>
      <c r="V11" s="1553" t="s">
        <v>8</v>
      </c>
      <c r="W11" s="1554" t="e">
        <f t="shared" si="2"/>
        <v>#N/A</v>
      </c>
      <c r="X11" s="1555"/>
      <c r="Y11" s="3307"/>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61"/>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61"/>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61"/>
      <c r="Q14" s="1146">
        <f t="shared" si="6"/>
        <v>111</v>
      </c>
      <c r="R14" s="1553" t="s">
        <v>8</v>
      </c>
      <c r="S14" s="1554">
        <f t="shared" si="0"/>
        <v>100</v>
      </c>
      <c r="T14" s="1553" t="s">
        <v>8</v>
      </c>
      <c r="U14" s="1554">
        <f t="shared" si="1"/>
        <v>100</v>
      </c>
      <c r="V14" s="1553" t="s">
        <v>8</v>
      </c>
      <c r="W14" s="1554">
        <f t="shared" si="2"/>
        <v>100</v>
      </c>
      <c r="X14" s="1555"/>
      <c r="Y14" s="3307"/>
      <c r="Z14" s="1145">
        <f t="shared" si="7"/>
        <v>111</v>
      </c>
      <c r="AA14" s="1556">
        <f t="shared" si="3"/>
        <v>1</v>
      </c>
      <c r="AB14" s="1556">
        <f t="shared" si="4"/>
        <v>1</v>
      </c>
      <c r="AC14" s="1556">
        <f t="shared" si="5"/>
        <v>1</v>
      </c>
    </row>
    <row r="15" spans="1:29" ht="69">
      <c r="A15" s="2864"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4" t="s">
        <v>540</v>
      </c>
      <c r="Q15" s="1557" t="str">
        <f t="shared" si="6"/>
        <v>产业集聚程度</v>
      </c>
      <c r="R15" s="1558" t="s">
        <v>8</v>
      </c>
      <c r="S15" s="1559">
        <f t="shared" si="0"/>
        <v>100</v>
      </c>
      <c r="T15" s="1558" t="s">
        <v>8</v>
      </c>
      <c r="U15" s="1559">
        <f t="shared" si="1"/>
        <v>100</v>
      </c>
      <c r="V15" s="1558" t="s">
        <v>8</v>
      </c>
      <c r="W15" s="1559">
        <f t="shared" si="2"/>
        <v>100</v>
      </c>
      <c r="X15" s="1552"/>
      <c r="Y15" s="3394"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5"/>
      <c r="Q16" s="1557"/>
      <c r="R16" s="1558"/>
      <c r="S16" s="1559"/>
      <c r="T16" s="1558"/>
      <c r="U16" s="1559"/>
      <c r="V16" s="1558"/>
      <c r="W16" s="1559"/>
      <c r="X16" s="1552"/>
      <c r="Y16" s="3395"/>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5"/>
      <c r="Q17" s="1557" t="str">
        <f>B17</f>
        <v>交通便捷度</v>
      </c>
      <c r="R17" s="1558" t="s">
        <v>8</v>
      </c>
      <c r="S17" s="1559">
        <f>F17</f>
        <v>100</v>
      </c>
      <c r="T17" s="1558" t="s">
        <v>8</v>
      </c>
      <c r="U17" s="1559">
        <f>H17</f>
        <v>100</v>
      </c>
      <c r="V17" s="1558" t="s">
        <v>8</v>
      </c>
      <c r="W17" s="1559">
        <f>J17</f>
        <v>100</v>
      </c>
      <c r="X17" s="1552"/>
      <c r="Y17" s="339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5"/>
      <c r="Q18" s="1557"/>
      <c r="R18" s="1558"/>
      <c r="S18" s="1559"/>
      <c r="T18" s="1558"/>
      <c r="U18" s="1559"/>
      <c r="V18" s="1558"/>
      <c r="W18" s="1559"/>
      <c r="X18" s="1552"/>
      <c r="Y18" s="3395"/>
      <c r="Z18" s="1560"/>
      <c r="AA18" s="1561">
        <v>1</v>
      </c>
      <c r="AB18" s="1561">
        <v>1</v>
      </c>
      <c r="AC18" s="1561">
        <v>1</v>
      </c>
    </row>
    <row r="19" spans="1:29" ht="41.4">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5"/>
      <c r="Q19" s="1557" t="str">
        <f>B19</f>
        <v>公共配套设施</v>
      </c>
      <c r="R19" s="1558" t="s">
        <v>8</v>
      </c>
      <c r="S19" s="1559">
        <f>F19</f>
        <v>100</v>
      </c>
      <c r="T19" s="1558" t="s">
        <v>8</v>
      </c>
      <c r="U19" s="1559">
        <f>H19</f>
        <v>100</v>
      </c>
      <c r="V19" s="1558" t="s">
        <v>8</v>
      </c>
      <c r="W19" s="1559">
        <f>J19</f>
        <v>100</v>
      </c>
      <c r="X19" s="1552"/>
      <c r="Y19" s="339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5"/>
      <c r="Q20" s="1557"/>
      <c r="R20" s="1558"/>
      <c r="S20" s="1559"/>
      <c r="T20" s="1558"/>
      <c r="U20" s="1559"/>
      <c r="V20" s="1558"/>
      <c r="W20" s="1559"/>
      <c r="X20" s="1552"/>
      <c r="Y20" s="3395"/>
      <c r="Z20" s="1560"/>
      <c r="AA20" s="1561">
        <v>1</v>
      </c>
      <c r="AB20" s="1561">
        <v>1</v>
      </c>
      <c r="AC20" s="1561">
        <v>1</v>
      </c>
    </row>
    <row r="21" spans="1:29" ht="41.4">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5"/>
      <c r="Q21" s="2542" t="str">
        <f>B21</f>
        <v>基础设施水平</v>
      </c>
      <c r="R21" s="1558" t="s">
        <v>8</v>
      </c>
      <c r="S21" s="1559">
        <f>F21</f>
        <v>100</v>
      </c>
      <c r="T21" s="1558" t="s">
        <v>8</v>
      </c>
      <c r="U21" s="1559">
        <f>H21</f>
        <v>100</v>
      </c>
      <c r="V21" s="1558" t="s">
        <v>8</v>
      </c>
      <c r="W21" s="1559">
        <f>J21</f>
        <v>100</v>
      </c>
      <c r="X21" s="2544"/>
      <c r="Y21" s="3395"/>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5"/>
      <c r="Q22" s="2542"/>
      <c r="R22" s="1558"/>
      <c r="S22" s="1559"/>
      <c r="T22" s="1558"/>
      <c r="U22" s="1559"/>
      <c r="V22" s="1558"/>
      <c r="W22" s="1559"/>
      <c r="X22" s="2544"/>
      <c r="Y22" s="3395"/>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5"/>
      <c r="Q23" s="1557" t="str">
        <f>B23</f>
        <v>环境质量</v>
      </c>
      <c r="R23" s="1558" t="s">
        <v>8</v>
      </c>
      <c r="S23" s="1559">
        <f>F23</f>
        <v>100</v>
      </c>
      <c r="T23" s="1558" t="s">
        <v>8</v>
      </c>
      <c r="U23" s="1559">
        <f>H23</f>
        <v>100</v>
      </c>
      <c r="V23" s="1558" t="s">
        <v>8</v>
      </c>
      <c r="W23" s="1559">
        <f>J23</f>
        <v>100</v>
      </c>
      <c r="X23" s="1552"/>
      <c r="Y23" s="3395"/>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5"/>
      <c r="Q24" s="1557"/>
      <c r="R24" s="1558"/>
      <c r="S24" s="1559"/>
      <c r="T24" s="1558"/>
      <c r="U24" s="1559"/>
      <c r="V24" s="1558"/>
      <c r="W24" s="1559"/>
      <c r="X24" s="1552"/>
      <c r="Y24" s="3395"/>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5"/>
      <c r="Q25" s="1557">
        <f>B25</f>
        <v>111</v>
      </c>
      <c r="R25" s="1558" t="s">
        <v>8</v>
      </c>
      <c r="S25" s="1559">
        <f>F25</f>
        <v>100</v>
      </c>
      <c r="T25" s="1558" t="s">
        <v>8</v>
      </c>
      <c r="U25" s="1559">
        <f>H25</f>
        <v>100</v>
      </c>
      <c r="V25" s="1558" t="s">
        <v>8</v>
      </c>
      <c r="W25" s="1559">
        <f>J25</f>
        <v>100</v>
      </c>
      <c r="X25" s="1552"/>
      <c r="Y25" s="3395"/>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5"/>
      <c r="Q26" s="1557">
        <f t="shared" ref="Q26:Q40" si="11">B26</f>
        <v>111</v>
      </c>
      <c r="R26" s="1558" t="s">
        <v>8</v>
      </c>
      <c r="S26" s="1559">
        <f>F26</f>
        <v>100</v>
      </c>
      <c r="T26" s="1558" t="s">
        <v>8</v>
      </c>
      <c r="U26" s="1559">
        <f>H26</f>
        <v>100</v>
      </c>
      <c r="V26" s="1558" t="s">
        <v>8</v>
      </c>
      <c r="W26" s="1559">
        <f>J26</f>
        <v>100</v>
      </c>
      <c r="X26" s="1552"/>
      <c r="Y26" s="3395"/>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5"/>
      <c r="Q27" s="1146">
        <f t="shared" si="11"/>
        <v>111</v>
      </c>
      <c r="R27" s="1553" t="s">
        <v>8</v>
      </c>
      <c r="S27" s="1554">
        <f>F27</f>
        <v>100</v>
      </c>
      <c r="T27" s="1553" t="s">
        <v>8</v>
      </c>
      <c r="U27" s="1554">
        <f>H27</f>
        <v>100</v>
      </c>
      <c r="V27" s="1553" t="s">
        <v>8</v>
      </c>
      <c r="W27" s="1554">
        <f>J27</f>
        <v>100</v>
      </c>
      <c r="X27" s="1555"/>
      <c r="Y27" s="3395"/>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5"/>
      <c r="Q28" s="1557">
        <f t="shared" si="11"/>
        <v>111</v>
      </c>
      <c r="R28" s="1558" t="s">
        <v>8</v>
      </c>
      <c r="S28" s="1559">
        <f t="shared" ref="S28:S40" si="12">F28</f>
        <v>100</v>
      </c>
      <c r="T28" s="1558" t="s">
        <v>8</v>
      </c>
      <c r="U28" s="1559">
        <f t="shared" ref="U28:U40" si="13">H28</f>
        <v>100</v>
      </c>
      <c r="V28" s="1558" t="s">
        <v>8</v>
      </c>
      <c r="W28" s="1559">
        <f t="shared" ref="W28:W40" si="14">J28</f>
        <v>100</v>
      </c>
      <c r="X28" s="1552"/>
      <c r="Y28" s="3395"/>
      <c r="Z28" s="1560">
        <f t="shared" ref="Z28:Z40" si="15">Q28</f>
        <v>111</v>
      </c>
      <c r="AA28" s="1561">
        <f t="shared" si="3"/>
        <v>1</v>
      </c>
      <c r="AB28" s="1561">
        <f t="shared" si="4"/>
        <v>1</v>
      </c>
      <c r="AC28" s="1561">
        <f t="shared" si="5"/>
        <v>1</v>
      </c>
    </row>
    <row r="29" spans="1:29" ht="15">
      <c r="A29" s="2861"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6" t="s">
        <v>550</v>
      </c>
      <c r="Q29" s="1557" t="str">
        <f t="shared" si="11"/>
        <v>建筑类型</v>
      </c>
      <c r="R29" s="1558" t="s">
        <v>8</v>
      </c>
      <c r="S29" s="1559">
        <f t="shared" si="12"/>
        <v>100</v>
      </c>
      <c r="T29" s="1558" t="s">
        <v>8</v>
      </c>
      <c r="U29" s="1559">
        <f t="shared" si="13"/>
        <v>100</v>
      </c>
      <c r="V29" s="1558" t="s">
        <v>8</v>
      </c>
      <c r="W29" s="1559">
        <f t="shared" si="14"/>
        <v>100</v>
      </c>
      <c r="X29" s="1552"/>
      <c r="Y29" s="3397"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7"/>
      <c r="Q30" s="1589" t="str">
        <f t="shared" si="11"/>
        <v>项目建筑规模</v>
      </c>
      <c r="R30" s="1562" t="s">
        <v>8</v>
      </c>
      <c r="S30" s="1563" t="e">
        <f t="shared" si="12"/>
        <v>#N/A</v>
      </c>
      <c r="T30" s="1562" t="s">
        <v>8</v>
      </c>
      <c r="U30" s="1563" t="e">
        <f t="shared" si="13"/>
        <v>#N/A</v>
      </c>
      <c r="V30" s="1562" t="s">
        <v>8</v>
      </c>
      <c r="W30" s="1563" t="e">
        <f t="shared" si="14"/>
        <v>#N/A</v>
      </c>
      <c r="X30" s="1564"/>
      <c r="Y30" s="3397"/>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7"/>
      <c r="Q31" s="1557" t="str">
        <f t="shared" si="11"/>
        <v>建筑结构</v>
      </c>
      <c r="R31" s="1558" t="s">
        <v>8</v>
      </c>
      <c r="S31" s="1559">
        <f t="shared" si="12"/>
        <v>100</v>
      </c>
      <c r="T31" s="1558" t="s">
        <v>8</v>
      </c>
      <c r="U31" s="1559">
        <f t="shared" si="13"/>
        <v>100</v>
      </c>
      <c r="V31" s="1558" t="s">
        <v>8</v>
      </c>
      <c r="W31" s="1559">
        <f t="shared" si="14"/>
        <v>100</v>
      </c>
      <c r="X31" s="1552"/>
      <c r="Y31" s="3397"/>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7"/>
      <c r="Q32" s="1557" t="str">
        <f t="shared" si="11"/>
        <v>公共部分装修</v>
      </c>
      <c r="R32" s="1558" t="s">
        <v>8</v>
      </c>
      <c r="S32" s="1559">
        <f t="shared" si="12"/>
        <v>100</v>
      </c>
      <c r="T32" s="1558" t="s">
        <v>8</v>
      </c>
      <c r="U32" s="1559">
        <f t="shared" si="13"/>
        <v>100</v>
      </c>
      <c r="V32" s="1558" t="s">
        <v>8</v>
      </c>
      <c r="W32" s="1559">
        <f t="shared" si="14"/>
        <v>100</v>
      </c>
      <c r="X32" s="1552"/>
      <c r="Y32" s="3397"/>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7"/>
      <c r="Q33" s="1557" t="str">
        <f t="shared" si="11"/>
        <v>成新度</v>
      </c>
      <c r="R33" s="1558" t="s">
        <v>8</v>
      </c>
      <c r="S33" s="1559" t="e">
        <f t="shared" si="12"/>
        <v>#N/A</v>
      </c>
      <c r="T33" s="1558" t="s">
        <v>8</v>
      </c>
      <c r="U33" s="1559" t="e">
        <f t="shared" si="13"/>
        <v>#N/A</v>
      </c>
      <c r="V33" s="1558" t="s">
        <v>8</v>
      </c>
      <c r="W33" s="1559" t="e">
        <f t="shared" si="14"/>
        <v>#N/A</v>
      </c>
      <c r="X33" s="1552"/>
      <c r="Y33" s="3397"/>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7"/>
      <c r="Q34" s="1146" t="str">
        <f t="shared" si="11"/>
        <v>物业管理</v>
      </c>
      <c r="R34" s="1553" t="s">
        <v>8</v>
      </c>
      <c r="S34" s="1554">
        <f t="shared" si="12"/>
        <v>100</v>
      </c>
      <c r="T34" s="1553" t="s">
        <v>8</v>
      </c>
      <c r="U34" s="1554">
        <f t="shared" si="13"/>
        <v>100</v>
      </c>
      <c r="V34" s="1553" t="s">
        <v>8</v>
      </c>
      <c r="W34" s="1554">
        <f t="shared" si="14"/>
        <v>100</v>
      </c>
      <c r="X34" s="1555"/>
      <c r="Y34" s="3397"/>
      <c r="Z34" s="1145" t="str">
        <f t="shared" si="15"/>
        <v>物业管理</v>
      </c>
      <c r="AA34" s="1556">
        <f t="shared" si="3"/>
        <v>1</v>
      </c>
      <c r="AB34" s="1556">
        <f t="shared" si="4"/>
        <v>1</v>
      </c>
      <c r="AC34" s="1556">
        <f t="shared" si="5"/>
        <v>1</v>
      </c>
    </row>
    <row r="35" spans="1:29" ht="15">
      <c r="A35" s="594"/>
      <c r="B35" s="1879"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7" t="s">
        <v>550</v>
      </c>
      <c r="Q35" s="1557" t="str">
        <f t="shared" si="11"/>
        <v>市政基础设施</v>
      </c>
      <c r="R35" s="1558" t="s">
        <v>8</v>
      </c>
      <c r="S35" s="1559">
        <f t="shared" si="12"/>
        <v>100</v>
      </c>
      <c r="T35" s="1558" t="s">
        <v>8</v>
      </c>
      <c r="U35" s="1559">
        <f t="shared" si="13"/>
        <v>100</v>
      </c>
      <c r="V35" s="1558" t="s">
        <v>8</v>
      </c>
      <c r="W35" s="1559">
        <f t="shared" si="14"/>
        <v>100</v>
      </c>
      <c r="X35" s="1552"/>
      <c r="Y35" s="3397"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7"/>
      <c r="Q36" s="1557" t="str">
        <f t="shared" si="11"/>
        <v>内部装修</v>
      </c>
      <c r="R36" s="1558" t="s">
        <v>8</v>
      </c>
      <c r="S36" s="1559">
        <f t="shared" si="12"/>
        <v>100</v>
      </c>
      <c r="T36" s="1558" t="s">
        <v>8</v>
      </c>
      <c r="U36" s="1559">
        <f t="shared" si="13"/>
        <v>100</v>
      </c>
      <c r="V36" s="1558" t="s">
        <v>8</v>
      </c>
      <c r="W36" s="1559">
        <f t="shared" si="14"/>
        <v>100</v>
      </c>
      <c r="X36" s="1552"/>
      <c r="Y36" s="3397"/>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7"/>
      <c r="Q37" s="1557" t="str">
        <f t="shared" si="11"/>
        <v>内部装修状况</v>
      </c>
      <c r="R37" s="1558" t="s">
        <v>8</v>
      </c>
      <c r="S37" s="1559">
        <f t="shared" si="12"/>
        <v>100</v>
      </c>
      <c r="T37" s="1558" t="s">
        <v>8</v>
      </c>
      <c r="U37" s="1559">
        <f t="shared" si="13"/>
        <v>100</v>
      </c>
      <c r="V37" s="1558" t="s">
        <v>8</v>
      </c>
      <c r="W37" s="1559">
        <f t="shared" si="14"/>
        <v>100</v>
      </c>
      <c r="X37" s="1552"/>
      <c r="Y37" s="3397"/>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7"/>
      <c r="Q38" s="1589">
        <f t="shared" si="11"/>
        <v>111</v>
      </c>
      <c r="R38" s="1562" t="s">
        <v>8</v>
      </c>
      <c r="S38" s="1563">
        <f t="shared" si="12"/>
        <v>100</v>
      </c>
      <c r="T38" s="1562" t="s">
        <v>8</v>
      </c>
      <c r="U38" s="1563">
        <f t="shared" si="13"/>
        <v>100</v>
      </c>
      <c r="V38" s="1562" t="s">
        <v>8</v>
      </c>
      <c r="W38" s="1563">
        <f t="shared" si="14"/>
        <v>100</v>
      </c>
      <c r="X38" s="1564"/>
      <c r="Y38" s="3397"/>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7"/>
      <c r="Q39" s="1557">
        <f t="shared" si="11"/>
        <v>111</v>
      </c>
      <c r="R39" s="1558" t="s">
        <v>8</v>
      </c>
      <c r="S39" s="1559">
        <f t="shared" si="12"/>
        <v>100</v>
      </c>
      <c r="T39" s="1558" t="s">
        <v>8</v>
      </c>
      <c r="U39" s="1559">
        <f t="shared" si="13"/>
        <v>100</v>
      </c>
      <c r="V39" s="1558" t="s">
        <v>8</v>
      </c>
      <c r="W39" s="1559">
        <f t="shared" si="14"/>
        <v>100</v>
      </c>
      <c r="X39" s="1552"/>
      <c r="Y39" s="3397"/>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81"/>
      <c r="Q40" s="1557">
        <f t="shared" si="11"/>
        <v>111</v>
      </c>
      <c r="R40" s="1558" t="s">
        <v>8</v>
      </c>
      <c r="S40" s="1559">
        <f t="shared" si="12"/>
        <v>100</v>
      </c>
      <c r="T40" s="1558" t="s">
        <v>8</v>
      </c>
      <c r="U40" s="1559">
        <f t="shared" si="13"/>
        <v>100</v>
      </c>
      <c r="V40" s="1558" t="s">
        <v>8</v>
      </c>
      <c r="W40" s="1559">
        <f t="shared" si="14"/>
        <v>100</v>
      </c>
      <c r="X40" s="1552"/>
      <c r="Y40" s="3481"/>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61" t="str">
        <f>A41</f>
        <v>成交单价（元/平方米）</v>
      </c>
      <c r="Q41" s="3361"/>
      <c r="R41" s="3482">
        <f>E41</f>
        <v>0</v>
      </c>
      <c r="S41" s="3482"/>
      <c r="T41" s="3482">
        <f>G41</f>
        <v>0</v>
      </c>
      <c r="U41" s="3482"/>
      <c r="V41" s="3482">
        <f>I41</f>
        <v>0</v>
      </c>
      <c r="W41" s="3482"/>
      <c r="X41" s="1544"/>
      <c r="Y41" s="1566"/>
      <c r="Z41" s="1544"/>
      <c r="AA41" s="1544"/>
      <c r="AB41" s="1544"/>
      <c r="AC41" s="1544"/>
    </row>
    <row r="42" spans="1:29" ht="15" thickBot="1">
      <c r="A42" s="615" t="s">
        <v>2760</v>
      </c>
      <c r="B42" s="887"/>
      <c r="C42" s="2596" t="e">
        <f>R43</f>
        <v>#DIV/0!</v>
      </c>
      <c r="D42" s="2597"/>
      <c r="E42" s="2598" t="e">
        <f>R42</f>
        <v>#DIV/0!</v>
      </c>
      <c r="F42" s="2598"/>
      <c r="G42" s="2596" t="e">
        <f>T42</f>
        <v>#DIV/0!</v>
      </c>
      <c r="H42" s="2597"/>
      <c r="I42" s="2598" t="e">
        <f>V42</f>
        <v>#DIV/0!</v>
      </c>
      <c r="J42" s="2597"/>
      <c r="K42" s="1596"/>
      <c r="L42" s="2128"/>
      <c r="M42" s="2129"/>
      <c r="N42" s="2118"/>
      <c r="O42" s="2129"/>
      <c r="P42" s="3361" t="str">
        <f>A42</f>
        <v>比较价格（元/平方米）</v>
      </c>
      <c r="Q42" s="336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4"/>
      <c r="Y42" s="1544"/>
      <c r="Z42" s="1544"/>
      <c r="AA42" s="1544"/>
      <c r="AB42" s="1544"/>
      <c r="AC42" s="1544"/>
    </row>
    <row r="43" spans="1:29" ht="15" thickBot="1">
      <c r="A43" s="621" t="s">
        <v>2932</v>
      </c>
      <c r="B43" s="622"/>
      <c r="C43" s="2599" t="e">
        <f>R43</f>
        <v>#DIV/0!</v>
      </c>
      <c r="D43" s="2599"/>
      <c r="E43" s="2599"/>
      <c r="F43" s="2599"/>
      <c r="G43" s="2599"/>
      <c r="H43" s="2599"/>
      <c r="I43" s="2599"/>
      <c r="J43" s="2599"/>
      <c r="K43" s="1597"/>
      <c r="L43" s="2128"/>
      <c r="M43" s="2129"/>
      <c r="N43" s="2129"/>
      <c r="O43" s="2129"/>
      <c r="P43" s="3358" t="str">
        <f>A43</f>
        <v>估价对象XX用房的比较价格（楼面单价，元/平方米）</v>
      </c>
      <c r="Q43" s="3359"/>
      <c r="R43" s="3483" t="e">
        <f>IF(F1="售价",ROUND(AVERAGE(R42:V42),0),ROUND(AVERAGE(R42:V42),1))</f>
        <v>#DIV/0!</v>
      </c>
      <c r="S43" s="3483"/>
      <c r="T43" s="3483"/>
      <c r="U43" s="3483"/>
      <c r="V43" s="3483"/>
      <c r="W43" s="348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2557</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2558</v>
      </c>
      <c r="C76" s="2561" t="s">
        <v>2559</v>
      </c>
      <c r="D76" s="2561" t="s">
        <v>2560</v>
      </c>
      <c r="E76" s="2561" t="s">
        <v>2561</v>
      </c>
      <c r="F76" s="2561" t="s">
        <v>2562</v>
      </c>
      <c r="G76" s="2561" t="s">
        <v>2563</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2556</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受贵公司委托，我公司对陕西省西安市电子城街道办事处北沈家桥出让国有建设用地使用权抵押价格进行了预评估。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陕西省西安市电子城街道办事处北沈家桥出让国有建设用地使用权。根据《国有土地使用证》[]，估价对象（分摊）出让国有建设用地使用权面积为44066.5平方米。根据《建设工程规划许可证》[]、《出让合同》[]，估价对象规划建筑面积为205689平方米。</v>
      </c>
    </row>
    <row r="7" spans="1:4" ht="87">
      <c r="A7" s="2827" t="s">
        <v>2748</v>
      </c>
    </row>
    <row r="8" spans="1:4" ht="17.399999999999999">
      <c r="A8" s="1778" t="s">
        <v>1906</v>
      </c>
    </row>
    <row r="9" spans="1:4" ht="69.599999999999994">
      <c r="A9" s="1780" t="str">
        <f>IF(项目基本情况!B8="抵押",IF(项目基本情况!B5=项目基本情况!B6,定义!C51,定义!B51),定义!D51)</f>
        <v>0拟使用陕西省西安市电子城街道办事处北沈家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2019年11月7日（评估专业人员勘察现场之日）</v>
      </c>
    </row>
    <row r="12" spans="1:4" ht="17.399999999999999">
      <c r="A12" s="1781" t="s">
        <v>2025</v>
      </c>
    </row>
    <row r="13" spans="1:4" ht="17.399999999999999">
      <c r="A13" s="1775" t="s">
        <v>2071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根据《国有土地使用证》[]，估价对象（分摊）出让国有建设用地使用权面积为44066.5平方米。根据《建设工程规划许可证》[]、《出让合同》[]，估价对象规划建筑面积为205689平方米。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2074</v>
      </c>
    </row>
    <row r="23" spans="1:1" ht="17.399999999999999">
      <c r="A23" s="2829" t="s">
        <v>2749</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11月7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67" t="s">
        <v>798</v>
      </c>
      <c r="D4" s="3368"/>
      <c r="E4" s="3367" t="s">
        <v>799</v>
      </c>
      <c r="F4" s="3368"/>
      <c r="G4" s="3367" t="s">
        <v>800</v>
      </c>
      <c r="H4" s="3368"/>
      <c r="I4" s="3367" t="s">
        <v>801</v>
      </c>
      <c r="J4" s="3368"/>
      <c r="K4" s="514" t="s">
        <v>802</v>
      </c>
      <c r="L4" s="2117"/>
      <c r="M4" s="2118"/>
      <c r="N4" s="2118"/>
      <c r="O4" s="2118"/>
      <c r="P4" s="3369" t="s">
        <v>803</v>
      </c>
      <c r="Q4" s="3370"/>
      <c r="R4" s="3375" t="s">
        <v>799</v>
      </c>
      <c r="S4" s="3376"/>
      <c r="T4" s="3375" t="s">
        <v>800</v>
      </c>
      <c r="U4" s="3376"/>
      <c r="V4" s="3362" t="s">
        <v>801</v>
      </c>
      <c r="W4" s="3362"/>
      <c r="X4" s="1552"/>
      <c r="Y4" s="3375" t="s">
        <v>803</v>
      </c>
      <c r="Z4" s="3376"/>
      <c r="AA4" s="3364" t="s">
        <v>799</v>
      </c>
      <c r="AB4" s="3365" t="s">
        <v>800</v>
      </c>
      <c r="AC4" s="3364" t="s">
        <v>801</v>
      </c>
    </row>
    <row r="5" spans="1:29">
      <c r="A5" s="515"/>
      <c r="B5" s="516"/>
      <c r="C5" s="3383" t="s">
        <v>2926</v>
      </c>
      <c r="D5" s="3384"/>
      <c r="E5" s="3383" t="s">
        <v>2927</v>
      </c>
      <c r="F5" s="3384"/>
      <c r="G5" s="3383" t="s">
        <v>2928</v>
      </c>
      <c r="H5" s="3384"/>
      <c r="I5" s="3383" t="s">
        <v>2929</v>
      </c>
      <c r="J5" s="3384"/>
      <c r="K5" s="514"/>
      <c r="L5" s="2117"/>
      <c r="M5" s="2118"/>
      <c r="N5" s="2118"/>
      <c r="O5" s="2118"/>
      <c r="P5" s="3371"/>
      <c r="Q5" s="3372"/>
      <c r="R5" s="3377"/>
      <c r="S5" s="3378"/>
      <c r="T5" s="3377"/>
      <c r="U5" s="3378"/>
      <c r="V5" s="3362"/>
      <c r="W5" s="3362"/>
      <c r="X5" s="1552"/>
      <c r="Y5" s="3377"/>
      <c r="Z5" s="3378"/>
      <c r="AA5" s="3365"/>
      <c r="AB5" s="3365"/>
      <c r="AC5" s="3365"/>
    </row>
    <row r="6" spans="1:29" ht="15" thickBot="1">
      <c r="A6" s="517"/>
      <c r="B6" s="518"/>
      <c r="C6" s="3398" t="s">
        <v>2930</v>
      </c>
      <c r="D6" s="3399"/>
      <c r="E6" s="3488" t="s">
        <v>2930</v>
      </c>
      <c r="F6" s="3382"/>
      <c r="G6" s="3398" t="s">
        <v>2930</v>
      </c>
      <c r="H6" s="3399"/>
      <c r="I6" s="3398" t="s">
        <v>2930</v>
      </c>
      <c r="J6" s="3399"/>
      <c r="K6" s="514" t="s">
        <v>528</v>
      </c>
      <c r="L6" s="2117"/>
      <c r="M6" s="2118"/>
      <c r="N6" s="2118"/>
      <c r="O6" s="2118"/>
      <c r="P6" s="3373"/>
      <c r="Q6" s="3374"/>
      <c r="R6" s="3377"/>
      <c r="S6" s="3378"/>
      <c r="T6" s="3379"/>
      <c r="U6" s="3380"/>
      <c r="V6" s="3362"/>
      <c r="W6" s="3362"/>
      <c r="X6" s="1552"/>
      <c r="Y6" s="3379"/>
      <c r="Z6" s="3380"/>
      <c r="AA6" s="3366"/>
      <c r="AB6" s="3366"/>
      <c r="AC6" s="3366"/>
    </row>
    <row r="7" spans="1:29" s="1215" customFormat="1" ht="15" thickBot="1">
      <c r="A7" s="2866"/>
      <c r="B7" s="2873" t="s">
        <v>529</v>
      </c>
      <c r="C7" s="519">
        <f>'数据-取费表'!B2</f>
        <v>43776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91" t="s">
        <v>530</v>
      </c>
      <c r="Q7" s="3393"/>
      <c r="R7" s="1553" t="s">
        <v>8</v>
      </c>
      <c r="S7" s="1554">
        <f t="shared" ref="S7:S14" si="0">F7</f>
        <v>0</v>
      </c>
      <c r="T7" s="1553" t="s">
        <v>8</v>
      </c>
      <c r="U7" s="1554">
        <f t="shared" ref="U7:U14" si="1">H7</f>
        <v>0</v>
      </c>
      <c r="V7" s="1553" t="s">
        <v>8</v>
      </c>
      <c r="W7" s="1554">
        <f t="shared" ref="W7:W14" si="2">J7</f>
        <v>0</v>
      </c>
      <c r="X7" s="1555"/>
      <c r="Y7" s="3391" t="s">
        <v>530</v>
      </c>
      <c r="Z7" s="3392"/>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36" si="3">D8/F8</f>
        <v>#DIV/0!</v>
      </c>
      <c r="AB8" s="1556" t="e">
        <f t="shared" ref="AB8:AB36" si="4">D8/H8</f>
        <v>#DIV/0!</v>
      </c>
      <c r="AC8" s="1556" t="e">
        <f t="shared" ref="AC8:AC36" si="5">D8/J8</f>
        <v>#DIV/0!</v>
      </c>
    </row>
    <row r="9" spans="1:29" s="1215" customFormat="1" ht="14.4">
      <c r="A9" s="2868"/>
      <c r="B9" s="2875" t="s">
        <v>2756</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61" t="s">
        <v>535</v>
      </c>
      <c r="Q9" s="1146" t="str">
        <f t="shared" ref="Q9:Q14" si="6">B9</f>
        <v>用途</v>
      </c>
      <c r="R9" s="1553" t="s">
        <v>8</v>
      </c>
      <c r="S9" s="1554">
        <f t="shared" si="0"/>
        <v>100</v>
      </c>
      <c r="T9" s="1553" t="s">
        <v>8</v>
      </c>
      <c r="U9" s="1554">
        <f t="shared" si="1"/>
        <v>100</v>
      </c>
      <c r="V9" s="1553" t="s">
        <v>8</v>
      </c>
      <c r="W9" s="1554">
        <f t="shared" si="2"/>
        <v>100</v>
      </c>
      <c r="X9" s="1555"/>
      <c r="Y9" s="3307" t="s">
        <v>536</v>
      </c>
      <c r="Z9" s="1145" t="str">
        <f t="shared" ref="Z9:Z14" si="7">Q9</f>
        <v>用途</v>
      </c>
      <c r="AA9" s="1556">
        <f t="shared" si="3"/>
        <v>1</v>
      </c>
      <c r="AB9" s="1556">
        <f t="shared" si="4"/>
        <v>1</v>
      </c>
      <c r="AC9" s="1556">
        <f t="shared" si="5"/>
        <v>1</v>
      </c>
    </row>
    <row r="10" spans="1:29" s="1333" customFormat="1" ht="28.8">
      <c r="A10" s="2869"/>
      <c r="B10" s="2874" t="s">
        <v>2757</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61"/>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61"/>
      <c r="Q11" s="1146">
        <f t="shared" si="6"/>
        <v>111</v>
      </c>
      <c r="R11" s="1553" t="s">
        <v>8</v>
      </c>
      <c r="S11" s="1554">
        <f t="shared" si="0"/>
        <v>100</v>
      </c>
      <c r="T11" s="1553" t="s">
        <v>8</v>
      </c>
      <c r="U11" s="1554">
        <f t="shared" si="1"/>
        <v>100</v>
      </c>
      <c r="V11" s="1553" t="s">
        <v>8</v>
      </c>
      <c r="W11" s="1554">
        <f t="shared" si="2"/>
        <v>100</v>
      </c>
      <c r="X11" s="1555"/>
      <c r="Y11" s="3307"/>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61"/>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61"/>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
      <c r="A14" s="2864" t="s">
        <v>2754</v>
      </c>
      <c r="B14" s="547" t="s">
        <v>543</v>
      </c>
      <c r="C14" s="920"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4" t="s">
        <v>540</v>
      </c>
      <c r="Q14" s="1557" t="str">
        <f t="shared" si="6"/>
        <v>交通便捷度</v>
      </c>
      <c r="R14" s="1558" t="s">
        <v>8</v>
      </c>
      <c r="S14" s="1559">
        <f t="shared" si="0"/>
        <v>100</v>
      </c>
      <c r="T14" s="1558" t="s">
        <v>8</v>
      </c>
      <c r="U14" s="1559">
        <f t="shared" si="1"/>
        <v>100</v>
      </c>
      <c r="V14" s="1558" t="s">
        <v>8</v>
      </c>
      <c r="W14" s="1559">
        <f t="shared" si="2"/>
        <v>100</v>
      </c>
      <c r="X14" s="1552"/>
      <c r="Y14" s="3394"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5"/>
      <c r="Q15" s="1557"/>
      <c r="R15" s="1558"/>
      <c r="S15" s="1559"/>
      <c r="T15" s="1558"/>
      <c r="U15" s="1559"/>
      <c r="V15" s="1558"/>
      <c r="W15" s="1559"/>
      <c r="X15" s="1552"/>
      <c r="Y15" s="3395"/>
      <c r="Z15" s="1560"/>
      <c r="AA15" s="1561">
        <v>1</v>
      </c>
      <c r="AB15" s="1561">
        <v>1</v>
      </c>
      <c r="AC15" s="1561">
        <v>1</v>
      </c>
    </row>
    <row r="16" spans="1:29" ht="15">
      <c r="A16" s="515"/>
      <c r="B16" s="2566"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5"/>
      <c r="Q16" s="1557" t="str">
        <f>B16</f>
        <v>公共配套设施</v>
      </c>
      <c r="R16" s="1558" t="s">
        <v>8</v>
      </c>
      <c r="S16" s="1559">
        <f>F16</f>
        <v>100</v>
      </c>
      <c r="T16" s="1558" t="s">
        <v>8</v>
      </c>
      <c r="U16" s="1559">
        <f>H16</f>
        <v>100</v>
      </c>
      <c r="V16" s="1558" t="s">
        <v>8</v>
      </c>
      <c r="W16" s="1559">
        <f>J16</f>
        <v>100</v>
      </c>
      <c r="X16" s="1552"/>
      <c r="Y16" s="3395"/>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5"/>
      <c r="Q17" s="1557"/>
      <c r="R17" s="1558"/>
      <c r="S17" s="1559"/>
      <c r="T17" s="1558"/>
      <c r="U17" s="1559"/>
      <c r="V17" s="1558"/>
      <c r="W17" s="1559"/>
      <c r="X17" s="1552"/>
      <c r="Y17" s="3395"/>
      <c r="Z17" s="1560"/>
      <c r="AA17" s="1561">
        <v>1</v>
      </c>
      <c r="AB17" s="1561">
        <v>1</v>
      </c>
      <c r="AC17" s="1561">
        <v>1</v>
      </c>
    </row>
    <row r="18" spans="1:29" ht="15">
      <c r="A18" s="515"/>
      <c r="B18" s="2554"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5"/>
      <c r="Q18" s="2542" t="str">
        <f>B18</f>
        <v>基础设施水平</v>
      </c>
      <c r="R18" s="1558" t="s">
        <v>8</v>
      </c>
      <c r="S18" s="1559">
        <f>F18</f>
        <v>100</v>
      </c>
      <c r="T18" s="1558" t="s">
        <v>8</v>
      </c>
      <c r="U18" s="1559">
        <f>H18</f>
        <v>100</v>
      </c>
      <c r="V18" s="1558" t="s">
        <v>8</v>
      </c>
      <c r="W18" s="1559">
        <f>J18</f>
        <v>100</v>
      </c>
      <c r="X18" s="2544"/>
      <c r="Y18" s="3395"/>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5"/>
      <c r="Q19" s="2542"/>
      <c r="R19" s="1558"/>
      <c r="S19" s="1559"/>
      <c r="T19" s="1558"/>
      <c r="U19" s="1559"/>
      <c r="V19" s="1558"/>
      <c r="W19" s="1559"/>
      <c r="X19" s="2544"/>
      <c r="Y19" s="3395"/>
      <c r="Z19" s="2543"/>
      <c r="AA19" s="1561">
        <v>1</v>
      </c>
      <c r="AB19" s="1561">
        <v>1</v>
      </c>
      <c r="AC19" s="1561">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5"/>
      <c r="Q20" s="1557" t="str">
        <f>B20</f>
        <v>自然及人文环境</v>
      </c>
      <c r="R20" s="1558" t="s">
        <v>8</v>
      </c>
      <c r="S20" s="1559">
        <f>F20</f>
        <v>100</v>
      </c>
      <c r="T20" s="1558" t="s">
        <v>8</v>
      </c>
      <c r="U20" s="1559">
        <f>H20</f>
        <v>100</v>
      </c>
      <c r="V20" s="1558" t="s">
        <v>8</v>
      </c>
      <c r="W20" s="1559">
        <f>J20</f>
        <v>100</v>
      </c>
      <c r="X20" s="1552"/>
      <c r="Y20" s="339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5"/>
      <c r="Q21" s="1557"/>
      <c r="R21" s="1558"/>
      <c r="S21" s="1559"/>
      <c r="T21" s="1558"/>
      <c r="U21" s="1559"/>
      <c r="V21" s="1558"/>
      <c r="W21" s="1559"/>
      <c r="X21" s="1552"/>
      <c r="Y21" s="339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5"/>
      <c r="Q22" s="1557" t="str">
        <f>B22</f>
        <v>楼层</v>
      </c>
      <c r="R22" s="1558" t="s">
        <v>8</v>
      </c>
      <c r="S22" s="1559">
        <f>F22</f>
        <v>100</v>
      </c>
      <c r="T22" s="1558" t="s">
        <v>8</v>
      </c>
      <c r="U22" s="1559">
        <f>H22</f>
        <v>100</v>
      </c>
      <c r="V22" s="1558" t="s">
        <v>8</v>
      </c>
      <c r="W22" s="1559">
        <f>J22</f>
        <v>100</v>
      </c>
      <c r="X22" s="1552"/>
      <c r="Y22" s="3395"/>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5"/>
      <c r="Q23" s="1557">
        <f>B23</f>
        <v>111</v>
      </c>
      <c r="R23" s="1558" t="s">
        <v>8</v>
      </c>
      <c r="S23" s="1559">
        <f>F23</f>
        <v>100</v>
      </c>
      <c r="T23" s="1558" t="s">
        <v>8</v>
      </c>
      <c r="U23" s="1559">
        <f>H23</f>
        <v>100</v>
      </c>
      <c r="V23" s="1558" t="s">
        <v>8</v>
      </c>
      <c r="W23" s="1559">
        <f>J23</f>
        <v>100</v>
      </c>
      <c r="X23" s="1552"/>
      <c r="Y23" s="3395"/>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5"/>
      <c r="Q24" s="1557">
        <f t="shared" ref="Q24:Q36" si="11">B24</f>
        <v>111</v>
      </c>
      <c r="R24" s="1558" t="s">
        <v>8</v>
      </c>
      <c r="S24" s="1559">
        <f>F24</f>
        <v>100</v>
      </c>
      <c r="T24" s="1558" t="s">
        <v>8</v>
      </c>
      <c r="U24" s="1559">
        <f>H24</f>
        <v>100</v>
      </c>
      <c r="V24" s="1558" t="s">
        <v>8</v>
      </c>
      <c r="W24" s="1559">
        <f>J24</f>
        <v>100</v>
      </c>
      <c r="X24" s="1552"/>
      <c r="Y24" s="3395"/>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5"/>
      <c r="Q25" s="1146">
        <f t="shared" si="11"/>
        <v>111</v>
      </c>
      <c r="R25" s="1553" t="s">
        <v>8</v>
      </c>
      <c r="S25" s="1554">
        <f>F25</f>
        <v>100</v>
      </c>
      <c r="T25" s="1553" t="s">
        <v>8</v>
      </c>
      <c r="U25" s="1554">
        <f>H25</f>
        <v>100</v>
      </c>
      <c r="V25" s="1553" t="s">
        <v>8</v>
      </c>
      <c r="W25" s="1554">
        <f>J25</f>
        <v>100</v>
      </c>
      <c r="X25" s="1555"/>
      <c r="Y25" s="3395"/>
      <c r="Z25" s="1145">
        <f>Q25</f>
        <v>111</v>
      </c>
      <c r="AA25" s="1561">
        <f>D25/F25</f>
        <v>1</v>
      </c>
      <c r="AB25" s="1561">
        <f>D25/H25</f>
        <v>1</v>
      </c>
      <c r="AC25" s="1561">
        <f>D25/J25</f>
        <v>1</v>
      </c>
    </row>
    <row r="26" spans="1:29" ht="15">
      <c r="A26" s="2861" t="s">
        <v>2755</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7"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7"/>
      <c r="Q27" s="1589" t="str">
        <f t="shared" si="11"/>
        <v>项目停车位配比</v>
      </c>
      <c r="R27" s="1562" t="s">
        <v>8</v>
      </c>
      <c r="S27" s="1563">
        <f t="shared" si="12"/>
        <v>100</v>
      </c>
      <c r="T27" s="1562" t="s">
        <v>8</v>
      </c>
      <c r="U27" s="1563">
        <f t="shared" si="13"/>
        <v>100</v>
      </c>
      <c r="V27" s="1562" t="s">
        <v>8</v>
      </c>
      <c r="W27" s="1563">
        <f t="shared" si="14"/>
        <v>100</v>
      </c>
      <c r="X27" s="1564"/>
      <c r="Y27" s="3397"/>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7"/>
      <c r="Q28" s="1557" t="str">
        <f t="shared" si="11"/>
        <v>公共部分装修</v>
      </c>
      <c r="R28" s="1558" t="s">
        <v>8</v>
      </c>
      <c r="S28" s="1559">
        <f t="shared" si="12"/>
        <v>100</v>
      </c>
      <c r="T28" s="1558" t="s">
        <v>8</v>
      </c>
      <c r="U28" s="1559">
        <f t="shared" si="13"/>
        <v>100</v>
      </c>
      <c r="V28" s="1558" t="s">
        <v>8</v>
      </c>
      <c r="W28" s="1559">
        <f t="shared" si="14"/>
        <v>100</v>
      </c>
      <c r="X28" s="1552"/>
      <c r="Y28" s="3397"/>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7"/>
      <c r="Q29" s="1557" t="str">
        <f t="shared" si="11"/>
        <v>成新率</v>
      </c>
      <c r="R29" s="1558" t="s">
        <v>8</v>
      </c>
      <c r="S29" s="1559" t="e">
        <f t="shared" si="12"/>
        <v>#N/A</v>
      </c>
      <c r="T29" s="1558" t="s">
        <v>8</v>
      </c>
      <c r="U29" s="1559" t="e">
        <f t="shared" si="13"/>
        <v>#N/A</v>
      </c>
      <c r="V29" s="1558" t="s">
        <v>8</v>
      </c>
      <c r="W29" s="1559" t="e">
        <f t="shared" si="14"/>
        <v>#N/A</v>
      </c>
      <c r="X29" s="1552"/>
      <c r="Y29" s="3397"/>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7"/>
      <c r="Q30" s="1557" t="str">
        <f t="shared" si="11"/>
        <v>物业等级</v>
      </c>
      <c r="R30" s="1558" t="s">
        <v>8</v>
      </c>
      <c r="S30" s="1559">
        <f t="shared" si="12"/>
        <v>100</v>
      </c>
      <c r="T30" s="1558" t="s">
        <v>8</v>
      </c>
      <c r="U30" s="1559">
        <f t="shared" si="13"/>
        <v>100</v>
      </c>
      <c r="V30" s="1558" t="s">
        <v>8</v>
      </c>
      <c r="W30" s="1559">
        <f t="shared" si="14"/>
        <v>100</v>
      </c>
      <c r="X30" s="1552"/>
      <c r="Y30" s="3397"/>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7"/>
      <c r="Q31" s="1146" t="str">
        <f t="shared" si="11"/>
        <v>停车位面积</v>
      </c>
      <c r="R31" s="1553" t="s">
        <v>8</v>
      </c>
      <c r="S31" s="1554" t="e">
        <f t="shared" si="12"/>
        <v>#N/A</v>
      </c>
      <c r="T31" s="1553" t="s">
        <v>8</v>
      </c>
      <c r="U31" s="1554" t="e">
        <f t="shared" si="13"/>
        <v>#N/A</v>
      </c>
      <c r="V31" s="1553" t="s">
        <v>8</v>
      </c>
      <c r="W31" s="1554" t="e">
        <f t="shared" si="14"/>
        <v>#N/A</v>
      </c>
      <c r="X31" s="1555"/>
      <c r="Y31" s="3397"/>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7" t="s">
        <v>550</v>
      </c>
      <c r="Q32" s="1557" t="str">
        <f t="shared" si="11"/>
        <v>车位类型</v>
      </c>
      <c r="R32" s="1558" t="s">
        <v>8</v>
      </c>
      <c r="S32" s="1559">
        <f t="shared" si="12"/>
        <v>100</v>
      </c>
      <c r="T32" s="1558" t="s">
        <v>8</v>
      </c>
      <c r="U32" s="1559">
        <f t="shared" si="13"/>
        <v>100</v>
      </c>
      <c r="V32" s="1558" t="s">
        <v>8</v>
      </c>
      <c r="W32" s="1559">
        <f t="shared" si="14"/>
        <v>100</v>
      </c>
      <c r="X32" s="1552"/>
      <c r="Y32" s="3397"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7"/>
      <c r="Q33" s="1557" t="str">
        <f t="shared" si="11"/>
        <v>是否直接入户</v>
      </c>
      <c r="R33" s="1558" t="s">
        <v>8</v>
      </c>
      <c r="S33" s="1559">
        <f t="shared" si="12"/>
        <v>100</v>
      </c>
      <c r="T33" s="1558" t="s">
        <v>8</v>
      </c>
      <c r="U33" s="1559">
        <f t="shared" si="13"/>
        <v>100</v>
      </c>
      <c r="V33" s="1558" t="s">
        <v>8</v>
      </c>
      <c r="W33" s="1559">
        <f t="shared" si="14"/>
        <v>100</v>
      </c>
      <c r="X33" s="1552"/>
      <c r="Y33" s="3397"/>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7"/>
      <c r="Q34" s="1557">
        <f t="shared" si="11"/>
        <v>111</v>
      </c>
      <c r="R34" s="1558" t="s">
        <v>8</v>
      </c>
      <c r="S34" s="1559">
        <f t="shared" si="12"/>
        <v>100</v>
      </c>
      <c r="T34" s="1558" t="s">
        <v>8</v>
      </c>
      <c r="U34" s="1559">
        <f t="shared" si="13"/>
        <v>100</v>
      </c>
      <c r="V34" s="1558" t="s">
        <v>8</v>
      </c>
      <c r="W34" s="1559">
        <f t="shared" si="14"/>
        <v>100</v>
      </c>
      <c r="X34" s="1552"/>
      <c r="Y34" s="3397"/>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7"/>
      <c r="Q35" s="1589">
        <f t="shared" si="11"/>
        <v>111</v>
      </c>
      <c r="R35" s="1562" t="s">
        <v>8</v>
      </c>
      <c r="S35" s="1563">
        <f t="shared" si="12"/>
        <v>100</v>
      </c>
      <c r="T35" s="1562" t="s">
        <v>8</v>
      </c>
      <c r="U35" s="1563">
        <f t="shared" si="13"/>
        <v>100</v>
      </c>
      <c r="V35" s="1562" t="s">
        <v>8</v>
      </c>
      <c r="W35" s="1563">
        <f t="shared" si="14"/>
        <v>100</v>
      </c>
      <c r="X35" s="1564"/>
      <c r="Y35" s="3397"/>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7"/>
      <c r="Q36" s="1557">
        <f t="shared" si="11"/>
        <v>111</v>
      </c>
      <c r="R36" s="1558" t="s">
        <v>8</v>
      </c>
      <c r="S36" s="1559">
        <f t="shared" si="12"/>
        <v>100</v>
      </c>
      <c r="T36" s="1558" t="s">
        <v>8</v>
      </c>
      <c r="U36" s="1559">
        <f t="shared" si="13"/>
        <v>100</v>
      </c>
      <c r="V36" s="1558" t="s">
        <v>8</v>
      </c>
      <c r="W36" s="1559">
        <f t="shared" si="14"/>
        <v>100</v>
      </c>
      <c r="X36" s="1552"/>
      <c r="Y36" s="3397"/>
      <c r="Z36" s="1560">
        <f t="shared" si="15"/>
        <v>111</v>
      </c>
      <c r="AA36" s="1561">
        <f t="shared" si="3"/>
        <v>1</v>
      </c>
      <c r="AB36" s="1561">
        <f t="shared" si="4"/>
        <v>1</v>
      </c>
      <c r="AC36" s="1561">
        <f t="shared" si="5"/>
        <v>1</v>
      </c>
    </row>
    <row r="37" spans="1:29" ht="14.4">
      <c r="A37" s="1830" t="s">
        <v>2077</v>
      </c>
      <c r="B37" s="1831" t="s">
        <v>2078</v>
      </c>
      <c r="C37" s="2590" t="s">
        <v>1</v>
      </c>
      <c r="D37" s="2591"/>
      <c r="E37" s="2592"/>
      <c r="F37" s="2593"/>
      <c r="G37" s="2594"/>
      <c r="H37" s="2595"/>
      <c r="I37" s="2592"/>
      <c r="J37" s="2595"/>
      <c r="K37" s="1595"/>
      <c r="L37" s="2128"/>
      <c r="M37" s="2129"/>
      <c r="N37" s="2118"/>
      <c r="O37" s="2129"/>
      <c r="P37" s="3361" t="str">
        <f>A37</f>
        <v>成交单价</v>
      </c>
      <c r="Q37" s="3361"/>
      <c r="R37" s="3482">
        <f>E37</f>
        <v>0</v>
      </c>
      <c r="S37" s="3482"/>
      <c r="T37" s="3482">
        <f>G37</f>
        <v>0</v>
      </c>
      <c r="U37" s="3482"/>
      <c r="V37" s="3482">
        <f>I37</f>
        <v>0</v>
      </c>
      <c r="W37" s="3482"/>
      <c r="X37" s="1544"/>
      <c r="Y37" s="1566"/>
      <c r="Z37" s="1544"/>
      <c r="AA37" s="1544"/>
      <c r="AB37" s="1544"/>
      <c r="AC37" s="1544"/>
    </row>
    <row r="38" spans="1:29" ht="15" thickBot="1">
      <c r="A38" s="615" t="s">
        <v>2760</v>
      </c>
      <c r="B38" s="887"/>
      <c r="C38" s="2596" t="e">
        <f>R39</f>
        <v>#DIV/0!</v>
      </c>
      <c r="D38" s="2597"/>
      <c r="E38" s="2598" t="e">
        <f>R38</f>
        <v>#DIV/0!</v>
      </c>
      <c r="F38" s="2598"/>
      <c r="G38" s="2596" t="e">
        <f>T38</f>
        <v>#DIV/0!</v>
      </c>
      <c r="H38" s="2597"/>
      <c r="I38" s="2598" t="e">
        <f>V38</f>
        <v>#DIV/0!</v>
      </c>
      <c r="J38" s="2597"/>
      <c r="K38" s="1596"/>
      <c r="L38" s="2128"/>
      <c r="M38" s="2129"/>
      <c r="N38" s="2129"/>
      <c r="O38" s="2129"/>
      <c r="P38" s="3361" t="str">
        <f>A38</f>
        <v>比较价格（元/平方米）</v>
      </c>
      <c r="Q38" s="336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4"/>
      <c r="Y38" s="1544"/>
      <c r="Z38" s="1544"/>
      <c r="AA38" s="1544"/>
      <c r="AB38" s="1544"/>
      <c r="AC38" s="1544"/>
    </row>
    <row r="39" spans="1:29" ht="15" thickBot="1">
      <c r="A39" s="621" t="s">
        <v>2932</v>
      </c>
      <c r="B39" s="622"/>
      <c r="C39" s="2599" t="e">
        <f>R39</f>
        <v>#DIV/0!</v>
      </c>
      <c r="D39" s="2599"/>
      <c r="E39" s="2599"/>
      <c r="F39" s="2599"/>
      <c r="G39" s="2599"/>
      <c r="H39" s="2599"/>
      <c r="I39" s="2599"/>
      <c r="J39" s="2599"/>
      <c r="K39" s="1597"/>
      <c r="L39" s="2128"/>
      <c r="M39" s="2129"/>
      <c r="N39" s="2129"/>
      <c r="O39" s="2129"/>
      <c r="P39" s="3358" t="str">
        <f>A39</f>
        <v>估价对象XX用房的比较价格（楼面单价，元/平方米）</v>
      </c>
      <c r="Q39" s="3359"/>
      <c r="R39" s="3483" t="e">
        <f>IF(F1="售价",ROUND(AVERAGE(R38:V38),0),ROUND(AVERAGE(R38:V38),1))</f>
        <v>#DIV/0!</v>
      </c>
      <c r="S39" s="3483"/>
      <c r="T39" s="3483"/>
      <c r="U39" s="3483"/>
      <c r="V39" s="3483"/>
      <c r="W39" s="348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2557</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2558</v>
      </c>
      <c r="C67" s="2561" t="s">
        <v>2559</v>
      </c>
      <c r="D67" s="2561" t="s">
        <v>2560</v>
      </c>
      <c r="E67" s="2561" t="s">
        <v>2561</v>
      </c>
      <c r="F67" s="2561" t="s">
        <v>2562</v>
      </c>
      <c r="G67" s="2561" t="s">
        <v>2563</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67" t="s">
        <v>798</v>
      </c>
      <c r="D4" s="3368"/>
      <c r="E4" s="3402" t="s">
        <v>799</v>
      </c>
      <c r="F4" s="3403"/>
      <c r="G4" s="3367" t="s">
        <v>800</v>
      </c>
      <c r="H4" s="3368"/>
      <c r="I4" s="3367" t="s">
        <v>801</v>
      </c>
      <c r="J4" s="3368"/>
      <c r="K4" s="514" t="s">
        <v>802</v>
      </c>
      <c r="L4" s="2117"/>
      <c r="M4" s="2118"/>
      <c r="N4" s="2118"/>
      <c r="O4" s="2118"/>
      <c r="P4" s="3369" t="s">
        <v>803</v>
      </c>
      <c r="Q4" s="3370"/>
      <c r="R4" s="3375" t="s">
        <v>799</v>
      </c>
      <c r="S4" s="3376"/>
      <c r="T4" s="3375" t="s">
        <v>800</v>
      </c>
      <c r="U4" s="3376"/>
      <c r="V4" s="3362" t="s">
        <v>801</v>
      </c>
      <c r="W4" s="3362"/>
      <c r="X4" s="1552"/>
      <c r="Y4" s="3375" t="s">
        <v>803</v>
      </c>
      <c r="Z4" s="3376"/>
      <c r="AA4" s="3364" t="s">
        <v>799</v>
      </c>
      <c r="AB4" s="3365" t="s">
        <v>800</v>
      </c>
      <c r="AC4" s="3364" t="s">
        <v>801</v>
      </c>
    </row>
    <row r="5" spans="1:29">
      <c r="A5" s="515"/>
      <c r="B5" s="516"/>
      <c r="C5" s="3383" t="s">
        <v>2926</v>
      </c>
      <c r="D5" s="3384"/>
      <c r="E5" s="3404" t="s">
        <v>2927</v>
      </c>
      <c r="F5" s="3405"/>
      <c r="G5" s="3383" t="s">
        <v>2928</v>
      </c>
      <c r="H5" s="3384"/>
      <c r="I5" s="3383" t="s">
        <v>2929</v>
      </c>
      <c r="J5" s="3384"/>
      <c r="K5" s="514"/>
      <c r="L5" s="2117"/>
      <c r="M5" s="2118"/>
      <c r="N5" s="2118"/>
      <c r="O5" s="2118"/>
      <c r="P5" s="3371"/>
      <c r="Q5" s="3372"/>
      <c r="R5" s="3377"/>
      <c r="S5" s="3378"/>
      <c r="T5" s="3377"/>
      <c r="U5" s="3378"/>
      <c r="V5" s="3362"/>
      <c r="W5" s="3362"/>
      <c r="X5" s="1552"/>
      <c r="Y5" s="3377"/>
      <c r="Z5" s="3378"/>
      <c r="AA5" s="3365"/>
      <c r="AB5" s="3365"/>
      <c r="AC5" s="3365"/>
    </row>
    <row r="6" spans="1:29" ht="15" thickBot="1">
      <c r="A6" s="517"/>
      <c r="B6" s="518"/>
      <c r="C6" s="3398" t="s">
        <v>2930</v>
      </c>
      <c r="D6" s="3399"/>
      <c r="E6" s="3400" t="s">
        <v>2930</v>
      </c>
      <c r="F6" s="3401"/>
      <c r="G6" s="3398" t="s">
        <v>2930</v>
      </c>
      <c r="H6" s="3399"/>
      <c r="I6" s="3398" t="s">
        <v>2930</v>
      </c>
      <c r="J6" s="3399"/>
      <c r="K6" s="514" t="s">
        <v>528</v>
      </c>
      <c r="L6" s="2117"/>
      <c r="M6" s="2118"/>
      <c r="N6" s="2118"/>
      <c r="O6" s="2118"/>
      <c r="P6" s="3373"/>
      <c r="Q6" s="3374"/>
      <c r="R6" s="3377"/>
      <c r="S6" s="3378"/>
      <c r="T6" s="3379"/>
      <c r="U6" s="3380"/>
      <c r="V6" s="3362"/>
      <c r="W6" s="3362"/>
      <c r="X6" s="1552"/>
      <c r="Y6" s="3379"/>
      <c r="Z6" s="3380"/>
      <c r="AA6" s="3366"/>
      <c r="AB6" s="3366"/>
      <c r="AC6" s="3366"/>
    </row>
    <row r="7" spans="1:29" s="1215" customFormat="1" ht="15" thickBot="1">
      <c r="A7" s="2866"/>
      <c r="B7" s="2873" t="s">
        <v>529</v>
      </c>
      <c r="C7" s="519">
        <f>'数据-取费表'!B2</f>
        <v>43776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91" t="s">
        <v>530</v>
      </c>
      <c r="Q7" s="3393"/>
      <c r="R7" s="1553" t="s">
        <v>8</v>
      </c>
      <c r="S7" s="1554">
        <f t="shared" ref="S7:S14" si="0">F7</f>
        <v>0</v>
      </c>
      <c r="T7" s="1553" t="s">
        <v>8</v>
      </c>
      <c r="U7" s="1554">
        <f t="shared" ref="U7:U14" si="1">H7</f>
        <v>0</v>
      </c>
      <c r="V7" s="1553" t="s">
        <v>8</v>
      </c>
      <c r="W7" s="1554">
        <f t="shared" ref="W7:W14" si="2">J7</f>
        <v>0</v>
      </c>
      <c r="X7" s="1555"/>
      <c r="Y7" s="3391" t="s">
        <v>530</v>
      </c>
      <c r="Z7" s="3392"/>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91" t="s">
        <v>533</v>
      </c>
      <c r="Q8" s="3392"/>
      <c r="R8" s="1553" t="s">
        <v>8</v>
      </c>
      <c r="S8" s="1554">
        <f t="shared" si="0"/>
        <v>0</v>
      </c>
      <c r="T8" s="1553" t="s">
        <v>8</v>
      </c>
      <c r="U8" s="1554">
        <f t="shared" si="1"/>
        <v>0</v>
      </c>
      <c r="V8" s="1553" t="s">
        <v>8</v>
      </c>
      <c r="W8" s="1554">
        <f t="shared" si="2"/>
        <v>0</v>
      </c>
      <c r="X8" s="1555"/>
      <c r="Y8" s="3391" t="s">
        <v>533</v>
      </c>
      <c r="Z8" s="3392"/>
      <c r="AA8" s="1556" t="e">
        <f t="shared" ref="AA8:AA34" si="3">D8/F8</f>
        <v>#DIV/0!</v>
      </c>
      <c r="AB8" s="1556" t="e">
        <f t="shared" ref="AB8:AB34" si="4">D8/H8</f>
        <v>#DIV/0!</v>
      </c>
      <c r="AC8" s="1556" t="e">
        <f t="shared" ref="AC8:AC34" si="5">D8/J8</f>
        <v>#DIV/0!</v>
      </c>
    </row>
    <row r="9" spans="1:29" s="1215" customFormat="1" ht="14.4">
      <c r="A9" s="2868"/>
      <c r="B9" s="2875" t="s">
        <v>2756</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61" t="s">
        <v>535</v>
      </c>
      <c r="Q9" s="1146" t="str">
        <f t="shared" ref="Q9:Q14" si="6">B9</f>
        <v>用途</v>
      </c>
      <c r="R9" s="1553" t="s">
        <v>8</v>
      </c>
      <c r="S9" s="1554">
        <f t="shared" si="0"/>
        <v>100</v>
      </c>
      <c r="T9" s="1553" t="s">
        <v>8</v>
      </c>
      <c r="U9" s="1554">
        <f t="shared" si="1"/>
        <v>100</v>
      </c>
      <c r="V9" s="1553" t="s">
        <v>8</v>
      </c>
      <c r="W9" s="1554">
        <f t="shared" si="2"/>
        <v>100</v>
      </c>
      <c r="X9" s="1555"/>
      <c r="Y9" s="3307" t="s">
        <v>536</v>
      </c>
      <c r="Z9" s="1145" t="str">
        <f t="shared" ref="Z9:Z14" si="7">Q9</f>
        <v>用途</v>
      </c>
      <c r="AA9" s="1556">
        <f t="shared" si="3"/>
        <v>1</v>
      </c>
      <c r="AB9" s="1556">
        <f t="shared" si="4"/>
        <v>1</v>
      </c>
      <c r="AC9" s="1556">
        <f t="shared" si="5"/>
        <v>1</v>
      </c>
    </row>
    <row r="10" spans="1:29" s="1333" customFormat="1" ht="28.8">
      <c r="A10" s="2869"/>
      <c r="B10" s="2874" t="s">
        <v>2757</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61"/>
      <c r="Q10" s="1146" t="str">
        <f t="shared" si="6"/>
        <v>土地使用年限（年）</v>
      </c>
      <c r="R10" s="1553" t="s">
        <v>8</v>
      </c>
      <c r="S10" s="1554">
        <f t="shared" si="0"/>
        <v>100</v>
      </c>
      <c r="T10" s="1553" t="s">
        <v>8</v>
      </c>
      <c r="U10" s="1554">
        <f t="shared" si="1"/>
        <v>100</v>
      </c>
      <c r="V10" s="1553" t="s">
        <v>8</v>
      </c>
      <c r="W10" s="1554">
        <f t="shared" si="2"/>
        <v>100</v>
      </c>
      <c r="X10" s="1555"/>
      <c r="Y10" s="3307"/>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61"/>
      <c r="Q11" s="1146">
        <f t="shared" si="6"/>
        <v>111</v>
      </c>
      <c r="R11" s="1553" t="s">
        <v>8</v>
      </c>
      <c r="S11" s="1554">
        <f t="shared" si="0"/>
        <v>100</v>
      </c>
      <c r="T11" s="1553" t="s">
        <v>8</v>
      </c>
      <c r="U11" s="1554">
        <f t="shared" si="1"/>
        <v>100</v>
      </c>
      <c r="V11" s="1553" t="s">
        <v>8</v>
      </c>
      <c r="W11" s="1554">
        <f t="shared" si="2"/>
        <v>100</v>
      </c>
      <c r="X11" s="1555"/>
      <c r="Y11" s="3307"/>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61"/>
      <c r="Q12" s="1146">
        <f t="shared" si="6"/>
        <v>111</v>
      </c>
      <c r="R12" s="1553" t="s">
        <v>8</v>
      </c>
      <c r="S12" s="1554">
        <f t="shared" si="0"/>
        <v>100</v>
      </c>
      <c r="T12" s="1553" t="s">
        <v>8</v>
      </c>
      <c r="U12" s="1554">
        <f t="shared" si="1"/>
        <v>100</v>
      </c>
      <c r="V12" s="1553" t="s">
        <v>8</v>
      </c>
      <c r="W12" s="1554">
        <f t="shared" si="2"/>
        <v>100</v>
      </c>
      <c r="X12" s="1555"/>
      <c r="Y12" s="3307"/>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61"/>
      <c r="Q13" s="1146">
        <f t="shared" si="6"/>
        <v>111</v>
      </c>
      <c r="R13" s="1553" t="s">
        <v>8</v>
      </c>
      <c r="S13" s="1554">
        <f t="shared" si="0"/>
        <v>100</v>
      </c>
      <c r="T13" s="1553" t="s">
        <v>8</v>
      </c>
      <c r="U13" s="1554">
        <f t="shared" si="1"/>
        <v>100</v>
      </c>
      <c r="V13" s="1553" t="s">
        <v>8</v>
      </c>
      <c r="W13" s="1554">
        <f t="shared" si="2"/>
        <v>100</v>
      </c>
      <c r="X13" s="1555"/>
      <c r="Y13" s="3307"/>
      <c r="Z13" s="1145">
        <f t="shared" si="7"/>
        <v>111</v>
      </c>
      <c r="AA13" s="1556">
        <f t="shared" si="3"/>
        <v>1</v>
      </c>
      <c r="AB13" s="1556">
        <f t="shared" si="4"/>
        <v>1</v>
      </c>
      <c r="AC13" s="1556">
        <f t="shared" si="5"/>
        <v>1</v>
      </c>
    </row>
    <row r="14" spans="1:29" ht="15">
      <c r="A14" s="2864" t="s">
        <v>2754</v>
      </c>
      <c r="B14" s="166" t="s">
        <v>543</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4" t="s">
        <v>540</v>
      </c>
      <c r="Q14" s="1557" t="str">
        <f t="shared" si="6"/>
        <v>交通便捷度</v>
      </c>
      <c r="R14" s="1558" t="s">
        <v>8</v>
      </c>
      <c r="S14" s="1559">
        <f t="shared" si="0"/>
        <v>100</v>
      </c>
      <c r="T14" s="1558" t="s">
        <v>8</v>
      </c>
      <c r="U14" s="1559">
        <f t="shared" si="1"/>
        <v>100</v>
      </c>
      <c r="V14" s="1558" t="s">
        <v>8</v>
      </c>
      <c r="W14" s="1559">
        <f t="shared" si="2"/>
        <v>100</v>
      </c>
      <c r="X14" s="1552"/>
      <c r="Y14" s="3394"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5"/>
      <c r="Q15" s="1557"/>
      <c r="R15" s="1558"/>
      <c r="S15" s="1559"/>
      <c r="T15" s="1558"/>
      <c r="U15" s="1559"/>
      <c r="V15" s="1558"/>
      <c r="W15" s="1559"/>
      <c r="X15" s="1552"/>
      <c r="Y15" s="3395"/>
      <c r="Z15" s="1560"/>
      <c r="AA15" s="1561">
        <v>1</v>
      </c>
      <c r="AB15" s="1561">
        <v>1</v>
      </c>
      <c r="AC15" s="1561">
        <v>1</v>
      </c>
    </row>
    <row r="16" spans="1:29" ht="15">
      <c r="A16" s="532"/>
      <c r="B16" s="2566"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5"/>
      <c r="Q16" s="1557" t="str">
        <f>B16</f>
        <v>公共配套设施</v>
      </c>
      <c r="R16" s="1558" t="s">
        <v>8</v>
      </c>
      <c r="S16" s="1559">
        <f>F16</f>
        <v>100</v>
      </c>
      <c r="T16" s="1558" t="s">
        <v>8</v>
      </c>
      <c r="U16" s="1559">
        <f>H16</f>
        <v>100</v>
      </c>
      <c r="V16" s="1558" t="s">
        <v>8</v>
      </c>
      <c r="W16" s="1559">
        <f>J16</f>
        <v>100</v>
      </c>
      <c r="X16" s="1552"/>
      <c r="Y16" s="3395"/>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5"/>
      <c r="Q17" s="1557"/>
      <c r="R17" s="1558"/>
      <c r="S17" s="1559"/>
      <c r="T17" s="1558"/>
      <c r="U17" s="1559"/>
      <c r="V17" s="1558"/>
      <c r="W17" s="1559"/>
      <c r="X17" s="1552"/>
      <c r="Y17" s="3395"/>
      <c r="Z17" s="1560"/>
      <c r="AA17" s="1561">
        <v>1</v>
      </c>
      <c r="AB17" s="1561">
        <v>1</v>
      </c>
      <c r="AC17" s="1561">
        <v>1</v>
      </c>
    </row>
    <row r="18" spans="1:29" ht="15">
      <c r="A18" s="532"/>
      <c r="B18" s="2554"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5"/>
      <c r="Q18" s="2542" t="str">
        <f>B18</f>
        <v>基础设施水平</v>
      </c>
      <c r="R18" s="1558" t="s">
        <v>8</v>
      </c>
      <c r="S18" s="1559">
        <f>F18</f>
        <v>100</v>
      </c>
      <c r="T18" s="1558" t="s">
        <v>8</v>
      </c>
      <c r="U18" s="1559">
        <f>H18</f>
        <v>100</v>
      </c>
      <c r="V18" s="1558" t="s">
        <v>8</v>
      </c>
      <c r="W18" s="1559">
        <f>J18</f>
        <v>100</v>
      </c>
      <c r="X18" s="2544"/>
      <c r="Y18" s="3395"/>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5"/>
      <c r="Q19" s="2542"/>
      <c r="R19" s="1558"/>
      <c r="S19" s="1559"/>
      <c r="T19" s="1558"/>
      <c r="U19" s="1559"/>
      <c r="V19" s="1558"/>
      <c r="W19" s="1559"/>
      <c r="X19" s="2544"/>
      <c r="Y19" s="3395"/>
      <c r="Z19" s="2543"/>
      <c r="AA19" s="1561">
        <v>1</v>
      </c>
      <c r="AB19" s="1561">
        <v>1</v>
      </c>
      <c r="AC19" s="1561">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5"/>
      <c r="Q20" s="1557" t="str">
        <f>B20</f>
        <v>自然及人文环境</v>
      </c>
      <c r="R20" s="1558" t="s">
        <v>8</v>
      </c>
      <c r="S20" s="1559">
        <f>F20</f>
        <v>100</v>
      </c>
      <c r="T20" s="1558" t="s">
        <v>8</v>
      </c>
      <c r="U20" s="1559">
        <f>H20</f>
        <v>100</v>
      </c>
      <c r="V20" s="1558" t="s">
        <v>8</v>
      </c>
      <c r="W20" s="1559">
        <f>J20</f>
        <v>100</v>
      </c>
      <c r="X20" s="1552"/>
      <c r="Y20" s="339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5"/>
      <c r="Q21" s="1557"/>
      <c r="R21" s="1558"/>
      <c r="S21" s="1559"/>
      <c r="T21" s="1558"/>
      <c r="U21" s="1559"/>
      <c r="V21" s="1558"/>
      <c r="W21" s="1559"/>
      <c r="X21" s="1552"/>
      <c r="Y21" s="3395"/>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5"/>
      <c r="Q22" s="1557" t="str">
        <f>B22</f>
        <v>楼层</v>
      </c>
      <c r="R22" s="1558" t="s">
        <v>8</v>
      </c>
      <c r="S22" s="1559">
        <f>F22</f>
        <v>100</v>
      </c>
      <c r="T22" s="1558" t="s">
        <v>8</v>
      </c>
      <c r="U22" s="1559">
        <f>H22</f>
        <v>100</v>
      </c>
      <c r="V22" s="1558" t="s">
        <v>8</v>
      </c>
      <c r="W22" s="1559">
        <f>J22</f>
        <v>100</v>
      </c>
      <c r="X22" s="1552"/>
      <c r="Y22" s="339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5"/>
      <c r="Q23" s="1557">
        <f>B23</f>
        <v>111</v>
      </c>
      <c r="R23" s="1558" t="s">
        <v>8</v>
      </c>
      <c r="S23" s="1559">
        <f>F23</f>
        <v>100</v>
      </c>
      <c r="T23" s="1558" t="s">
        <v>8</v>
      </c>
      <c r="U23" s="1559">
        <f>H23</f>
        <v>100</v>
      </c>
      <c r="V23" s="1558" t="s">
        <v>8</v>
      </c>
      <c r="W23" s="1559">
        <f>J23</f>
        <v>100</v>
      </c>
      <c r="X23" s="1552"/>
      <c r="Y23" s="339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5"/>
      <c r="Q24" s="1557">
        <f t="shared" ref="Q24:Q34" si="11">B24</f>
        <v>111</v>
      </c>
      <c r="R24" s="1558" t="s">
        <v>8</v>
      </c>
      <c r="S24" s="1559">
        <f>F24</f>
        <v>100</v>
      </c>
      <c r="T24" s="1558" t="s">
        <v>8</v>
      </c>
      <c r="U24" s="1559">
        <f>H24</f>
        <v>100</v>
      </c>
      <c r="V24" s="1558" t="s">
        <v>8</v>
      </c>
      <c r="W24" s="1559">
        <f>J24</f>
        <v>100</v>
      </c>
      <c r="X24" s="1552"/>
      <c r="Y24" s="3395"/>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5"/>
      <c r="Q25" s="1146">
        <f t="shared" si="11"/>
        <v>111</v>
      </c>
      <c r="R25" s="1553" t="s">
        <v>8</v>
      </c>
      <c r="S25" s="1554">
        <f>F25</f>
        <v>100</v>
      </c>
      <c r="T25" s="1553" t="s">
        <v>8</v>
      </c>
      <c r="U25" s="1554">
        <f>H25</f>
        <v>100</v>
      </c>
      <c r="V25" s="1553" t="s">
        <v>8</v>
      </c>
      <c r="W25" s="1554">
        <f>J25</f>
        <v>100</v>
      </c>
      <c r="X25" s="1555"/>
      <c r="Y25" s="3395"/>
      <c r="Z25" s="1145">
        <f>Q25</f>
        <v>111</v>
      </c>
      <c r="AA25" s="1561">
        <f>D25/F25</f>
        <v>1</v>
      </c>
      <c r="AB25" s="1561">
        <f>D25/H25</f>
        <v>1</v>
      </c>
      <c r="AC25" s="1561">
        <f>D25/J25</f>
        <v>1</v>
      </c>
    </row>
    <row r="26" spans="1:29" ht="15">
      <c r="A26" s="2861"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7"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7"/>
      <c r="Q27" s="1589" t="str">
        <f t="shared" si="11"/>
        <v>成新率</v>
      </c>
      <c r="R27" s="1562" t="s">
        <v>8</v>
      </c>
      <c r="S27" s="1563" t="e">
        <f t="shared" si="12"/>
        <v>#N/A</v>
      </c>
      <c r="T27" s="1562" t="s">
        <v>8</v>
      </c>
      <c r="U27" s="1563" t="e">
        <f t="shared" si="13"/>
        <v>#N/A</v>
      </c>
      <c r="V27" s="1562" t="s">
        <v>8</v>
      </c>
      <c r="W27" s="1563" t="e">
        <f t="shared" si="14"/>
        <v>#N/A</v>
      </c>
      <c r="X27" s="1564"/>
      <c r="Y27" s="3397"/>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7"/>
      <c r="Q28" s="1557" t="str">
        <f t="shared" si="11"/>
        <v>物业等级</v>
      </c>
      <c r="R28" s="1558" t="s">
        <v>8</v>
      </c>
      <c r="S28" s="1559">
        <f t="shared" si="12"/>
        <v>100</v>
      </c>
      <c r="T28" s="1558" t="s">
        <v>8</v>
      </c>
      <c r="U28" s="1559">
        <f t="shared" si="13"/>
        <v>100</v>
      </c>
      <c r="V28" s="1558" t="s">
        <v>8</v>
      </c>
      <c r="W28" s="1559">
        <f t="shared" si="14"/>
        <v>100</v>
      </c>
      <c r="X28" s="1552"/>
      <c r="Y28" s="3397"/>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7"/>
      <c r="Q29" s="1557" t="str">
        <f t="shared" si="11"/>
        <v>有无电梯</v>
      </c>
      <c r="R29" s="1558" t="s">
        <v>8</v>
      </c>
      <c r="S29" s="1559">
        <f t="shared" si="12"/>
        <v>100</v>
      </c>
      <c r="T29" s="1558" t="s">
        <v>8</v>
      </c>
      <c r="U29" s="1559">
        <f t="shared" si="13"/>
        <v>100</v>
      </c>
      <c r="V29" s="1558" t="s">
        <v>8</v>
      </c>
      <c r="W29" s="1559">
        <f t="shared" si="14"/>
        <v>100</v>
      </c>
      <c r="X29" s="1552"/>
      <c r="Y29" s="3397"/>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7"/>
      <c r="Q30" s="1557" t="str">
        <f t="shared" si="11"/>
        <v>建筑面积</v>
      </c>
      <c r="R30" s="1558" t="s">
        <v>8</v>
      </c>
      <c r="S30" s="1559" t="e">
        <f t="shared" si="12"/>
        <v>#N/A</v>
      </c>
      <c r="T30" s="1558" t="s">
        <v>8</v>
      </c>
      <c r="U30" s="1559" t="e">
        <f t="shared" si="13"/>
        <v>#N/A</v>
      </c>
      <c r="V30" s="1558" t="s">
        <v>8</v>
      </c>
      <c r="W30" s="1559" t="e">
        <f t="shared" si="14"/>
        <v>#N/A</v>
      </c>
      <c r="X30" s="1552"/>
      <c r="Y30" s="3397"/>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7"/>
      <c r="Q31" s="1146" t="str">
        <f t="shared" si="11"/>
        <v>是否封闭</v>
      </c>
      <c r="R31" s="1553" t="s">
        <v>8</v>
      </c>
      <c r="S31" s="1554">
        <f t="shared" si="12"/>
        <v>100</v>
      </c>
      <c r="T31" s="1553" t="s">
        <v>8</v>
      </c>
      <c r="U31" s="1554">
        <f t="shared" si="13"/>
        <v>100</v>
      </c>
      <c r="V31" s="1553" t="s">
        <v>8</v>
      </c>
      <c r="W31" s="1554">
        <f t="shared" si="14"/>
        <v>100</v>
      </c>
      <c r="X31" s="1555"/>
      <c r="Y31" s="3397"/>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7" t="s">
        <v>550</v>
      </c>
      <c r="Q32" s="1557">
        <f t="shared" si="11"/>
        <v>111</v>
      </c>
      <c r="R32" s="1558" t="s">
        <v>8</v>
      </c>
      <c r="S32" s="1559">
        <f t="shared" si="12"/>
        <v>100</v>
      </c>
      <c r="T32" s="1558" t="s">
        <v>8</v>
      </c>
      <c r="U32" s="1559">
        <f t="shared" si="13"/>
        <v>100</v>
      </c>
      <c r="V32" s="1558" t="s">
        <v>8</v>
      </c>
      <c r="W32" s="1559">
        <f t="shared" si="14"/>
        <v>100</v>
      </c>
      <c r="X32" s="1552"/>
      <c r="Y32" s="3397"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7"/>
      <c r="Q33" s="1557">
        <f t="shared" si="11"/>
        <v>111</v>
      </c>
      <c r="R33" s="1558" t="s">
        <v>8</v>
      </c>
      <c r="S33" s="1559">
        <f t="shared" si="12"/>
        <v>100</v>
      </c>
      <c r="T33" s="1558" t="s">
        <v>8</v>
      </c>
      <c r="U33" s="1559">
        <f t="shared" si="13"/>
        <v>100</v>
      </c>
      <c r="V33" s="1558" t="s">
        <v>8</v>
      </c>
      <c r="W33" s="1559">
        <f t="shared" si="14"/>
        <v>100</v>
      </c>
      <c r="X33" s="1552"/>
      <c r="Y33" s="3397"/>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7"/>
      <c r="Q34" s="1557">
        <f t="shared" si="11"/>
        <v>111</v>
      </c>
      <c r="R34" s="1558" t="s">
        <v>8</v>
      </c>
      <c r="S34" s="1559">
        <f t="shared" si="12"/>
        <v>100</v>
      </c>
      <c r="T34" s="1558" t="s">
        <v>8</v>
      </c>
      <c r="U34" s="1559">
        <f t="shared" si="13"/>
        <v>100</v>
      </c>
      <c r="V34" s="1558" t="s">
        <v>8</v>
      </c>
      <c r="W34" s="1559">
        <f t="shared" si="14"/>
        <v>100</v>
      </c>
      <c r="X34" s="1552"/>
      <c r="Y34" s="3397"/>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61" t="str">
        <f>A35</f>
        <v>成交单价（元/平方米）</v>
      </c>
      <c r="Q35" s="3361"/>
      <c r="R35" s="3482">
        <f>E35</f>
        <v>0</v>
      </c>
      <c r="S35" s="3482"/>
      <c r="T35" s="3482">
        <f>G35</f>
        <v>0</v>
      </c>
      <c r="U35" s="3482"/>
      <c r="V35" s="3482">
        <f>I35</f>
        <v>0</v>
      </c>
      <c r="W35" s="3482"/>
      <c r="X35" s="1544"/>
      <c r="Y35" s="1566"/>
      <c r="Z35" s="1544"/>
      <c r="AA35" s="1544"/>
      <c r="AB35" s="1544"/>
      <c r="AC35" s="1544"/>
    </row>
    <row r="36" spans="1:29" ht="15" thickBot="1">
      <c r="A36" s="615" t="s">
        <v>2760</v>
      </c>
      <c r="B36" s="887"/>
      <c r="C36" s="2596" t="e">
        <f>R37</f>
        <v>#DIV/0!</v>
      </c>
      <c r="D36" s="2597"/>
      <c r="E36" s="2598" t="e">
        <f>R36</f>
        <v>#DIV/0!</v>
      </c>
      <c r="F36" s="2598"/>
      <c r="G36" s="2596" t="e">
        <f>T36</f>
        <v>#DIV/0!</v>
      </c>
      <c r="H36" s="2597"/>
      <c r="I36" s="2598" t="e">
        <f>V36</f>
        <v>#DIV/0!</v>
      </c>
      <c r="J36" s="2597"/>
      <c r="K36" s="1596"/>
      <c r="L36" s="2128"/>
      <c r="M36" s="2129"/>
      <c r="N36" s="2118"/>
      <c r="O36" s="2129"/>
      <c r="P36" s="3361" t="str">
        <f>A36</f>
        <v>比较价格（元/平方米）</v>
      </c>
      <c r="Q36" s="336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4"/>
      <c r="Y36" s="1544"/>
      <c r="Z36" s="1544"/>
      <c r="AA36" s="1544"/>
      <c r="AB36" s="1544"/>
      <c r="AC36" s="1544"/>
    </row>
    <row r="37" spans="1:29" ht="15" thickBot="1">
      <c r="A37" s="621" t="s">
        <v>2932</v>
      </c>
      <c r="B37" s="622"/>
      <c r="C37" s="2599" t="e">
        <f>R37</f>
        <v>#DIV/0!</v>
      </c>
      <c r="D37" s="2599"/>
      <c r="E37" s="2599"/>
      <c r="F37" s="2599"/>
      <c r="G37" s="2599"/>
      <c r="H37" s="2599"/>
      <c r="I37" s="2599"/>
      <c r="J37" s="2599"/>
      <c r="K37" s="1597"/>
      <c r="L37" s="2128"/>
      <c r="M37" s="2129"/>
      <c r="N37" s="2129"/>
      <c r="O37" s="2129"/>
      <c r="P37" s="3358" t="str">
        <f>A37</f>
        <v>估价对象XX用房的比较价格（楼面单价，元/平方米）</v>
      </c>
      <c r="Q37" s="3359"/>
      <c r="R37" s="3483" t="e">
        <f>IF(F1="售价",ROUND(AVERAGE(R36:V36),0),ROUND(AVERAGE(R36:V36),1))</f>
        <v>#DIV/0!</v>
      </c>
      <c r="S37" s="3483"/>
      <c r="T37" s="3483"/>
      <c r="U37" s="3483"/>
      <c r="V37" s="3483"/>
      <c r="W37" s="348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2557</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2558</v>
      </c>
      <c r="C65" s="2561" t="s">
        <v>2559</v>
      </c>
      <c r="D65" s="2561" t="s">
        <v>2560</v>
      </c>
      <c r="E65" s="2561" t="s">
        <v>2561</v>
      </c>
      <c r="F65" s="2561" t="s">
        <v>2562</v>
      </c>
      <c r="G65" s="2561" t="s">
        <v>2563</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492" t="s">
        <v>2304</v>
      </c>
      <c r="D1" s="3493"/>
      <c r="E1" s="3493"/>
      <c r="F1" s="3493"/>
      <c r="G1" s="3493"/>
      <c r="H1" s="3493"/>
      <c r="I1" s="3493"/>
      <c r="J1" s="3493"/>
      <c r="K1" s="3493"/>
      <c r="L1" s="3493"/>
      <c r="M1" s="3493"/>
      <c r="N1" s="3493"/>
      <c r="O1" s="3493"/>
      <c r="P1" s="3493"/>
      <c r="Q1" s="3493"/>
      <c r="R1" s="3493"/>
      <c r="S1" s="349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5"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7"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7"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6"/>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5"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5"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5"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2788</v>
      </c>
      <c r="C1" s="2958">
        <f>项目基本情况!D3</f>
        <v>43776</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2819</v>
      </c>
      <c r="C2" s="2959">
        <f>'数据-取费表'!B22</f>
        <v>3</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7" t="s">
        <v>2038</v>
      </c>
      <c r="B1" s="3197"/>
      <c r="C1" s="3197"/>
      <c r="D1" s="3197"/>
      <c r="E1" s="3197"/>
      <c r="F1" s="3197"/>
      <c r="G1" s="3197"/>
      <c r="H1" s="3197"/>
      <c r="I1" s="3197"/>
      <c r="J1" s="3197"/>
      <c r="K1" s="3197"/>
      <c r="L1" s="3197"/>
      <c r="M1" s="3197"/>
      <c r="N1" s="3197"/>
      <c r="O1" s="3197"/>
      <c r="P1" s="3197"/>
      <c r="Q1" s="3197"/>
      <c r="R1" s="3197"/>
    </row>
    <row r="2" spans="1:18">
      <c r="A2" s="1791" t="s">
        <v>2040</v>
      </c>
      <c r="B2" s="1791"/>
      <c r="C2" s="1791"/>
      <c r="D2" s="1791"/>
      <c r="E2" s="1791"/>
      <c r="F2" s="1791"/>
      <c r="G2" s="1791"/>
      <c r="H2" s="1791"/>
      <c r="I2" s="1792"/>
      <c r="J2" s="1792"/>
      <c r="K2" s="1793" t="str">
        <f>"估价期日："&amp;TEXT(项目基本情况!D3,"yyyy年m月d日;;")</f>
        <v>估价期日：2019年11月7日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8" t="s">
        <v>2029</v>
      </c>
      <c r="B3" s="3198" t="s">
        <v>2731</v>
      </c>
      <c r="C3" s="3199" t="s">
        <v>2030</v>
      </c>
      <c r="D3" s="3198" t="s">
        <v>2735</v>
      </c>
      <c r="E3" s="3201" t="s">
        <v>2031</v>
      </c>
      <c r="F3" s="3201"/>
      <c r="G3" s="3201"/>
      <c r="H3" s="3201" t="s">
        <v>2032</v>
      </c>
      <c r="I3" s="3201"/>
      <c r="J3" s="3201"/>
      <c r="K3" s="3199" t="s">
        <v>2033</v>
      </c>
      <c r="L3" s="3199" t="s">
        <v>2034</v>
      </c>
      <c r="M3" s="3198" t="s">
        <v>2732</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12" t="s">
        <v>2042</v>
      </c>
      <c r="F4" s="2612" t="s">
        <v>2744</v>
      </c>
      <c r="G4" s="2612" t="s">
        <v>2036</v>
      </c>
      <c r="H4" s="2612" t="s">
        <v>2037</v>
      </c>
      <c r="I4" s="2612" t="s">
        <v>2745</v>
      </c>
      <c r="J4" s="2612" t="s">
        <v>2036</v>
      </c>
      <c r="K4" s="3199"/>
      <c r="L4" s="3199"/>
      <c r="M4" s="3198"/>
      <c r="N4" s="3200"/>
      <c r="O4" s="3198"/>
      <c r="P4" s="3199"/>
      <c r="Q4" s="3199"/>
      <c r="R4" s="3199"/>
    </row>
    <row r="5" spans="1:18" ht="135" customHeight="1">
      <c r="A5" s="1927" t="s">
        <v>2655</v>
      </c>
      <c r="B5" s="2821" t="s">
        <v>2653</v>
      </c>
      <c r="C5" s="2611">
        <v>22</v>
      </c>
      <c r="D5" s="2610" t="s">
        <v>2654</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44066.5</v>
      </c>
      <c r="O5" s="1794">
        <f>项目基本情况!C21</f>
        <v>205689</v>
      </c>
      <c r="P5" s="1794">
        <f ca="1">结果表!E42</f>
        <v>26997</v>
      </c>
      <c r="Q5" s="1794">
        <f ca="1">结果表!D42</f>
        <v>5784</v>
      </c>
      <c r="R5" s="1795">
        <f ca="1">结果表!C42</f>
        <v>118966</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6">
        <f ca="1">结果表!O39</f>
        <v>118966</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6"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3" t="s">
        <v>2065</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2066</v>
      </c>
      <c r="B5" s="3202"/>
      <c r="C5" s="3202"/>
      <c r="D5" s="3202"/>
    </row>
    <row r="6" spans="1:4">
      <c r="A6" s="3203" t="s">
        <v>2044</v>
      </c>
      <c r="B6" s="3203"/>
      <c r="C6" s="3203"/>
      <c r="D6" s="3203"/>
    </row>
    <row r="7" spans="1:4" ht="33" customHeight="1">
      <c r="A7" s="3203" t="s">
        <v>2575</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2068</v>
      </c>
      <c r="B12" s="3202"/>
      <c r="C12" s="3202"/>
      <c r="D12" s="3202"/>
    </row>
    <row r="13" spans="1:4">
      <c r="A13" s="3206" t="s">
        <v>2746</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2702</v>
      </c>
      <c r="B17" s="3203"/>
      <c r="C17" s="3203"/>
      <c r="D17" s="3203"/>
    </row>
    <row r="18" spans="1:4">
      <c r="A18" s="3203" t="s">
        <v>2694</v>
      </c>
      <c r="B18" s="3203"/>
      <c r="C18" s="3203"/>
      <c r="D18" s="3203"/>
    </row>
    <row r="19" spans="1:4">
      <c r="A19" s="2822" t="s">
        <v>2695</v>
      </c>
      <c r="B19" s="2822" t="s">
        <v>2696</v>
      </c>
      <c r="C19" s="2822" t="s">
        <v>2697</v>
      </c>
      <c r="D19" s="2822" t="s">
        <v>2698</v>
      </c>
    </row>
    <row r="20" spans="1:4">
      <c r="A20" s="2822" t="str">
        <f>项目基本情况!B4</f>
        <v>王鹏</v>
      </c>
      <c r="B20" s="2822">
        <f ca="1">项目基本情况!C4</f>
        <v>2002110030</v>
      </c>
      <c r="C20" s="2824"/>
      <c r="D20" s="1784" t="s">
        <v>2703</v>
      </c>
    </row>
    <row r="21" spans="1:4">
      <c r="A21" s="2822" t="str">
        <f>项目基本情况!D4</f>
        <v>郑燚</v>
      </c>
      <c r="B21" s="2822">
        <f ca="1">项目基本情况!E4</f>
        <v>2014110011</v>
      </c>
      <c r="C21" s="2824"/>
      <c r="D21" s="1784" t="s">
        <v>2704</v>
      </c>
    </row>
    <row r="23" spans="1:4">
      <c r="A23" s="3203" t="s">
        <v>2699</v>
      </c>
      <c r="B23" s="3203"/>
      <c r="C23" s="3203"/>
      <c r="D23" s="3203"/>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4" t="s">
        <v>53</v>
      </c>
      <c r="B15" s="3215" t="s">
        <v>846</v>
      </c>
      <c r="C15" s="3211"/>
    </row>
    <row r="16" spans="1:7" ht="14.4">
      <c r="A16" s="3214"/>
      <c r="B16" s="3212" t="s">
        <v>54</v>
      </c>
      <c r="C16" s="1167" t="s">
        <v>53</v>
      </c>
    </row>
    <row r="17" spans="1:3" ht="14.4">
      <c r="A17" s="3214"/>
      <c r="B17" s="3212"/>
      <c r="C17" s="1167" t="s">
        <v>55</v>
      </c>
    </row>
    <row r="18" spans="1:3" ht="14.4">
      <c r="A18" s="3214"/>
      <c r="B18" s="3212"/>
      <c r="C18" s="1167" t="s">
        <v>56</v>
      </c>
    </row>
    <row r="19" spans="1:3" ht="14.4">
      <c r="A19" s="3214"/>
      <c r="B19" s="3210" t="s">
        <v>57</v>
      </c>
      <c r="C19" s="3211"/>
    </row>
    <row r="20" spans="1:3" ht="14.4">
      <c r="A20" s="1168" t="s">
        <v>58</v>
      </c>
      <c r="B20" s="1169"/>
      <c r="C20" s="1170"/>
    </row>
    <row r="21" spans="1:3" ht="14.4">
      <c r="A21" s="3213" t="s">
        <v>59</v>
      </c>
      <c r="B21" s="3210" t="s">
        <v>60</v>
      </c>
      <c r="C21" s="3211"/>
    </row>
    <row r="22" spans="1:3" ht="14.4">
      <c r="A22" s="3213"/>
      <c r="B22" s="3210" t="s">
        <v>61</v>
      </c>
      <c r="C22" s="3211"/>
    </row>
    <row r="23" spans="1:3" ht="14.4">
      <c r="A23" s="3213"/>
      <c r="B23" s="3210" t="s">
        <v>62</v>
      </c>
      <c r="C23" s="3211"/>
    </row>
    <row r="24" spans="1:3" ht="14.4">
      <c r="A24" s="3213"/>
      <c r="B24" s="3216" t="s">
        <v>63</v>
      </c>
      <c r="C24" s="1171" t="s">
        <v>837</v>
      </c>
    </row>
    <row r="25" spans="1:3" ht="14.4">
      <c r="A25" s="3213"/>
      <c r="B25" s="3217"/>
      <c r="C25" s="1171" t="s">
        <v>838</v>
      </c>
    </row>
    <row r="26" spans="1:3" ht="14.4">
      <c r="A26" s="3213"/>
      <c r="B26" s="3217"/>
      <c r="C26" s="1171" t="s">
        <v>839</v>
      </c>
    </row>
    <row r="27" spans="1:3" ht="14.4">
      <c r="A27" s="3213"/>
      <c r="B27" s="3217"/>
      <c r="C27" s="1171" t="s">
        <v>840</v>
      </c>
    </row>
    <row r="28" spans="1:3" ht="14.4">
      <c r="A28" s="3213"/>
      <c r="B28" s="3217"/>
      <c r="C28" s="1171" t="s">
        <v>841</v>
      </c>
    </row>
    <row r="29" spans="1:3" ht="14.4">
      <c r="A29" s="3213"/>
      <c r="B29" s="3217"/>
      <c r="C29" s="1171" t="s">
        <v>842</v>
      </c>
    </row>
    <row r="30" spans="1:3" ht="14.4">
      <c r="A30" s="3213"/>
      <c r="B30" s="3217"/>
      <c r="C30" s="1171" t="s">
        <v>843</v>
      </c>
    </row>
    <row r="31" spans="1:3" ht="14.4">
      <c r="A31" s="3213"/>
      <c r="B31" s="3217"/>
      <c r="C31" s="1171" t="s">
        <v>844</v>
      </c>
    </row>
    <row r="32" spans="1:3" ht="14.4">
      <c r="A32" s="3213"/>
      <c r="B32" s="3217"/>
      <c r="C32" s="1171" t="s">
        <v>1646</v>
      </c>
    </row>
    <row r="33" spans="1:3" ht="14.4">
      <c r="A33" s="3213"/>
      <c r="B33" s="3207" t="s">
        <v>1652</v>
      </c>
      <c r="C33" s="1171" t="s">
        <v>1647</v>
      </c>
    </row>
    <row r="34" spans="1:3" ht="14.4">
      <c r="A34" s="3213"/>
      <c r="B34" s="3208"/>
      <c r="C34" s="1176" t="s">
        <v>1648</v>
      </c>
    </row>
    <row r="35" spans="1:3" ht="14.4">
      <c r="A35" s="3213"/>
      <c r="B35" s="3208"/>
      <c r="C35" s="1177" t="s">
        <v>1649</v>
      </c>
    </row>
    <row r="36" spans="1:3" ht="14.4">
      <c r="A36" s="3213"/>
      <c r="B36" s="3208"/>
      <c r="C36" s="1177" t="s">
        <v>1650</v>
      </c>
    </row>
    <row r="37" spans="1:3" ht="14.4">
      <c r="A37" s="3213"/>
      <c r="B37" s="320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43776</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t="s">
        <v>1915</v>
      </c>
      <c r="B5" s="3125">
        <f ca="1">IF(C5&lt;B2,"已过期",1119970074)</f>
        <v>1119970074</v>
      </c>
      <c r="C5" s="3127">
        <v>43849</v>
      </c>
      <c r="D5" s="3125" t="s">
        <v>1915</v>
      </c>
      <c r="E5" s="3125">
        <f ca="1">IF(F5&lt;B2,"已过期",2002110027)</f>
        <v>2002110027</v>
      </c>
      <c r="F5" s="3128">
        <v>46752</v>
      </c>
    </row>
    <row r="6" spans="1:6" ht="20.25" customHeight="1">
      <c r="A6" s="3125" t="s">
        <v>1916</v>
      </c>
      <c r="B6" s="3125">
        <f ca="1">IF(C6&lt;B2,"已过期",1119970111)</f>
        <v>1119970111</v>
      </c>
      <c r="C6" s="3127">
        <v>43849</v>
      </c>
      <c r="D6" s="3125" t="s">
        <v>1916</v>
      </c>
      <c r="E6" s="3125">
        <f ca="1">IF(F6&lt;B2,"已过期",94010078)</f>
        <v>94010078</v>
      </c>
      <c r="F6" s="3128">
        <v>46387</v>
      </c>
    </row>
    <row r="7" spans="1:6" ht="20.25" customHeight="1">
      <c r="A7" s="3125" t="s">
        <v>1917</v>
      </c>
      <c r="B7" s="3125">
        <f ca="1">IF(C7&lt;B2,"已过期",1120050019)</f>
        <v>1120050019</v>
      </c>
      <c r="C7" s="3127">
        <v>44395</v>
      </c>
      <c r="D7" s="3125" t="s">
        <v>1917</v>
      </c>
      <c r="E7" s="3125">
        <f ca="1">IF(F7&lt;B2,"已过期",2002110030)</f>
        <v>2002110030</v>
      </c>
      <c r="F7" s="3128">
        <v>46387</v>
      </c>
    </row>
    <row r="8" spans="1:6" ht="20.25" customHeight="1">
      <c r="A8" s="3125" t="s">
        <v>1918</v>
      </c>
      <c r="B8" s="3125">
        <f ca="1">IF(C8&lt;B2,"已过期",1120000080)</f>
        <v>1120000080</v>
      </c>
      <c r="C8" s="3127">
        <v>43849</v>
      </c>
      <c r="D8" s="3125" t="s">
        <v>1918</v>
      </c>
      <c r="E8" s="3125">
        <f ca="1">IF(F8&lt;B2,"已过期",2000110082)</f>
        <v>2000110082</v>
      </c>
      <c r="F8" s="3128">
        <v>46387</v>
      </c>
    </row>
    <row r="9" spans="1:6" ht="20.25" customHeight="1">
      <c r="A9" s="3125" t="s">
        <v>1919</v>
      </c>
      <c r="B9" s="3125">
        <f ca="1">IF(C9&lt;B2,"已过期",1419970001)</f>
        <v>1419970001</v>
      </c>
      <c r="C9" s="3127">
        <v>43867</v>
      </c>
      <c r="D9" s="3125" t="s">
        <v>1919</v>
      </c>
      <c r="E9" s="3125">
        <f ca="1">IF(F9&lt;B2,"已过期",2002110125)</f>
        <v>2002110125</v>
      </c>
      <c r="F9" s="3128">
        <v>47118</v>
      </c>
    </row>
    <row r="10" spans="1:6" ht="20.25" customHeight="1">
      <c r="A10" s="3125" t="s">
        <v>1920</v>
      </c>
      <c r="B10" s="3125">
        <f ca="1">IF(C10&lt;B2,"已过期",1120060040)</f>
        <v>1120060040</v>
      </c>
      <c r="C10" s="3127">
        <v>44554</v>
      </c>
      <c r="D10" s="3125" t="s">
        <v>1920</v>
      </c>
      <c r="E10" s="3125">
        <f ca="1">IF(F10&lt;B2,"已过期",2004110096)</f>
        <v>2004110096</v>
      </c>
      <c r="F10" s="3128">
        <v>47118</v>
      </c>
    </row>
    <row r="11" spans="1:6" ht="20.25" customHeight="1">
      <c r="A11" s="3125" t="s">
        <v>1921</v>
      </c>
      <c r="B11" s="3125">
        <f ca="1">IF(C11&lt;B2,"已过期",1120100036)</f>
        <v>1120100036</v>
      </c>
      <c r="C11" s="3127">
        <v>44675</v>
      </c>
      <c r="D11" s="3125" t="s">
        <v>1921</v>
      </c>
      <c r="E11" s="3125">
        <f ca="1">IF(F11&lt;B2,"已过期",2010110070)</f>
        <v>2010110070</v>
      </c>
      <c r="F11" s="3128">
        <v>47907</v>
      </c>
    </row>
    <row r="12" spans="1:6" ht="20.25" customHeight="1">
      <c r="A12" s="3125"/>
      <c r="B12" s="3125"/>
      <c r="C12" s="3127"/>
      <c r="D12" s="3125"/>
      <c r="E12" s="3125"/>
      <c r="F12" s="3128"/>
    </row>
    <row r="13" spans="1:6" ht="20.25" customHeight="1">
      <c r="A13" s="3125" t="s">
        <v>1922</v>
      </c>
      <c r="B13" s="3125">
        <f ca="1">IF(C13&lt;B2,"已过期",1120070131)</f>
        <v>1120070131</v>
      </c>
      <c r="C13" s="3127">
        <v>43814</v>
      </c>
      <c r="D13" s="3125" t="s">
        <v>1922</v>
      </c>
      <c r="E13" s="3125">
        <f ca="1">IF(F13&lt;B2,"已过期",2014110011)</f>
        <v>2014110011</v>
      </c>
      <c r="F13" s="3128">
        <v>49302</v>
      </c>
    </row>
    <row r="14" spans="1:6" ht="20.25" customHeight="1">
      <c r="A14" s="3125" t="s">
        <v>2977</v>
      </c>
      <c r="B14" s="3125">
        <f ca="1">IF(C14&lt;B2,"已过期",1120040230)</f>
        <v>1120040230</v>
      </c>
      <c r="C14" s="3129">
        <v>43835</v>
      </c>
      <c r="D14" s="3130" t="s">
        <v>2978</v>
      </c>
      <c r="E14" s="3125">
        <f ca="1">IF(F14&lt;B2,"已过期",98030020)</f>
        <v>98030020</v>
      </c>
      <c r="F14" s="3128">
        <v>47118</v>
      </c>
    </row>
    <row r="15" spans="1:6" ht="20.25" customHeight="1">
      <c r="A15" s="3125" t="s">
        <v>2574</v>
      </c>
      <c r="B15" s="3125">
        <f ca="1">IF(C15&lt;B2,"已过期",1120070085)</f>
        <v>1120070085</v>
      </c>
      <c r="C15" s="3129">
        <v>43814</v>
      </c>
      <c r="D15" s="3125" t="s">
        <v>2979</v>
      </c>
      <c r="E15" s="3125">
        <f ca="1">IF(F15&lt;B2,"已过期",2004110128)</f>
        <v>2004110128</v>
      </c>
      <c r="F15" s="3131">
        <v>47118</v>
      </c>
    </row>
    <row r="16" spans="1:6" ht="20.25" customHeight="1">
      <c r="A16" s="3125" t="s">
        <v>1923</v>
      </c>
      <c r="B16" s="3125">
        <f ca="1">IF(C16&lt;B2,"已过期",1120140022)</f>
        <v>1120140022</v>
      </c>
      <c r="C16" s="3127">
        <v>44029</v>
      </c>
      <c r="D16" s="3125" t="s">
        <v>2980</v>
      </c>
      <c r="E16" s="3125">
        <f ca="1">IF(F16&lt;B2,"已过期",2008110059)</f>
        <v>2008110059</v>
      </c>
      <c r="F16" s="3128">
        <v>47177</v>
      </c>
    </row>
    <row r="17" spans="1:7" ht="20.25" customHeight="1">
      <c r="A17" s="3125"/>
      <c r="B17" s="3125"/>
      <c r="C17" s="3127"/>
      <c r="D17" s="3130" t="s">
        <v>2981</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1924</v>
      </c>
      <c r="E21" s="3125">
        <f ca="1">IF(F21&lt;B2,"已过期",2011110090)</f>
        <v>2011110090</v>
      </c>
      <c r="F21" s="3128">
        <v>48302</v>
      </c>
    </row>
    <row r="22" spans="1:7" ht="20.25" customHeight="1">
      <c r="A22" s="3125" t="s">
        <v>1925</v>
      </c>
      <c r="B22" s="3125">
        <f ca="1">IF(C22&lt;B2,"已过期",1120020033)</f>
        <v>1120020033</v>
      </c>
      <c r="C22" s="3127">
        <v>44339</v>
      </c>
      <c r="D22" s="3125" t="s">
        <v>1925</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2053</v>
      </c>
      <c r="B24" s="3124" t="s">
        <v>2053</v>
      </c>
      <c r="C24" s="3127"/>
      <c r="D24" s="3132" t="s">
        <v>2053</v>
      </c>
      <c r="E24" s="3124" t="s">
        <v>2053</v>
      </c>
      <c r="F24" s="3131"/>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0" customFormat="1" ht="20.25" customHeight="1">
      <c r="A27" s="3134" t="s">
        <v>1929</v>
      </c>
      <c r="B27" s="3135" t="s">
        <v>1930</v>
      </c>
      <c r="C27" s="3135" t="s">
        <v>1931</v>
      </c>
      <c r="D27" s="3125" t="s">
        <v>1929</v>
      </c>
      <c r="E27" s="3135" t="s">
        <v>1930</v>
      </c>
      <c r="F27" s="3135" t="s">
        <v>1931</v>
      </c>
    </row>
    <row r="28" spans="1:7" s="3120" customFormat="1" ht="20.25" customHeight="1">
      <c r="A28" s="3136" t="s">
        <v>1932</v>
      </c>
      <c r="B28" s="3136" t="s">
        <v>1933</v>
      </c>
      <c r="C28" s="3128">
        <v>43725</v>
      </c>
      <c r="D28" s="3136" t="s">
        <v>1934</v>
      </c>
      <c r="E28" s="3136" t="s">
        <v>1935</v>
      </c>
      <c r="F28" s="3137">
        <v>44377</v>
      </c>
    </row>
    <row r="29" spans="1:7" s="3120" customFormat="1" ht="20.25" customHeight="1">
      <c r="A29" s="3136"/>
      <c r="B29" s="3136"/>
      <c r="C29" s="3138"/>
      <c r="D29" s="3136" t="s">
        <v>1936</v>
      </c>
      <c r="E29" s="3136" t="s">
        <v>2989</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58" t="s">
        <v>2951</v>
      </c>
      <c r="C18" s="1539"/>
    </row>
    <row r="19" spans="1:3" ht="14.4">
      <c r="A19" s="8" t="s">
        <v>120</v>
      </c>
      <c r="B19" s="3058" t="s">
        <v>2959</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陕西省西安市电子城街道办事处北沈家桥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2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7日，在规划利用条件下、设定土地开发程度为红线外“七通”、宗地内场地，设定用途为，剩余土地使用年限为的出让国有建设用地使用权价格。</v>
      </c>
      <c r="D53" s="1751"/>
      <c r="E53" s="1751"/>
    </row>
    <row r="54" spans="1:5">
      <c r="A54" s="322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157</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土地案例</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不动产比较法-叠拼</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'不动产比较法-洋房'!住宅朝向</vt:lpstr>
      <vt:lpstr>住宅朝向</vt:lpstr>
      <vt:lpstr>'不动产比较法-叠拼'!住宅房型</vt:lpstr>
      <vt:lpstr>'不动产比较法-洋房'!住宅房型</vt:lpstr>
      <vt:lpstr>住宅房型</vt:lpstr>
      <vt:lpstr>'不动产比较法-叠拼'!住宅公共部分装修</vt:lpstr>
      <vt:lpstr>'不动产比较法-洋房'!住宅公共部分装修</vt:lpstr>
      <vt:lpstr>住宅公共部分装修</vt:lpstr>
      <vt:lpstr>'不动产比较法-叠拼'!住宅基础设施水平</vt:lpstr>
      <vt:lpstr>'不动产比较法-洋房'!住宅基础设施水平</vt:lpstr>
      <vt:lpstr>住宅基础设施水平</vt:lpstr>
      <vt:lpstr>'不动产比较法-叠拼'!住宅建筑结构</vt:lpstr>
      <vt:lpstr>'不动产比较法-洋房'!住宅建筑结构</vt:lpstr>
      <vt:lpstr>住宅建筑结构</vt:lpstr>
      <vt:lpstr>'不动产比较法-叠拼'!住宅建筑类型</vt:lpstr>
      <vt:lpstr>'不动产比较法-洋房'!住宅建筑类型</vt:lpstr>
      <vt:lpstr>住宅建筑类型</vt:lpstr>
      <vt:lpstr>'不动产比较法-叠拼'!住宅建筑品质</vt:lpstr>
      <vt:lpstr>'不动产比较法-洋房'!住宅建筑品质</vt:lpstr>
      <vt:lpstr>住宅建筑品质</vt:lpstr>
      <vt:lpstr>'不动产比较法-叠拼'!住宅交易情况</vt:lpstr>
      <vt:lpstr>'不动产比较法-洋房'!住宅交易情况</vt:lpstr>
      <vt:lpstr>住宅交易情况</vt:lpstr>
      <vt:lpstr>'不动产比较法-叠拼'!住宅楼层</vt:lpstr>
      <vt:lpstr>'不动产比较法-洋房'!住宅楼层</vt:lpstr>
      <vt:lpstr>住宅楼层</vt:lpstr>
      <vt:lpstr>'不动产比较法-叠拼'!住宅内部装修</vt:lpstr>
      <vt:lpstr>'不动产比较法-洋房'!住宅内部装修</vt:lpstr>
      <vt:lpstr>住宅内部装修</vt:lpstr>
      <vt:lpstr>'不动产比较法-叠拼'!住宅物业管理</vt:lpstr>
      <vt:lpstr>'不动产比较法-洋房'!住宅物业管理</vt:lpstr>
      <vt:lpstr>住宅物业管理</vt:lpstr>
      <vt:lpstr>'不动产比较法-叠拼'!住宅用途</vt:lpstr>
      <vt:lpstr>'不动产比较法-洋房'!住宅用途</vt:lpstr>
      <vt:lpstr>住宅用途</vt:lpstr>
      <vt:lpstr>'不动产比较法-叠拼'!住宅主力户型面积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2019-11-07T02:54:16Z</dcterms:modified>
</cp:coreProperties>
</file>