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72-永丰土地\建行取值版\"/>
    </mc:Choice>
  </mc:AlternateContent>
  <xr:revisionPtr revIDLastSave="0" documentId="13_ncr:1_{8EDAFE44-0940-40E4-A99C-628205E75B74}" xr6:coauthVersionLast="47" xr6:coauthVersionMax="47" xr10:uidLastSave="{00000000-0000-0000-0000-000000000000}"/>
  <bookViews>
    <workbookView xWindow="-120" yWindow="-120" windowWidth="21840" windowHeight="13140"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K18" i="66" l="1"/>
  <c r="B37" i="9" l="1"/>
  <c r="C40" i="39" l="1"/>
  <c r="G34" i="1" l="1"/>
  <c r="B31" i="66"/>
  <c r="B30" i="66"/>
  <c r="B32" i="66" l="1"/>
  <c r="E30" i="66"/>
  <c r="D31" i="66"/>
  <c r="D30" i="66"/>
  <c r="C31" i="66"/>
  <c r="C30" i="66"/>
  <c r="D29" i="66"/>
  <c r="C29" i="66"/>
  <c r="D28" i="66"/>
  <c r="C28" i="66"/>
  <c r="E31" i="66"/>
  <c r="E29" i="66"/>
  <c r="A31" i="66"/>
  <c r="A30" i="66"/>
  <c r="A29" i="66"/>
  <c r="A28" i="66"/>
  <c r="C32" i="66" l="1"/>
  <c r="D32" i="66"/>
  <c r="D33" i="66" s="1"/>
  <c r="G17" i="66" l="1"/>
  <c r="J18" i="66" l="1"/>
  <c r="E5" i="66"/>
  <c r="C17" i="66"/>
  <c r="B17" i="66"/>
  <c r="D17" i="66" l="1"/>
  <c r="C16" i="66" l="1"/>
  <c r="B16" i="66"/>
  <c r="C15" i="66" l="1"/>
  <c r="B15" i="66"/>
  <c r="D15" i="66" l="1"/>
  <c r="G15" i="66" l="1"/>
  <c r="E48" i="39" l="1"/>
  <c r="L14" i="1"/>
  <c r="D38" i="9" l="1"/>
  <c r="C38" i="9"/>
  <c r="C37" i="9"/>
  <c r="AH8" i="1"/>
  <c r="I37" i="35"/>
  <c r="I31" i="35"/>
  <c r="G31" i="35"/>
  <c r="G37" i="35"/>
  <c r="E31" i="35"/>
  <c r="E37" i="35"/>
  <c r="K34" i="72"/>
  <c r="I48" i="72" l="1"/>
  <c r="J46" i="72" s="1"/>
  <c r="J48" i="72" s="1"/>
  <c r="I47" i="72"/>
  <c r="J45" i="72" s="1"/>
  <c r="J47" i="72" s="1"/>
  <c r="I46" i="72"/>
  <c r="I45" i="72"/>
  <c r="K23" i="21"/>
  <c r="K20" i="36" s="1"/>
  <c r="K20" i="35" s="1"/>
  <c r="K19" i="21"/>
  <c r="K16" i="36" s="1"/>
  <c r="K16" i="35" s="1"/>
  <c r="K17" i="21"/>
  <c r="K14" i="36" s="1"/>
  <c r="K14" i="35" s="1"/>
  <c r="D104" i="21"/>
  <c r="E104" i="21" s="1"/>
  <c r="F104" i="21" s="1"/>
  <c r="I48" i="39" l="1"/>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E37" i="9" s="1"/>
  <c r="L74" i="72"/>
  <c r="M26" i="72" s="1"/>
  <c r="AN13" i="3" s="1"/>
  <c r="M18" i="72"/>
  <c r="AL13" i="3" s="1"/>
  <c r="M11" i="72"/>
  <c r="I13" i="3" s="1"/>
  <c r="F19" i="6"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E38" i="9" s="1"/>
  <c r="G35" i="9" s="1"/>
  <c r="E28" i="66" s="1"/>
  <c r="E32" i="66" s="1"/>
  <c r="H102" i="72"/>
  <c r="B57" i="72"/>
  <c r="B102" i="72"/>
  <c r="B79" i="72"/>
  <c r="B82" i="72"/>
  <c r="B55" i="72"/>
  <c r="B74" i="72"/>
  <c r="C110" i="72"/>
  <c r="E110" i="72" s="1"/>
  <c r="E113" i="72" s="1"/>
  <c r="G113" i="72" s="1"/>
  <c r="C113" i="72"/>
  <c r="D107" i="72"/>
  <c r="E114" i="72" l="1"/>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F48" i="59"/>
  <c r="F49" i="59" s="1"/>
  <c r="V49" i="59" s="1"/>
  <c r="D43" i="59"/>
  <c r="D47" i="59"/>
  <c r="D59" i="59"/>
  <c r="C64" i="59"/>
  <c r="Q68" i="59"/>
  <c r="C68" i="59"/>
  <c r="Q69" i="59"/>
  <c r="D73" i="59"/>
  <c r="C76" i="59"/>
  <c r="C80" i="59"/>
  <c r="D80" i="59" s="1"/>
  <c r="E80" i="59"/>
  <c r="E79" i="59"/>
  <c r="D81" i="59"/>
  <c r="C88" i="59"/>
  <c r="D88" i="59" s="1"/>
  <c r="U16" i="4"/>
  <c r="S16" i="4"/>
  <c r="Q16" i="4"/>
  <c r="R16" i="4" s="1"/>
  <c r="O16" i="4"/>
  <c r="M16" i="4"/>
  <c r="K16" i="4"/>
  <c r="C87" i="59"/>
  <c r="D87" i="59" s="1"/>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L531" i="3" s="1"/>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A540" i="3" s="1"/>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L547" i="3" s="1"/>
  <c r="BP547" i="3"/>
  <c r="BQ547" i="3"/>
  <c r="BR547" i="3"/>
  <c r="BS547" i="3"/>
  <c r="BT547" i="3"/>
  <c r="H548" i="3"/>
  <c r="AC548" i="3"/>
  <c r="BB548" i="3"/>
  <c r="BA548" i="3" s="1"/>
  <c r="BC548" i="3"/>
  <c r="BD548" i="3"/>
  <c r="BE548" i="3"/>
  <c r="BF548" i="3"/>
  <c r="BG548" i="3"/>
  <c r="BH548" i="3"/>
  <c r="BI548" i="3"/>
  <c r="BJ548" i="3"/>
  <c r="BK548" i="3"/>
  <c r="BM548" i="3"/>
  <c r="BN548" i="3"/>
  <c r="BO548" i="3"/>
  <c r="BL548" i="3" s="1"/>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J26" i="37"/>
  <c r="AC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J12" i="36"/>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F28" i="21" s="1"/>
  <c r="B90" i="21"/>
  <c r="J27" i="21" s="1"/>
  <c r="W27" i="21" s="1"/>
  <c r="B74" i="21"/>
  <c r="B72" i="21"/>
  <c r="F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AC38" i="21" s="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W33" i="33"/>
  <c r="U38" i="33"/>
  <c r="H39" i="37"/>
  <c r="AB39" i="37"/>
  <c r="W10" i="40"/>
  <c r="U11" i="40"/>
  <c r="U36" i="40"/>
  <c r="S40" i="39"/>
  <c r="U36" i="39"/>
  <c r="H32" i="33"/>
  <c r="AB32" i="33"/>
  <c r="F85" i="40"/>
  <c r="G85" i="40" s="1"/>
  <c r="J27" i="36"/>
  <c r="W27" i="36" s="1"/>
  <c r="J34" i="36"/>
  <c r="J30" i="35"/>
  <c r="W30" i="35" s="1"/>
  <c r="F22" i="35"/>
  <c r="S22" i="35" s="1"/>
  <c r="H10" i="35"/>
  <c r="U10" i="35" s="1"/>
  <c r="J29" i="36"/>
  <c r="AC29" i="36" s="1"/>
  <c r="F12" i="36"/>
  <c r="S12" i="36"/>
  <c r="F34" i="36"/>
  <c r="H16" i="35"/>
  <c r="U16" i="35" s="1"/>
  <c r="H33" i="35"/>
  <c r="AB33" i="35" s="1"/>
  <c r="W8" i="35"/>
  <c r="AC8" i="35"/>
  <c r="F35" i="37"/>
  <c r="S35" i="37" s="1"/>
  <c r="J34" i="37"/>
  <c r="W34" i="37" s="1"/>
  <c r="H43" i="34"/>
  <c r="U42" i="34"/>
  <c r="E114" i="34"/>
  <c r="H36" i="34"/>
  <c r="U36" i="34" s="1"/>
  <c r="F37" i="34"/>
  <c r="AA37" i="34" s="1"/>
  <c r="F33" i="34"/>
  <c r="F19" i="34"/>
  <c r="AA19" i="34" s="1"/>
  <c r="J10" i="34"/>
  <c r="AC10" i="34" s="1"/>
  <c r="S38" i="33"/>
  <c r="E113" i="33"/>
  <c r="F113" i="33" s="1"/>
  <c r="G113" i="33" s="1"/>
  <c r="H113" i="33" s="1"/>
  <c r="I113" i="33" s="1"/>
  <c r="J113" i="33" s="1"/>
  <c r="K113" i="33" s="1"/>
  <c r="L113" i="33" s="1"/>
  <c r="M113" i="33" s="1"/>
  <c r="F36" i="33"/>
  <c r="S36" i="33" s="1"/>
  <c r="F19" i="33"/>
  <c r="S19" i="33"/>
  <c r="J19" i="33"/>
  <c r="W19" i="33" s="1"/>
  <c r="W40" i="33"/>
  <c r="F125" i="21"/>
  <c r="G125" i="21" s="1"/>
  <c r="H29" i="35"/>
  <c r="AB29" i="35" s="1"/>
  <c r="S34" i="37"/>
  <c r="AA34" i="37"/>
  <c r="AC43" i="34"/>
  <c r="AB40" i="34"/>
  <c r="W36" i="34"/>
  <c r="J19" i="34"/>
  <c r="AC19" i="34" s="1"/>
  <c r="H37" i="33"/>
  <c r="AB37" i="33"/>
  <c r="S37" i="33"/>
  <c r="W43" i="34"/>
  <c r="AC42" i="34"/>
  <c r="W42" i="34"/>
  <c r="W38" i="34"/>
  <c r="AA38" i="34"/>
  <c r="S38" i="34"/>
  <c r="J37" i="33"/>
  <c r="W37" i="33" s="1"/>
  <c r="J42" i="21"/>
  <c r="AC42" i="21" s="1"/>
  <c r="J44" i="34"/>
  <c r="F44" i="34"/>
  <c r="S44" i="34" s="1"/>
  <c r="J10" i="35"/>
  <c r="W10" i="35" s="1"/>
  <c r="AL5" i="3"/>
  <c r="BQ13" i="3"/>
  <c r="J14" i="21"/>
  <c r="AC14" i="21" s="1"/>
  <c r="F14" i="21"/>
  <c r="AA14" i="21" s="1"/>
  <c r="H14" i="21"/>
  <c r="U14" i="21" s="1"/>
  <c r="H28" i="21"/>
  <c r="AB28" i="21" s="1"/>
  <c r="J28" i="21"/>
  <c r="AC28" i="21" s="1"/>
  <c r="H30" i="21"/>
  <c r="U30" i="21" s="1"/>
  <c r="F30" i="21"/>
  <c r="S30" i="21" s="1"/>
  <c r="J30" i="21"/>
  <c r="J44" i="21"/>
  <c r="W44" i="21" s="1"/>
  <c r="H44" i="21"/>
  <c r="U44" i="21" s="1"/>
  <c r="F44" i="21"/>
  <c r="AA44" i="21" s="1"/>
  <c r="H46" i="21"/>
  <c r="AB46" i="21" s="1"/>
  <c r="J46" i="21"/>
  <c r="W46" i="21" s="1"/>
  <c r="F46" i="21"/>
  <c r="S46" i="21" s="1"/>
  <c r="AA46" i="2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J27" i="33"/>
  <c r="AC27" i="33" s="1"/>
  <c r="F27" i="33"/>
  <c r="S27" i="33"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W14" i="21"/>
  <c r="S46" i="33"/>
  <c r="U36" i="37"/>
  <c r="AB27" i="33"/>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c r="BQ542" i="3"/>
  <c r="BQ568" i="3"/>
  <c r="BL568" i="3" s="1"/>
  <c r="AZ568" i="3" s="1"/>
  <c r="BQ566" i="3"/>
  <c r="BQ564" i="3"/>
  <c r="BL564" i="3" s="1"/>
  <c r="BQ562" i="3"/>
  <c r="BL562" i="3" s="1"/>
  <c r="AZ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AA13" i="33"/>
  <c r="F43" i="33"/>
  <c r="AA43" i="33" s="1"/>
  <c r="AA9" i="21"/>
  <c r="H19" i="34"/>
  <c r="AB19" i="34"/>
  <c r="J10" i="37"/>
  <c r="AC10" i="37" s="1"/>
  <c r="J9" i="37"/>
  <c r="W9" i="37" s="1"/>
  <c r="H9" i="37"/>
  <c r="U9" i="37" s="1"/>
  <c r="F9" i="37"/>
  <c r="S9" i="37" s="1"/>
  <c r="F11" i="37"/>
  <c r="S11" i="37" s="1"/>
  <c r="J12" i="37"/>
  <c r="AC12" i="37" s="1"/>
  <c r="H12" i="37"/>
  <c r="U12" i="37" s="1"/>
  <c r="AB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BL373" i="3"/>
  <c r="G374" i="3"/>
  <c r="G377" i="3"/>
  <c r="BL378" i="3"/>
  <c r="BA380" i="3"/>
  <c r="BA381" i="3"/>
  <c r="BL381" i="3"/>
  <c r="G382" i="3"/>
  <c r="G385" i="3"/>
  <c r="G523" i="3"/>
  <c r="BL297" i="3"/>
  <c r="AZ297" i="3" s="1"/>
  <c r="G298" i="3"/>
  <c r="BA300" i="3"/>
  <c r="AZ300" i="3" s="1"/>
  <c r="BL301" i="3"/>
  <c r="G302" i="3"/>
  <c r="BA304" i="3"/>
  <c r="BL305" i="3"/>
  <c r="G306" i="3"/>
  <c r="BA308" i="3"/>
  <c r="BL309" i="3"/>
  <c r="G310" i="3"/>
  <c r="BA310" i="3"/>
  <c r="BL311" i="3"/>
  <c r="AZ311" i="3" s="1"/>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c r="W37" i="37"/>
  <c r="AA30" i="33"/>
  <c r="U32" i="33"/>
  <c r="AB17" i="37"/>
  <c r="AA45" i="33"/>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AC25" i="37"/>
  <c r="W26" i="37"/>
  <c r="AB29" i="37"/>
  <c r="AA30" i="37"/>
  <c r="AC30" i="37"/>
  <c r="AC31" i="37"/>
  <c r="W31" i="37"/>
  <c r="AB14" i="37"/>
  <c r="F17" i="39"/>
  <c r="AA17" i="39" s="1"/>
  <c r="H17" i="39"/>
  <c r="U17" i="39" s="1"/>
  <c r="J17" i="39"/>
  <c r="W17" i="39" s="1"/>
  <c r="F21" i="39"/>
  <c r="S21" i="39" s="1"/>
  <c r="H21" i="39"/>
  <c r="AB21" i="39" s="1"/>
  <c r="J21" i="39"/>
  <c r="F33" i="39"/>
  <c r="H33" i="39"/>
  <c r="J33" i="39"/>
  <c r="F44" i="39"/>
  <c r="S44" i="39" s="1"/>
  <c r="H44" i="39"/>
  <c r="U44" i="39" s="1"/>
  <c r="J44" i="39"/>
  <c r="W44" i="39" s="1"/>
  <c r="F46" i="39"/>
  <c r="S46" i="39" s="1"/>
  <c r="H46" i="39"/>
  <c r="J46" i="39"/>
  <c r="F29" i="39"/>
  <c r="AA29" i="39" s="1"/>
  <c r="E102" i="39"/>
  <c r="F102" i="39" s="1"/>
  <c r="G102" i="39" s="1"/>
  <c r="H29" i="39"/>
  <c r="U29" i="39" s="1"/>
  <c r="F34" i="39"/>
  <c r="AA34" i="39" s="1"/>
  <c r="H34" i="39"/>
  <c r="AB34" i="39" s="1"/>
  <c r="J34" i="39"/>
  <c r="F39" i="39"/>
  <c r="AA39" i="39" s="1"/>
  <c r="H39" i="39"/>
  <c r="J39" i="39"/>
  <c r="W30" i="36"/>
  <c r="AC30" i="36"/>
  <c r="F37" i="39"/>
  <c r="S37" i="39" s="1"/>
  <c r="H37" i="39"/>
  <c r="AB37" i="39" s="1"/>
  <c r="U37" i="39"/>
  <c r="J37" i="39"/>
  <c r="BA568" i="3"/>
  <c r="BL567" i="3"/>
  <c r="BA567" i="3"/>
  <c r="BL566" i="3"/>
  <c r="BL565" i="3"/>
  <c r="AZ565" i="3" s="1"/>
  <c r="BA564" i="3"/>
  <c r="AZ564" i="3" s="1"/>
  <c r="BA563" i="3"/>
  <c r="BL554" i="3"/>
  <c r="BA553" i="3"/>
  <c r="BA552" i="3"/>
  <c r="AZ552" i="3" s="1"/>
  <c r="BL549" i="3"/>
  <c r="BA539" i="3"/>
  <c r="BA538" i="3"/>
  <c r="BA537" i="3"/>
  <c r="BA535" i="3"/>
  <c r="AZ535" i="3" s="1"/>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BA507" i="3"/>
  <c r="AZ507" i="3"/>
  <c r="BA506" i="3"/>
  <c r="BL505" i="3"/>
  <c r="BL504" i="3"/>
  <c r="BA503" i="3"/>
  <c r="AZ503" i="3" s="1"/>
  <c r="BA500" i="3"/>
  <c r="AZ500" i="3" s="1"/>
  <c r="BL499" i="3"/>
  <c r="BL498" i="3"/>
  <c r="AZ498" i="3"/>
  <c r="BL497" i="3"/>
  <c r="BA496" i="3"/>
  <c r="BA495" i="3"/>
  <c r="AZ495" i="3" s="1"/>
  <c r="BA494" i="3"/>
  <c r="BL490" i="3"/>
  <c r="BA490" i="3"/>
  <c r="AZ490" i="3" s="1"/>
  <c r="BA481" i="3"/>
  <c r="F114" i="34"/>
  <c r="G114" i="34" s="1"/>
  <c r="H114" i="34" s="1"/>
  <c r="I114" i="34" s="1"/>
  <c r="J114" i="34" s="1"/>
  <c r="K114" i="34" s="1"/>
  <c r="L114" i="34" s="1"/>
  <c r="M114" i="34" s="1"/>
  <c r="H38" i="34"/>
  <c r="H30" i="40"/>
  <c r="AB30" i="40" s="1"/>
  <c r="G99" i="40"/>
  <c r="H99" i="40" s="1"/>
  <c r="I99" i="40" s="1"/>
  <c r="J99" i="40" s="1"/>
  <c r="K99" i="40" s="1"/>
  <c r="L99" i="40" s="1"/>
  <c r="M99" i="40" s="1"/>
  <c r="J30" i="40"/>
  <c r="F38" i="40"/>
  <c r="AA38" i="40" s="1"/>
  <c r="AA36" i="34"/>
  <c r="AB33" i="21"/>
  <c r="S35" i="21"/>
  <c r="AB10" i="21"/>
  <c r="AB8" i="21"/>
  <c r="AC36" i="21"/>
  <c r="U8" i="33"/>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AC12" i="36"/>
  <c r="U31" i="36"/>
  <c r="S8" i="37"/>
  <c r="AA8" i="37"/>
  <c r="F14" i="39"/>
  <c r="AA14" i="39" s="1"/>
  <c r="H14" i="39"/>
  <c r="F16" i="39"/>
  <c r="AA16" i="39" s="1"/>
  <c r="H16" i="39"/>
  <c r="U16" i="39" s="1"/>
  <c r="J16" i="39"/>
  <c r="E96" i="39"/>
  <c r="F27" i="39"/>
  <c r="AA27" i="39" s="1"/>
  <c r="F15" i="40"/>
  <c r="AA15" i="40" s="1"/>
  <c r="J15" i="40"/>
  <c r="H15" i="40"/>
  <c r="E91" i="40"/>
  <c r="F91" i="40"/>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J14" i="40"/>
  <c r="W14" i="40" s="1"/>
  <c r="H42" i="40"/>
  <c r="H40" i="40"/>
  <c r="H34" i="40"/>
  <c r="U34" i="40"/>
  <c r="B41" i="1"/>
  <c r="J42" i="40"/>
  <c r="J40" i="40"/>
  <c r="W40" i="40" s="1"/>
  <c r="AC40" i="40"/>
  <c r="J34" i="40"/>
  <c r="AC34" i="40" s="1"/>
  <c r="H16" i="40"/>
  <c r="AB16" i="40" s="1"/>
  <c r="H14" i="40"/>
  <c r="U14" i="40" s="1"/>
  <c r="F32" i="40"/>
  <c r="S32" i="40" s="1"/>
  <c r="AA32" i="40"/>
  <c r="F61" i="46"/>
  <c r="H61" i="46" s="1"/>
  <c r="AZ260" i="3"/>
  <c r="F72" i="46"/>
  <c r="H74" i="46" s="1"/>
  <c r="J13" i="40"/>
  <c r="W13" i="40" s="1"/>
  <c r="AC14" i="40"/>
  <c r="AB37" i="34"/>
  <c r="W41" i="40"/>
  <c r="J23" i="40"/>
  <c r="AC23" i="40" s="1"/>
  <c r="F23" i="40"/>
  <c r="AB16" i="39"/>
  <c r="H15" i="34"/>
  <c r="U15" i="34" s="1"/>
  <c r="J15" i="34"/>
  <c r="AC15" i="34" s="1"/>
  <c r="H41" i="33"/>
  <c r="F30" i="40"/>
  <c r="AA30" i="40" s="1"/>
  <c r="J29" i="39"/>
  <c r="AC29" i="39" s="1"/>
  <c r="G99" i="37"/>
  <c r="H99" i="37" s="1"/>
  <c r="I99" i="37" s="1"/>
  <c r="J99" i="37" s="1"/>
  <c r="K99" i="37" s="1"/>
  <c r="L99" i="37" s="1"/>
  <c r="M99" i="37" s="1"/>
  <c r="F33" i="37"/>
  <c r="AA11" i="34"/>
  <c r="H15" i="33"/>
  <c r="U15" i="33" s="1"/>
  <c r="AB34" i="40"/>
  <c r="H25" i="40"/>
  <c r="F93" i="40"/>
  <c r="G93" i="40" s="1"/>
  <c r="J37" i="34"/>
  <c r="J36" i="33"/>
  <c r="W36" i="33" s="1"/>
  <c r="S41" i="40"/>
  <c r="AA15" i="34"/>
  <c r="AA41" i="33"/>
  <c r="J34" i="33"/>
  <c r="AC34" i="33" s="1"/>
  <c r="U30" i="40"/>
  <c r="AA37" i="39"/>
  <c r="AC39" i="39"/>
  <c r="W39" i="39"/>
  <c r="U34" i="39"/>
  <c r="AC33" i="39"/>
  <c r="W33" i="39"/>
  <c r="AA33" i="39"/>
  <c r="S33" i="39"/>
  <c r="F27" i="34"/>
  <c r="F32" i="37"/>
  <c r="S32" i="37" s="1"/>
  <c r="U32" i="34"/>
  <c r="U12" i="34"/>
  <c r="AB13" i="33"/>
  <c r="F17" i="34"/>
  <c r="AA17" i="34" s="1"/>
  <c r="J17" i="34"/>
  <c r="H11" i="34"/>
  <c r="AB11" i="34" s="1"/>
  <c r="J35" i="33"/>
  <c r="W35" i="33" s="1"/>
  <c r="H11" i="33"/>
  <c r="U11" i="33" s="1"/>
  <c r="H10" i="33"/>
  <c r="U10" i="33" s="1"/>
  <c r="J10" i="33"/>
  <c r="W10" i="33" s="1"/>
  <c r="U11" i="37"/>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S16" i="36"/>
  <c r="AA13" i="35"/>
  <c r="S8" i="35"/>
  <c r="U9" i="35"/>
  <c r="AC18" i="35"/>
  <c r="W18" i="35"/>
  <c r="S30" i="35"/>
  <c r="AA35" i="35"/>
  <c r="AB30" i="35"/>
  <c r="S28" i="35"/>
  <c r="J26" i="35"/>
  <c r="W26" i="35" s="1"/>
  <c r="F26" i="35"/>
  <c r="S26" i="35" s="1"/>
  <c r="H26" i="35"/>
  <c r="U26" i="35" s="1"/>
  <c r="AB9" i="37"/>
  <c r="W12" i="37"/>
  <c r="AA9" i="37"/>
  <c r="AB37" i="37"/>
  <c r="AA31" i="37"/>
  <c r="U32" i="37"/>
  <c r="AA32" i="37"/>
  <c r="J33" i="37"/>
  <c r="W33" i="37" s="1"/>
  <c r="J19" i="37"/>
  <c r="G75" i="37"/>
  <c r="F19" i="37"/>
  <c r="AA19" i="37" s="1"/>
  <c r="H19" i="37"/>
  <c r="U19" i="37" s="1"/>
  <c r="J17" i="37"/>
  <c r="S15" i="37"/>
  <c r="AC21" i="37"/>
  <c r="W21" i="37"/>
  <c r="AC11" i="37"/>
  <c r="W32" i="37"/>
  <c r="U35" i="37"/>
  <c r="U8" i="37"/>
  <c r="AB25" i="37"/>
  <c r="AB21" i="37"/>
  <c r="U21" i="37"/>
  <c r="AA11" i="37"/>
  <c r="W46" i="34"/>
  <c r="AC45" i="34"/>
  <c r="AA40" i="34"/>
  <c r="W33" i="34"/>
  <c r="U30" i="34"/>
  <c r="AC35" i="34"/>
  <c r="U44" i="34"/>
  <c r="U34" i="34"/>
  <c r="J25" i="34"/>
  <c r="W25" i="34" s="1"/>
  <c r="H25" i="34"/>
  <c r="F25" i="34"/>
  <c r="S25" i="34" s="1"/>
  <c r="J23" i="34"/>
  <c r="AC23" i="34" s="1"/>
  <c r="F86" i="34"/>
  <c r="G86" i="34" s="1"/>
  <c r="F23" i="34"/>
  <c r="H23" i="34"/>
  <c r="AB23" i="34" s="1"/>
  <c r="AC11" i="34"/>
  <c r="U11" i="34"/>
  <c r="W19" i="34"/>
  <c r="AC21" i="34"/>
  <c r="W21" i="34"/>
  <c r="AB21" i="34"/>
  <c r="U21" i="34"/>
  <c r="U19" i="34"/>
  <c r="U37" i="33"/>
  <c r="W34" i="33"/>
  <c r="AC35" i="33"/>
  <c r="S29" i="33"/>
  <c r="W43" i="33"/>
  <c r="W39" i="33"/>
  <c r="U35" i="33"/>
  <c r="H25" i="33"/>
  <c r="U25" i="33" s="1"/>
  <c r="AB25" i="33"/>
  <c r="J25" i="33"/>
  <c r="F25" i="33"/>
  <c r="F85" i="33"/>
  <c r="G85" i="33" s="1"/>
  <c r="J23" i="33"/>
  <c r="W23" i="33" s="1"/>
  <c r="F23" i="33"/>
  <c r="AA23" i="33" s="1"/>
  <c r="H23" i="33"/>
  <c r="AB23" i="33" s="1"/>
  <c r="U19" i="33"/>
  <c r="F79" i="33"/>
  <c r="G79" i="33" s="1"/>
  <c r="F17" i="33"/>
  <c r="S17" i="33" s="1"/>
  <c r="H17" i="33"/>
  <c r="U17" i="33" s="1"/>
  <c r="J17" i="33"/>
  <c r="AC21" i="33"/>
  <c r="W21" i="33"/>
  <c r="AB21" i="33"/>
  <c r="U21" i="33"/>
  <c r="AA21" i="33"/>
  <c r="S21" i="33"/>
  <c r="AA36" i="33"/>
  <c r="W28" i="21"/>
  <c r="AC21" i="21"/>
  <c r="W21" i="21"/>
  <c r="AB21" i="21"/>
  <c r="AB29" i="21"/>
  <c r="AA30" i="21"/>
  <c r="U33" i="40"/>
  <c r="S35" i="40"/>
  <c r="S14"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J29" i="40"/>
  <c r="S30" i="40"/>
  <c r="F87" i="40"/>
  <c r="G87" i="40" s="1"/>
  <c r="F19" i="40"/>
  <c r="AA19" i="40" s="1"/>
  <c r="H19" i="40"/>
  <c r="U19" i="40" s="1"/>
  <c r="J19" i="40"/>
  <c r="W17" i="40"/>
  <c r="F17" i="40"/>
  <c r="AA17" i="40" s="1"/>
  <c r="H17" i="40"/>
  <c r="U17" i="40" s="1"/>
  <c r="W21" i="40"/>
  <c r="U10" i="40"/>
  <c r="U27" i="40"/>
  <c r="AB27" i="40"/>
  <c r="S11" i="39"/>
  <c r="AB45" i="39"/>
  <c r="AA21" i="39"/>
  <c r="S14" i="39"/>
  <c r="U31" i="39"/>
  <c r="AB31" i="39"/>
  <c r="S38" i="39"/>
  <c r="D96" i="9"/>
  <c r="A18" i="64"/>
  <c r="B74" i="63" s="1"/>
  <c r="C53" i="10"/>
  <c r="A25" i="64" s="1"/>
  <c r="A18" i="51"/>
  <c r="B14" i="63" s="1"/>
  <c r="BA16" i="3"/>
  <c r="BA17" i="3"/>
  <c r="AZ17" i="3" s="1"/>
  <c r="BD5" i="3"/>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9" i="36"/>
  <c r="W8" i="36"/>
  <c r="AC30" i="35"/>
  <c r="U24" i="35"/>
  <c r="S24" i="35"/>
  <c r="W22" i="35"/>
  <c r="W35" i="37"/>
  <c r="AC33" i="37"/>
  <c r="AA13" i="37"/>
  <c r="S12" i="37"/>
  <c r="W38" i="37"/>
  <c r="S28" i="37"/>
  <c r="W13" i="37"/>
  <c r="W47" i="34"/>
  <c r="AB47" i="34"/>
  <c r="AB13" i="34"/>
  <c r="AC13" i="34"/>
  <c r="AA29" i="34"/>
  <c r="S19" i="34"/>
  <c r="S8" i="34"/>
  <c r="AA19" i="33"/>
  <c r="S43" i="33"/>
  <c r="AB42" i="33"/>
  <c r="S15" i="33"/>
  <c r="W25" i="21"/>
  <c r="AC27" i="21"/>
  <c r="W29" i="21"/>
  <c r="G95" i="40"/>
  <c r="J27" i="40"/>
  <c r="W27" i="40" s="1"/>
  <c r="W37" i="40"/>
  <c r="S34" i="40"/>
  <c r="U38" i="40"/>
  <c r="S40" i="40"/>
  <c r="S42" i="40"/>
  <c r="G104" i="39"/>
  <c r="J31" i="39"/>
  <c r="W31" i="39" s="1"/>
  <c r="S45" i="39"/>
  <c r="S34" i="39"/>
  <c r="W42" i="39"/>
  <c r="W36" i="39"/>
  <c r="AA46" i="39"/>
  <c r="W10" i="39"/>
  <c r="W11" i="39"/>
  <c r="U42" i="39"/>
  <c r="C27" i="39"/>
  <c r="C17" i="40"/>
  <c r="C19" i="40"/>
  <c r="C17" i="39"/>
  <c r="C23" i="40"/>
  <c r="B51" i="46"/>
  <c r="B58" i="46"/>
  <c r="B62" i="46"/>
  <c r="B65" i="46"/>
  <c r="B69" i="46"/>
  <c r="D24" i="15"/>
  <c r="AB19" i="37"/>
  <c r="U25" i="34"/>
  <c r="AB25" i="34"/>
  <c r="AA25" i="34"/>
  <c r="AC25" i="34"/>
  <c r="U23" i="34"/>
  <c r="AA23" i="34"/>
  <c r="S23" i="34"/>
  <c r="W23" i="34"/>
  <c r="AC23" i="33"/>
  <c r="S23" i="33"/>
  <c r="AA17" i="33"/>
  <c r="AB17" i="33"/>
  <c r="AB39" i="40"/>
  <c r="AC39" i="40"/>
  <c r="S39" i="40"/>
  <c r="U37" i="40"/>
  <c r="AB29" i="40"/>
  <c r="W19" i="40"/>
  <c r="AC19" i="40"/>
  <c r="S19" i="40"/>
  <c r="AB19" i="40"/>
  <c r="A17" i="51"/>
  <c r="B13" i="63" s="1"/>
  <c r="AT6" i="3"/>
  <c r="E4" i="4"/>
  <c r="B21" i="55" s="1"/>
  <c r="B72" i="63" s="1"/>
  <c r="C4" i="4"/>
  <c r="B20" i="55" s="1"/>
  <c r="B70" i="63" s="1"/>
  <c r="J18" i="36"/>
  <c r="AC18" i="36" s="1"/>
  <c r="L20" i="6"/>
  <c r="C45" i="9"/>
  <c r="B7" i="66" s="1"/>
  <c r="N76" i="9"/>
  <c r="C46" i="9"/>
  <c r="O41" i="9" s="1"/>
  <c r="R8" i="54" s="1"/>
  <c r="B54" i="63" s="1"/>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B22" i="59"/>
  <c r="B21" i="59"/>
  <c r="B20" i="59" s="1"/>
  <c r="B19" i="59" s="1"/>
  <c r="B18" i="59" s="1"/>
  <c r="E9" i="67"/>
  <c r="F13" i="67"/>
  <c r="B12" i="67"/>
  <c r="E11" i="67"/>
  <c r="F15" i="44"/>
  <c r="B9" i="67"/>
  <c r="B10" i="67"/>
  <c r="B14" i="67"/>
  <c r="F10" i="44"/>
  <c r="M24" i="44"/>
  <c r="F12" i="67"/>
  <c r="L49" i="44"/>
  <c r="J17" i="44"/>
  <c r="M30" i="44"/>
  <c r="N6" i="65"/>
  <c r="F8" i="67"/>
  <c r="N7" i="65"/>
  <c r="F43" i="44"/>
  <c r="B11" i="67"/>
  <c r="F9" i="44"/>
  <c r="M31" i="44"/>
  <c r="F11" i="44"/>
  <c r="B8" i="67"/>
  <c r="F39" i="44"/>
  <c r="F11" i="67"/>
  <c r="L48" i="44"/>
  <c r="M25" i="44"/>
  <c r="E13" i="67"/>
  <c r="N3" i="65"/>
  <c r="F9" i="67"/>
  <c r="B13" i="67"/>
  <c r="N4" i="65"/>
  <c r="F40" i="44"/>
  <c r="F14" i="67"/>
  <c r="F10" i="67"/>
  <c r="E12" i="67"/>
  <c r="M26" i="44"/>
  <c r="M8" i="44"/>
  <c r="F8" i="44"/>
  <c r="N5" i="65"/>
  <c r="E8" i="67"/>
  <c r="F38" i="44"/>
  <c r="E14" i="67"/>
  <c r="E10" i="67"/>
  <c r="W40" i="39" l="1"/>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AZ484" i="3" s="1"/>
  <c r="BA483" i="3"/>
  <c r="AZ483" i="3" s="1"/>
  <c r="BA482" i="3"/>
  <c r="BB5" i="3"/>
  <c r="BN5" i="3"/>
  <c r="G29" i="6" s="1"/>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AZ515" i="3"/>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F28" i="6" s="1"/>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04"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25"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AZ541" i="3" s="1"/>
  <c r="BA527" i="3"/>
  <c r="AZ527" i="3" s="1"/>
  <c r="G524" i="3"/>
  <c r="BL523" i="3"/>
  <c r="BL521" i="3"/>
  <c r="AZ521" i="3" s="1"/>
  <c r="G521" i="3"/>
  <c r="BA518" i="3"/>
  <c r="G516" i="3"/>
  <c r="BL515" i="3"/>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AZ412" i="3" s="1"/>
  <c r="BL422" i="3"/>
  <c r="BA424" i="3"/>
  <c r="BA428" i="3"/>
  <c r="BL445" i="3"/>
  <c r="BA470" i="3"/>
  <c r="BL509" i="3"/>
  <c r="AZ509" i="3" s="1"/>
  <c r="BL506" i="3"/>
  <c r="BA505" i="3"/>
  <c r="AZ505" i="3" s="1"/>
  <c r="BA504" i="3"/>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G336" i="3"/>
  <c r="G341" i="3"/>
  <c r="BA369" i="3"/>
  <c r="G370" i="3"/>
  <c r="BA371" i="3"/>
  <c r="G386" i="3"/>
  <c r="BA205" i="3"/>
  <c r="G208" i="3"/>
  <c r="BA216" i="3"/>
  <c r="BA219" i="3"/>
  <c r="G227" i="3"/>
  <c r="G237" i="3"/>
  <c r="G238" i="3"/>
  <c r="BL238" i="3"/>
  <c r="BA240" i="3"/>
  <c r="AZ240" i="3" s="1"/>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AZ232" i="3" s="1"/>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AZ45" i="3" s="1"/>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M43" i="9"/>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AC19"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AA37"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114" i="3"/>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AZ211" i="3" s="1"/>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AZ436" i="3" s="1"/>
  <c r="G439" i="3"/>
  <c r="BA439" i="3"/>
  <c r="BL441" i="3"/>
  <c r="G445" i="3"/>
  <c r="BA448" i="3"/>
  <c r="BL453" i="3"/>
  <c r="BA458" i="3"/>
  <c r="BL460" i="3"/>
  <c r="AZ460" i="3" s="1"/>
  <c r="G463" i="3"/>
  <c r="BA463" i="3"/>
  <c r="BA465" i="3"/>
  <c r="BL465" i="3"/>
  <c r="BA468" i="3"/>
  <c r="BA474" i="3"/>
  <c r="BL476" i="3"/>
  <c r="AZ476" i="3" s="1"/>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AZ251" i="3" s="1"/>
  <c r="G255" i="3"/>
  <c r="BL269" i="3"/>
  <c r="BL280" i="3"/>
  <c r="G283" i="3"/>
  <c r="G284" i="3"/>
  <c r="G289" i="3"/>
  <c r="BL292" i="3"/>
  <c r="AZ292" i="3" s="1"/>
  <c r="K145" i="21"/>
  <c r="BL389" i="3"/>
  <c r="G392" i="3"/>
  <c r="G393" i="3"/>
  <c r="BA396" i="3"/>
  <c r="G400" i="3"/>
  <c r="BA402" i="3"/>
  <c r="BL404" i="3"/>
  <c r="G405" i="3"/>
  <c r="BA411" i="3"/>
  <c r="BA413" i="3"/>
  <c r="BL413" i="3"/>
  <c r="AZ413" i="3" s="1"/>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AZ259" i="3" s="1"/>
  <c r="G269" i="3"/>
  <c r="BL273" i="3"/>
  <c r="BA275" i="3"/>
  <c r="AZ275" i="3" s="1"/>
  <c r="BA295" i="3"/>
  <c r="BL114" i="3"/>
  <c r="BA115" i="3"/>
  <c r="AZ115" i="3" s="1"/>
  <c r="BL117" i="3"/>
  <c r="AZ117" i="3" s="1"/>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AZ63" i="3" s="1"/>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AZ198" i="3" s="1"/>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AZ176" i="3" s="1"/>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AZ239" i="3" s="1"/>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AZ402" i="3" s="1"/>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AZ221" i="3" s="1"/>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AZ233" i="3" s="1"/>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AZ254" i="3" s="1"/>
  <c r="BA258" i="3"/>
  <c r="AZ258" i="3" s="1"/>
  <c r="BL259" i="3"/>
  <c r="BA262" i="3"/>
  <c r="AZ262" i="3" s="1"/>
  <c r="BA266" i="3"/>
  <c r="BL267" i="3"/>
  <c r="AZ267" i="3" s="1"/>
  <c r="BA270" i="3"/>
  <c r="BL271" i="3"/>
  <c r="BA274" i="3"/>
  <c r="AZ274" i="3" s="1"/>
  <c r="BL275" i="3"/>
  <c r="BA278" i="3"/>
  <c r="BL279" i="3"/>
  <c r="AZ279" i="3" s="1"/>
  <c r="BA282" i="3"/>
  <c r="AZ282" i="3" s="1"/>
  <c r="BL283" i="3"/>
  <c r="AZ283" i="3" s="1"/>
  <c r="BA286" i="3"/>
  <c r="AZ286" i="3" s="1"/>
  <c r="BL287" i="3"/>
  <c r="AZ287" i="3" s="1"/>
  <c r="BA290" i="3"/>
  <c r="AZ290" i="3" s="1"/>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AZ40" i="3" s="1"/>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8" i="44"/>
  <c r="C34" i="44" s="1"/>
  <c r="M9" i="44"/>
  <c r="L60" i="44"/>
  <c r="L59" i="44"/>
  <c r="I54" i="15"/>
  <c r="I55" i="44"/>
  <c r="J54" i="44"/>
  <c r="L57" i="44"/>
  <c r="J58" i="44"/>
  <c r="J56" i="44" s="1"/>
  <c r="J59" i="44" s="1"/>
  <c r="Q52" i="44" s="1"/>
  <c r="C4" i="65"/>
  <c r="B39" i="1" s="1"/>
  <c r="M10" i="44"/>
  <c r="M9" i="15"/>
  <c r="F26" i="15"/>
  <c r="F16" i="15"/>
  <c r="F40" i="15"/>
  <c r="I5" i="65"/>
  <c r="M8" i="15"/>
  <c r="F42" i="15"/>
  <c r="F43" i="15"/>
  <c r="J36" i="15"/>
  <c r="F37" i="15"/>
  <c r="M24" i="15"/>
  <c r="F7" i="15"/>
  <c r="M28" i="44"/>
  <c r="F6" i="15"/>
  <c r="M6" i="15"/>
  <c r="M22" i="15"/>
  <c r="F45" i="44"/>
  <c r="F9" i="15"/>
  <c r="I3" i="65"/>
  <c r="M11" i="44"/>
  <c r="M23" i="15"/>
  <c r="J6" i="65"/>
  <c r="I6" i="65"/>
  <c r="M26" i="15"/>
  <c r="F28" i="44"/>
  <c r="J5" i="65"/>
  <c r="I7" i="65"/>
  <c r="F8" i="15"/>
  <c r="F36" i="15"/>
  <c r="F18" i="44"/>
  <c r="J7" i="65"/>
  <c r="M29" i="15"/>
  <c r="J15" i="15"/>
  <c r="L47" i="15"/>
  <c r="L48" i="15"/>
  <c r="I4" i="65"/>
  <c r="J3" i="65"/>
  <c r="F13" i="15"/>
  <c r="F38" i="15"/>
  <c r="J4" i="65"/>
  <c r="M28" i="15"/>
  <c r="AA11" i="21" l="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J8" i="44"/>
  <c r="J20" i="44" s="1"/>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S7" i="34"/>
  <c r="J7" i="37"/>
  <c r="D71" i="39"/>
  <c r="E69" i="39"/>
  <c r="H7" i="33"/>
  <c r="F7" i="33"/>
  <c r="J46" i="36"/>
  <c r="J7" i="35"/>
  <c r="F7" i="35"/>
  <c r="H7" i="37"/>
  <c r="F7" i="37"/>
  <c r="M19" i="44"/>
  <c r="M13" i="44"/>
  <c r="J12" i="44" s="1"/>
  <c r="F11" i="15"/>
  <c r="M11" i="15"/>
  <c r="F13" i="44"/>
  <c r="C12" i="44" s="1"/>
  <c r="C7" i="44" s="1"/>
  <c r="C40" i="44" s="1"/>
  <c r="Q75" i="44"/>
  <c r="Q62" i="44"/>
  <c r="M32" i="46"/>
  <c r="P32" i="46"/>
  <c r="O32" i="46"/>
  <c r="N32" i="46"/>
  <c r="F1" i="44"/>
  <c r="Q54" i="44"/>
  <c r="Q63" i="44"/>
  <c r="Q76" i="44"/>
  <c r="AE6" i="1"/>
  <c r="AE12" i="1"/>
  <c r="AE7" i="1"/>
  <c r="AE8" i="1"/>
  <c r="AE9" i="1"/>
  <c r="AE10" i="1"/>
  <c r="AE11" i="1"/>
  <c r="F41" i="15"/>
  <c r="C18" i="44"/>
  <c r="E2" i="65"/>
  <c r="C16" i="15"/>
  <c r="F46" i="44"/>
  <c r="E3" i="65"/>
  <c r="H34" i="1" l="1"/>
  <c r="T48" i="21"/>
  <c r="G48" i="21" s="1"/>
  <c r="R48" i="2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C18" i="59"/>
  <c r="D19"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9" i="44"/>
  <c r="M27" i="15"/>
  <c r="G54" i="34" l="1"/>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AY221" i="3" l="1"/>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B5" i="11" s="1"/>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D24" i="6" l="1"/>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C8" i="66"/>
  <c r="H21" i="6"/>
  <c r="D30" i="6"/>
  <c r="H24" i="6"/>
  <c r="R24" i="6" s="1"/>
  <c r="R11" i="1" s="1"/>
  <c r="H23" i="6"/>
  <c r="H22" i="6"/>
  <c r="R22" i="6" s="1"/>
  <c r="R9" i="1" s="1"/>
  <c r="S16" i="1"/>
  <c r="T11" i="1" s="1"/>
  <c r="D16" i="59"/>
  <c r="C15" i="59"/>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F35" i="15"/>
  <c r="M23" i="44"/>
  <c r="M21" i="15"/>
  <c r="F37" i="44"/>
  <c r="R23" i="6" l="1"/>
  <c r="R10" i="1" s="1"/>
  <c r="R16" i="1" s="1"/>
  <c r="D7" i="66"/>
  <c r="D8" i="66"/>
  <c r="T7" i="1"/>
  <c r="T12" i="1"/>
  <c r="T8" i="1"/>
  <c r="T13" i="1"/>
  <c r="T10" i="1"/>
  <c r="T9" i="1"/>
  <c r="T6"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C15" i="15" l="1"/>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C36" i="36"/>
  <c r="B2" i="36" l="1"/>
  <c r="D10" i="12" s="1"/>
  <c r="D8" i="12"/>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0" i="9"/>
  <c r="D21" i="9"/>
  <c r="G20" i="9" l="1"/>
  <c r="G21" i="9"/>
  <c r="C32" i="9"/>
  <c r="N43" i="9"/>
  <c r="G22" i="9"/>
  <c r="C33" i="9" l="1"/>
  <c r="O38" i="9"/>
  <c r="O43" i="9"/>
  <c r="C35" i="9"/>
  <c r="F42" i="9" s="1"/>
  <c r="C42" i="9"/>
  <c r="C34" i="9"/>
  <c r="E42" i="9" l="1"/>
  <c r="P5" i="54" s="1"/>
  <c r="B46" i="63" s="1"/>
  <c r="M38" i="9"/>
  <c r="K27" i="9" s="1"/>
  <c r="D14" i="66"/>
  <c r="K26" i="9"/>
  <c r="K25" i="9"/>
  <c r="R5" i="54"/>
  <c r="B48" i="63" s="1"/>
  <c r="D63" i="9"/>
  <c r="C44" i="9"/>
  <c r="N68" i="9"/>
  <c r="N38" i="9"/>
  <c r="K28" i="9" s="1"/>
  <c r="D42" i="9"/>
  <c r="Q5" i="54" s="1"/>
  <c r="B47" i="63" s="1"/>
  <c r="E15" i="66"/>
  <c r="F15" i="66"/>
  <c r="D71" i="9" l="1"/>
  <c r="D66" i="9" s="1"/>
  <c r="N72" i="9" s="1"/>
  <c r="C103" i="9"/>
  <c r="D73" i="9"/>
  <c r="N73" i="9" s="1"/>
  <c r="C111" i="9"/>
  <c r="C104" i="9" s="1"/>
  <c r="C96" i="9"/>
  <c r="C91" i="9" s="1"/>
  <c r="D70" i="9"/>
  <c r="C82" i="9"/>
  <c r="C81" i="9" s="1"/>
  <c r="C85" i="9" s="1"/>
  <c r="C86" i="9" s="1"/>
  <c r="D72" i="9" s="1"/>
  <c r="C90" i="9"/>
  <c r="E14" i="66"/>
  <c r="F14" i="66"/>
  <c r="N69" i="9"/>
  <c r="F44" i="9"/>
  <c r="D44" i="9"/>
  <c r="E44" i="9"/>
  <c r="O39" i="9"/>
  <c r="C113" i="9" l="1"/>
  <c r="C114" i="9" s="1"/>
  <c r="E114" i="9" s="1"/>
  <c r="E115" i="9" s="1"/>
  <c r="G14" i="66"/>
  <c r="K29" i="9"/>
  <c r="K30" i="9" s="1"/>
  <c r="R6" i="54"/>
  <c r="B50" i="63" s="1"/>
  <c r="M83" i="9"/>
  <c r="N83" i="9" s="1"/>
  <c r="M88" i="9"/>
  <c r="N88" i="9" s="1"/>
  <c r="M86" i="9"/>
  <c r="N86" i="9" s="1"/>
  <c r="M84" i="9"/>
  <c r="N84" i="9" s="1"/>
  <c r="M85" i="9"/>
  <c r="N85" i="9" s="1"/>
  <c r="M87" i="9"/>
  <c r="N87" i="9" s="1"/>
  <c r="C97" i="9"/>
  <c r="C115" i="9" l="1"/>
  <c r="D76" i="9" s="1"/>
  <c r="D74" i="9" s="1"/>
  <c r="N74" i="9" s="1"/>
  <c r="O77" i="9" s="1"/>
  <c r="O79" i="9" s="1"/>
  <c r="N89" i="9"/>
  <c r="O89" i="9" s="1"/>
  <c r="C98" i="9"/>
  <c r="E98" i="9" s="1"/>
  <c r="E99" i="9" s="1"/>
  <c r="Q77" i="9" l="1"/>
  <c r="O78" i="9"/>
  <c r="C99" i="9"/>
  <c r="O80" i="9"/>
  <c r="O81" i="9"/>
  <c r="D16" i="66" l="1"/>
  <c r="E16" i="66" l="1"/>
  <c r="F16" i="66"/>
  <c r="B5" i="66"/>
  <c r="C5" i="66" l="1"/>
  <c r="D5" i="66"/>
  <c r="G16" i="66"/>
  <c r="B6" i="66" s="1"/>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E69" authorId="0" shapeId="0" xr:uid="{00000000-0006-0000-0B00-000001000000}">
      <text>
        <r>
          <rPr>
            <b/>
            <sz val="9"/>
            <color indexed="81"/>
            <rFont val="宋体"/>
            <family val="3"/>
            <charset val="134"/>
          </rPr>
          <t>a:</t>
        </r>
        <r>
          <rPr>
            <sz val="9"/>
            <color indexed="81"/>
            <rFont val="宋体"/>
            <family val="3"/>
            <charset val="134"/>
          </rPr>
          <t xml:space="preserve">
物业用房
</t>
        </r>
      </text>
    </comment>
    <comment ref="E97" authorId="0" shapeId="0" xr:uid="{00000000-0006-0000-0B00-000002000000}">
      <text>
        <r>
          <rPr>
            <b/>
            <sz val="9"/>
            <color indexed="81"/>
            <rFont val="宋体"/>
            <family val="3"/>
            <charset val="134"/>
          </rPr>
          <t>a:</t>
        </r>
        <r>
          <rPr>
            <sz val="9"/>
            <color indexed="81"/>
            <rFont val="宋体"/>
            <family val="3"/>
            <charset val="134"/>
          </rPr>
          <t xml:space="preserve">
物业用房
</t>
        </r>
      </text>
    </comment>
    <comment ref="J97" authorId="0" shapeId="0" xr:uid="{00000000-0006-0000-0B00-00000300000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<sst xmlns="http://schemas.openxmlformats.org/spreadsheetml/2006/main" count="8471" uniqueCount="3770">
  <si>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</si>
  <si>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</si>
  <si>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</si>
  <si>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</si>
  <si>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</si>
  <si>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</si>
  <si>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</si>
  <si>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</si>
  <si>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</si>
  <si>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</si>
  <si>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</si>
  <si>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</si>
  <si>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</si>
  <si>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</si>
  <si>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</si>
  <si>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</si>
  <si>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</si>
  <si>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</si>
  <si>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</si>
  <si>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</si>
  <si>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</si>
  <si>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</si>
  <si>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</si>
  <si>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</si>
  <si>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</si>
  <si>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</si>
  <si>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</si>
  <si>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</si>
  <si>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</si>
  <si>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</si>
  <si>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</si>
  <si>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</si>
  <si>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</si>
  <si>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</si>
  <si>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</si>
  <si>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</si>
  <si>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</si>
  <si>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</si>
  <si>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</si>
  <si>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</si>
  <si>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</si>
  <si>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</si>
  <si>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</si>
  <si>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</si>
  <si>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</si>
  <si>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</si>
  <si>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</si>
  <si>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</si>
  <si>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</si>
  <si>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</si>
  <si>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</si>
  <si>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</si>
  <si>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</si>
  <si>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</si>
  <si>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</si>
  <si>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</si>
  <si>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</si>
  <si>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</si>
  <si>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</si>
  <si>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</si>
  <si>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</si>
  <si>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</si>
  <si>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</si>
  <si>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</si>
  <si>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</si>
  <si>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</si>
  <si>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</si>
  <si>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</si>
  <si>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</si>
  <si>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</si>
  <si>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</si>
  <si>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</si>
  <si>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</si>
  <si>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</si>
  <si>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</si>
  <si>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</si>
  <si>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</si>
  <si>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</si>
  <si>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</si>
  <si>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</si>
  <si>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</si>
  <si>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</si>
  <si>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</si>
  <si>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</si>
  <si>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</si>
  <si>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</si>
  <si>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</si>
  <si>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</si>
  <si>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</si>
  <si>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</si>
  <si>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</si>
  <si>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</si>
  <si>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</si>
  <si>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</si>
  <si>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</si>
  <si>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</si>
  <si>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</si>
  <si>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</si>
  <si>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</si>
  <si>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</si>
  <si>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</si>
  <si>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</si>
  <si>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</si>
  <si>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</si>
  <si>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</si>
  <si>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</si>
  <si>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</si>
  <si>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</si>
  <si>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</si>
  <si>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</si>
  <si>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</si>
  <si>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</si>
  <si>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</si>
  <si>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</si>
  <si>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</si>
  <si>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</si>
  <si>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</si>
  <si>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</si>
  <si>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</si>
  <si>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</si>
  <si>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</si>
  <si>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</si>
  <si>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</si>
  <si>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</si>
  <si>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</si>
  <si>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</si>
  <si>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</si>
  <si>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</si>
  <si>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</si>
  <si>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</si>
  <si>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</si>
  <si>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</si>
  <si>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</si>
  <si>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</si>
  <si>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</si>
  <si>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</si>
  <si>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</si>
  <si>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</si>
  <si>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</si>
  <si>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</si>
  <si>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</si>
  <si>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</si>
  <si>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</si>
  <si>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</si>
  <si>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</si>
  <si>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</si>
  <si>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</si>
  <si>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</si>
  <si>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</si>
  <si>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</si>
  <si>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</si>
  <si>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</si>
  <si>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</si>
  <si>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</si>
  <si>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</si>
  <si>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</si>
  <si>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</si>
  <si>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</si>
  <si>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</si>
  <si>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</si>
  <si>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</si>
  <si>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</si>
  <si>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</si>
  <si>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</si>
  <si>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</si>
  <si>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</si>
  <si>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</si>
  <si>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</si>
  <si>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</si>
  <si>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</si>
  <si>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</si>
  <si>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</si>
  <si>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</si>
  <si>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</si>
  <si>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</si>
  <si>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</si>
  <si>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</si>
  <si>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</si>
  <si>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</si>
  <si>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</si>
  <si>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</si>
  <si>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</si>
  <si>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</si>
  <si>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</si>
  <si>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</si>
  <si>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</si>
  <si>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</si>
  <si>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</si>
  <si>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</si>
  <si>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</si>
  <si>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</si>
  <si>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</si>
  <si>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</si>
  <si>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</si>
  <si>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</si>
  <si>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</si>
  <si>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</si>
  <si>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</si>
  <si>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</si>
  <si>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</si>
  <si>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</si>
  <si>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</si>
  <si>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</si>
  <si>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</si>
  <si>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</si>
  <si>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</si>
  <si>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</si>
  <si>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</si>
  <si>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</si>
  <si>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</si>
  <si>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</si>
  <si>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</si>
  <si>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</si>
  <si>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</si>
  <si>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</si>
  <si>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</si>
  <si>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</si>
  <si>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</si>
  <si>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</si>
  <si>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</si>
  <si>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</si>
  <si>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</si>
  <si>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</si>
  <si>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</si>
  <si>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</si>
  <si>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</si>
  <si>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</si>
  <si>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</si>
  <si>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</si>
  <si>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</si>
  <si>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</si>
  <si>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</si>
  <si>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</si>
  <si>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</si>
  <si>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</si>
  <si>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</si>
  <si>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</si>
  <si>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</si>
  <si>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</si>
  <si>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</si>
  <si>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</si>
  <si>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</si>
  <si>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</si>
  <si>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</si>
  <si>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</si>
  <si>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</si>
  <si>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</si>
  <si>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</si>
  <si>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</si>
  <si>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</si>
  <si>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</si>
  <si>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</si>
  <si>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</si>
  <si>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</si>
  <si>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</si>
  <si>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</si>
  <si>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</si>
  <si>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</si>
  <si>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</si>
  <si>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</si>
  <si>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</si>
  <si>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</si>
  <si>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</si>
  <si>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</si>
  <si>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</si>
  <si>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</si>
  <si>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</si>
  <si>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</si>
  <si>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</si>
  <si>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</si>
  <si>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</si>
  <si>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</si>
  <si>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</si>
  <si>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</si>
  <si>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</si>
  <si>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</si>
  <si>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</si>
  <si>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</si>
  <si>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</si>
  <si>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</si>
  <si>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</si>
  <si>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</si>
  <si>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</si>
  <si>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</si>
  <si>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</si>
  <si>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</si>
  <si>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</si>
  <si>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</si>
  <si>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</si>
  <si>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</si>
  <si>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</si>
  <si>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</si>
  <si>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</si>
  <si>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</si>
  <si>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</si>
  <si>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</si>
  <si>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</si>
  <si>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</si>
  <si>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</si>
  <si>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</si>
  <si>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</si>
  <si>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</si>
  <si>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</si>
  <si>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</si>
  <si>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</si>
  <si>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</si>
  <si>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</si>
  <si>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</si>
  <si>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</si>
  <si>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</si>
  <si>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</si>
  <si>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</si>
  <si>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</si>
  <si>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</si>
  <si>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</si>
  <si>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</si>
  <si>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</si>
  <si>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</si>
  <si>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</si>
  <si>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</si>
  <si>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</si>
  <si>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</si>
  <si>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</si>
  <si>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</si>
  <si>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</si>
  <si>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</si>
  <si>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</si>
  <si>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</si>
  <si>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</si>
  <si>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</si>
  <si>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</si>
  <si>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</si>
  <si>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</si>
  <si>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</si>
  <si>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</si>
  <si>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</si>
  <si>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</si>
  <si>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</si>
  <si>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</si>
  <si>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</si>
  <si>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</si>
  <si>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</si>
  <si>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</si>
  <si>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</si>
  <si>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</si>
  <si>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</si>
  <si>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</si>
  <si>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</si>
  <si>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</si>
  <si>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</si>
  <si>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</si>
  <si>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</si>
  <si>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</si>
  <si>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</si>
  <si>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</si>
  <si>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</si>
  <si>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</si>
  <si>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</si>
  <si>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</si>
  <si>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</si>
  <si>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</si>
  <si>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</si>
  <si>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</si>
  <si>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</si>
  <si>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</si>
  <si>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</si>
  <si>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</si>
  <si>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</si>
  <si>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</si>
  <si>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</si>
  <si>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</si>
  <si>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</si>
  <si>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</si>
  <si>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</si>
  <si>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</si>
  <si>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</si>
  <si>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</si>
  <si>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</si>
  <si>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</si>
  <si>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</si>
  <si>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</si>
  <si>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</si>
  <si>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</si>
  <si>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</si>
  <si>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</si>
  <si>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</si>
  <si>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</si>
  <si>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</si>
  <si>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</si>
  <si>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</si>
  <si>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</si>
  <si>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</si>
  <si>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</si>
  <si>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</si>
  <si>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</si>
  <si>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</si>
  <si>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</si>
  <si>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</si>
  <si>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</si>
  <si>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</si>
  <si>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</si>
  <si>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</si>
  <si>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</si>
  <si>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</si>
  <si>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</si>
  <si>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</si>
  <si>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</si>
  <si>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</si>
  <si>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</si>
  <si>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</si>
  <si>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</si>
  <si>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</si>
  <si>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</si>
  <si>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</si>
  <si>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</si>
  <si>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</si>
  <si>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</si>
  <si>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</si>
  <si>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</si>
  <si>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</si>
  <si>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</si>
  <si>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</si>
  <si>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</si>
  <si>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</si>
  <si>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</si>
  <si>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</si>
  <si>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</si>
  <si>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</si>
  <si>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</si>
  <si>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</si>
  <si>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</si>
  <si>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</si>
  <si>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</si>
  <si>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</si>
  <si>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</si>
  <si>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</si>
  <si>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</si>
  <si>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</si>
  <si>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</si>
  <si>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</si>
  <si>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</si>
  <si>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</si>
  <si>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</si>
  <si>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</si>
  <si>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</si>
  <si>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</si>
  <si>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</si>
  <si>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</si>
  <si>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</si>
  <si>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</si>
  <si>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</si>
  <si>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</si>
  <si>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</si>
  <si>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</si>
  <si>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</si>
  <si>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</si>
  <si>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</si>
  <si>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</si>
  <si>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</si>
  <si>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</si>
  <si>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</si>
  <si>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</si>
  <si>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</si>
  <si>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</si>
  <si>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</si>
  <si>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</si>
  <si>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</si>
  <si>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</si>
  <si>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</si>
  <si>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</si>
  <si>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</si>
  <si>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</si>
  <si>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</si>
  <si>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</si>
  <si>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</si>
  <si>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</si>
  <si>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</si>
  <si>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</si>
  <si>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</si>
  <si>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</si>
  <si>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</si>
  <si>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</si>
  <si>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</si>
  <si>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</si>
  <si>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</si>
  <si>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</si>
  <si>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</si>
  <si>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</si>
  <si>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</si>
  <si>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</si>
  <si>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</si>
  <si>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</si>
  <si>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</si>
  <si>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</si>
  <si>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</si>
  <si>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</si>
  <si>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</si>
  <si>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</si>
  <si>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</si>
  <si>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</si>
  <si>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</si>
  <si>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</si>
  <si>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</si>
  <si>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</si>
  <si>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</si>
  <si>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</si>
  <si>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</si>
  <si>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</si>
  <si>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</si>
  <si>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</si>
  <si>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</si>
  <si>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</si>
  <si>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</si>
  <si>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</si>
  <si>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</si>
  <si>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</si>
  <si>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</si>
  <si>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</si>
  <si>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</si>
  <si>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</si>
  <si>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</si>
  <si>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</si>
  <si>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</si>
  <si>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</si>
  <si>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</si>
  <si>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</si>
  <si>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</si>
  <si>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</si>
  <si>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</si>
  <si>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</si>
  <si>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</si>
  <si>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</si>
  <si>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</si>
  <si>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</si>
  <si>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</si>
  <si>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</si>
  <si>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</si>
  <si>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</si>
  <si>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</si>
  <si>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</si>
  <si>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</si>
  <si>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</si>
  <si>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</si>
  <si>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</si>
  <si>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</si>
  <si>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</si>
  <si>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</si>
  <si>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</si>
  <si>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</si>
  <si>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</si>
  <si>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</si>
  <si>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</si>
  <si>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</si>
  <si>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</si>
  <si>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</si>
  <si>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</si>
  <si>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</si>
  <si>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</si>
  <si>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</si>
  <si>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</si>
  <si>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</si>
  <si>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</si>
  <si>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</si>
  <si>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</si>
  <si>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</si>
  <si>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</si>
  <si>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</si>
  <si>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</si>
  <si>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</si>
  <si>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</si>
  <si>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</si>
  <si>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</si>
  <si>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</si>
  <si>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</si>
  <si>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</si>
  <si>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</si>
  <si>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</si>
  <si>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</si>
  <si>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</si>
  <si>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</si>
  <si>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</si>
  <si>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</si>
  <si>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</si>
  <si>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</si>
  <si>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</si>
  <si>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</si>
  <si>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</si>
  <si>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</si>
  <si>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</si>
  <si>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</si>
  <si>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</si>
  <si>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</si>
  <si>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</si>
  <si>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</si>
  <si>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</si>
  <si>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</si>
  <si>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</si>
  <si>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</si>
  <si>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</si>
  <si>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</si>
  <si>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</si>
  <si>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</si>
  <si>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</si>
  <si>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</si>
  <si>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</si>
  <si>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</si>
  <si>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</si>
  <si>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</si>
  <si>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</si>
  <si>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</si>
  <si>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</si>
  <si>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</si>
  <si>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</si>
  <si>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</si>
  <si>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</si>
  <si>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</si>
  <si>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</si>
  <si>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</si>
  <si>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</si>
  <si>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</si>
  <si>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</si>
  <si>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</si>
  <si>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</si>
  <si>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</si>
  <si>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</si>
  <si>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</si>
  <si>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</si>
  <si>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</si>
  <si>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</si>
  <si>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</si>
  <si>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</si>
  <si>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</si>
  <si>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</si>
  <si>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</si>
  <si>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</si>
  <si>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</si>
  <si>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</si>
  <si>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</si>
  <si>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</si>
  <si>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</si>
  <si>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</si>
  <si>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</si>
  <si>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</si>
  <si>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</si>
  <si>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</si>
  <si>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</si>
  <si>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</si>
  <si>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</si>
  <si>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</si>
  <si>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</si>
  <si>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</si>
  <si>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</si>
  <si>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</si>
  <si>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</si>
  <si>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</si>
  <si>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</si>
  <si>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</si>
  <si>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</si>
  <si>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</si>
  <si>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</si>
  <si>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</si>
  <si>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</si>
  <si>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</si>
  <si>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</si>
  <si>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</si>
  <si>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</si>
  <si>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</si>
  <si>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</si>
  <si>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</si>
  <si>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</si>
  <si>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</si>
  <si>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</si>
  <si>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</si>
  <si>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</si>
  <si>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</si>
  <si>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</si>
  <si>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</si>
  <si>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</si>
  <si>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</si>
  <si>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</si>
  <si>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</si>
  <si>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</si>
  <si>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</si>
  <si>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</si>
  <si>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</si>
  <si>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</si>
  <si>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</si>
  <si>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</si>
  <si>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</si>
  <si>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</si>
  <si>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</si>
  <si>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</si>
  <si>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</si>
  <si>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</si>
  <si>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</si>
  <si>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</si>
  <si>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</si>
  <si>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</si>
  <si>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</si>
  <si>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</si>
  <si>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</si>
  <si>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</si>
  <si>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</si>
  <si>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</si>
  <si>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</si>
  <si>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</si>
  <si>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</si>
  <si>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</si>
  <si>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</si>
  <si>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</si>
  <si>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</si>
  <si>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</si>
  <si>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</si>
  <si>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</si>
  <si>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</si>
  <si>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</si>
  <si>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</si>
  <si>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</si>
  <si>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</si>
  <si>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</si>
  <si>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</si>
  <si>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</si>
  <si>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</si>
  <si>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</si>
  <si>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</si>
  <si>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</si>
  <si>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</si>
  <si>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</si>
  <si>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</si>
  <si>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</si>
  <si>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</si>
  <si>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</si>
  <si>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</si>
  <si>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</si>
  <si>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</si>
  <si>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</si>
  <si>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</si>
  <si>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</si>
  <si>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</si>
  <si>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</si>
  <si>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</si>
  <si>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</si>
  <si>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</si>
  <si>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</si>
  <si>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</si>
  <si>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</si>
  <si>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</si>
  <si>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</si>
  <si>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</si>
  <si>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</si>
  <si>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</si>
  <si>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</si>
  <si>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</si>
  <si>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</si>
  <si>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</si>
  <si>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</si>
  <si>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</si>
  <si>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</si>
  <si>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</si>
  <si>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</si>
  <si>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</si>
  <si>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</si>
  <si>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</si>
  <si>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</si>
  <si>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</si>
  <si>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</si>
  <si>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</si>
  <si>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</si>
  <si>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</si>
  <si>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</si>
  <si>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</si>
  <si>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</si>
  <si>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</si>
  <si>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</si>
  <si>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</si>
  <si>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</si>
  <si>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</si>
  <si>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</si>
  <si>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</si>
  <si>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</si>
  <si>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</si>
  <si>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</si>
  <si>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</si>
  <si>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</si>
  <si>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</si>
  <si>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</si>
  <si>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</si>
  <si>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</si>
  <si>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</si>
  <si>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</si>
  <si>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</si>
  <si>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</si>
  <si>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</si>
  <si>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</si>
  <si>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</si>
  <si>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</si>
  <si>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</si>
  <si>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</si>
  <si>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</si>
  <si>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</si>
  <si>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</si>
  <si>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</si>
  <si>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</si>
  <si>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</si>
  <si>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</si>
  <si>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</si>
  <si>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</si>
  <si>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</si>
  <si>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</si>
  <si>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</si>
  <si>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</si>
  <si>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</si>
  <si>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</si>
  <si>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</si>
  <si>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</si>
  <si>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</si>
  <si>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</si>
  <si>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</si>
  <si>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</si>
  <si>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</si>
  <si>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</si>
  <si>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</si>
  <si>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</si>
  <si>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</si>
  <si>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</si>
  <si>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</si>
  <si>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</si>
  <si>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</si>
  <si>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</si>
  <si>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</si>
  <si>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</si>
  <si>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</si>
  <si>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</si>
  <si>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</si>
  <si>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</si>
  <si>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</si>
  <si>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</si>
  <si>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</si>
  <si>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</si>
  <si>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</si>
  <si>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</si>
  <si>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</si>
  <si>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</si>
  <si>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</si>
  <si>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</si>
  <si>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</si>
  <si>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</si>
  <si>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</si>
  <si>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</si>
  <si>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</si>
  <si>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</si>
  <si>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</si>
  <si>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</si>
  <si>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</si>
  <si>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</si>
  <si>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</si>
  <si>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</si>
  <si>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</si>
  <si>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</si>
  <si>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</si>
  <si>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</si>
  <si>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</si>
  <si>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</si>
  <si>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</si>
  <si>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</si>
  <si>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</si>
  <si>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</si>
  <si>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</si>
  <si>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</si>
  <si>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</si>
  <si>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</si>
  <si>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</si>
  <si>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</si>
  <si>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</si>
  <si>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</si>
  <si>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</si>
  <si>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</si>
  <si>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</si>
  <si>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</si>
  <si>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</si>
  <si>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</si>
  <si>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</si>
  <si>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</si>
  <si>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</si>
  <si>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</si>
  <si>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</si>
  <si>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</si>
  <si>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</si>
  <si>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</si>
  <si>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</si>
  <si>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</si>
  <si>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</si>
  <si>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</si>
  <si>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</si>
  <si>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</si>
  <si>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</si>
  <si>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</si>
  <si>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</si>
  <si>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</si>
  <si>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</si>
  <si>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</si>
  <si>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</si>
  <si>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</si>
  <si>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</si>
  <si>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</si>
  <si>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</si>
  <si>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</si>
  <si>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</si>
  <si>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</si>
  <si>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</si>
  <si>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</si>
  <si>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</si>
  <si>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</si>
  <si>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</si>
  <si>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</si>
  <si>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</si>
  <si>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</si>
  <si>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</si>
  <si>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</si>
  <si>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</si>
  <si>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</si>
  <si>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</si>
  <si>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</si>
  <si>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</si>
  <si>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</si>
  <si>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</si>
  <si>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</si>
  <si>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</si>
  <si>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</si>
  <si>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</si>
  <si>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</si>
  <si>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</si>
  <si>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</si>
  <si>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</si>
  <si>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</si>
  <si>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</si>
  <si>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</si>
  <si>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</si>
  <si>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</si>
  <si>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</si>
  <si>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</si>
  <si>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</si>
  <si>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</si>
  <si>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</si>
  <si>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</si>
  <si>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</si>
  <si>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</si>
  <si>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</si>
  <si>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</si>
  <si>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</si>
  <si>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</si>
  <si>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</si>
  <si>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</si>
  <si>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</si>
  <si>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</si>
  <si>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</si>
  <si>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</si>
  <si>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</si>
  <si>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</si>
  <si>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</si>
  <si>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</si>
  <si>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</si>
  <si>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</si>
  <si>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</si>
  <si>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</si>
  <si>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</si>
  <si>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</si>
  <si>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</si>
  <si>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</si>
  <si>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</si>
  <si>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</si>
  <si>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</si>
  <si>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</si>
  <si>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</si>
  <si>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</si>
  <si>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</si>
  <si>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</si>
  <si>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</si>
  <si>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</si>
  <si>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</si>
  <si>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</si>
  <si>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</si>
  <si>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</si>
  <si>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</si>
  <si>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</si>
  <si>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</si>
  <si>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</si>
  <si>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</si>
  <si>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</si>
  <si>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</si>
  <si>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</si>
  <si>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</si>
  <si>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</si>
  <si>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</si>
  <si>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</si>
  <si>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</si>
  <si>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</si>
  <si>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</si>
  <si>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</si>
  <si>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</si>
  <si>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</si>
  <si>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</si>
  <si>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</si>
  <si>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</si>
  <si>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</si>
  <si>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</si>
  <si>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</si>
  <si>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</si>
  <si>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</si>
  <si>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</si>
  <si>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</si>
  <si>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</si>
  <si>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</si>
  <si>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</si>
  <si>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</si>
  <si>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</si>
  <si>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</si>
  <si>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</si>
  <si>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</si>
  <si>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</si>
  <si>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</si>
  <si>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</si>
  <si>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</si>
  <si>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</si>
  <si>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</si>
  <si>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</si>
  <si>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</si>
  <si>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</si>
  <si>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</si>
  <si>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</si>
  <si>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</si>
  <si>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</si>
  <si>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</si>
  <si>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</si>
  <si>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</si>
  <si>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</si>
  <si>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</si>
  <si>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</si>
  <si>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</si>
  <si>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</si>
  <si>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</si>
  <si>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</si>
  <si>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</si>
  <si>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</si>
  <si>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</si>
  <si>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</si>
  <si>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</si>
  <si>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</si>
  <si>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</si>
  <si>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</si>
  <si>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</si>
  <si>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</si>
  <si>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</si>
  <si>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</si>
  <si>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</si>
  <si>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</si>
  <si>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</si>
  <si>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</si>
  <si>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</si>
  <si>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</si>
  <si>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</si>
  <si>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</si>
  <si>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</si>
  <si>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</si>
  <si>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</si>
  <si>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</si>
  <si>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</si>
  <si>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</si>
  <si>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</si>
  <si>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</si>
  <si>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</si>
  <si>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</si>
  <si>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</si>
  <si>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</si>
  <si>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</si>
  <si>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</si>
  <si>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</si>
  <si>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</si>
  <si>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</si>
  <si>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</si>
  <si>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</si>
  <si>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</si>
  <si>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</si>
  <si>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</si>
  <si>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</si>
  <si>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</si>
  <si>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</si>
  <si>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</si>
  <si>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</si>
  <si>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</si>
  <si>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</si>
  <si>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</si>
  <si>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</si>
  <si>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</si>
  <si>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</si>
  <si>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</si>
  <si>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</si>
  <si>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</si>
  <si>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</si>
  <si>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</si>
  <si>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</si>
  <si>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</si>
  <si>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</si>
  <si>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</si>
  <si>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</si>
  <si>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</si>
  <si>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</si>
  <si>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</si>
  <si>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</si>
  <si>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</si>
  <si>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</si>
  <si>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</si>
  <si>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</si>
  <si>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</si>
  <si>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</si>
  <si>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</si>
  <si>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</si>
  <si>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</si>
  <si>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</si>
  <si>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</si>
  <si>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</si>
  <si>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</si>
  <si>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</si>
  <si>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</si>
  <si>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</si>
  <si>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</si>
  <si>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</si>
  <si>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</si>
  <si>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</si>
  <si>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</si>
  <si>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</si>
  <si>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</si>
  <si>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</si>
  <si>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</si>
  <si>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</si>
  <si>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</si>
  <si>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</si>
  <si>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</si>
  <si>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</si>
  <si>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</si>
  <si>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</si>
  <si>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</si>
  <si>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</si>
  <si>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</si>
  <si>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</si>
  <si>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</si>
  <si>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</si>
  <si>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</si>
  <si>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</si>
  <si>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</si>
  <si>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</si>
  <si>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</si>
  <si>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</si>
  <si>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</si>
  <si>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</si>
  <si>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</si>
  <si>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</si>
  <si>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</si>
  <si>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</si>
  <si>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</si>
  <si>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</si>
  <si>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</si>
  <si>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</si>
  <si>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</si>
  <si>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</si>
  <si>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</si>
  <si>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</si>
  <si>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</si>
  <si>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</si>
  <si>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</si>
  <si>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</si>
  <si>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</si>
  <si>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</si>
  <si>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</si>
  <si>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</si>
  <si>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</si>
  <si>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</si>
  <si>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</si>
  <si>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</si>
  <si>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</si>
  <si>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</si>
  <si>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</si>
  <si>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</si>
  <si>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</si>
  <si>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</si>
  <si>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</si>
  <si>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</si>
  <si>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</si>
  <si>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</si>
  <si>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</si>
  <si>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</si>
  <si>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</si>
  <si>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</si>
  <si>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</si>
  <si>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</si>
  <si>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</si>
  <si>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</si>
  <si>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</si>
  <si>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</si>
  <si>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</si>
  <si>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</si>
  <si>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</si>
  <si>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</si>
  <si>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</si>
  <si>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</si>
  <si>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</si>
  <si>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</si>
  <si>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</si>
  <si>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</si>
  <si>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</si>
  <si>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</si>
  <si>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</si>
  <si>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</si>
  <si>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</si>
  <si>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</si>
  <si>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</si>
  <si>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</si>
  <si>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</si>
  <si>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</si>
  <si>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</si>
  <si>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</si>
  <si>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</si>
  <si>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</si>
  <si>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</si>
  <si>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</si>
  <si>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</si>
  <si>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</si>
  <si>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</si>
  <si>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</si>
  <si>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</si>
  <si>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</si>
  <si>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</si>
  <si>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</si>
  <si>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</si>
  <si>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</si>
  <si>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</si>
  <si>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</si>
  <si>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</si>
  <si>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</si>
  <si>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</si>
  <si>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</si>
  <si>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</si>
  <si>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</si>
  <si>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</si>
  <si>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</si>
  <si>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</si>
  <si>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</si>
  <si>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</si>
  <si>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</si>
  <si>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</si>
  <si>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</si>
  <si>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</si>
  <si>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</si>
  <si>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</si>
  <si>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</si>
  <si>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</si>
  <si>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</si>
  <si>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</si>
  <si>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</si>
  <si>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</si>
  <si>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</si>
  <si>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</si>
  <si>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</si>
  <si>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</si>
  <si>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</si>
  <si>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</si>
  <si>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</si>
  <si>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</si>
  <si>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</si>
  <si>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</si>
  <si>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</si>
  <si>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</si>
  <si>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</si>
  <si>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</si>
  <si>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</si>
  <si>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</si>
  <si>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</si>
  <si>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</si>
  <si>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</si>
  <si>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</si>
  <si>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</si>
  <si>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</si>
  <si>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</si>
  <si>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</si>
  <si>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</si>
  <si>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</si>
  <si>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</si>
  <si>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</si>
  <si>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</si>
  <si>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</si>
  <si>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</si>
  <si>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</si>
  <si>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</si>
  <si>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</si>
  <si>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</si>
  <si>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</si>
  <si>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</si>
  <si>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</si>
  <si>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</si>
  <si>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</si>
  <si>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</si>
  <si>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</si>
  <si>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</si>
  <si>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</si>
  <si>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</si>
  <si>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</si>
  <si>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</si>
  <si>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</si>
  <si>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</si>
  <si>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</si>
  <si>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</si>
  <si>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</si>
  <si>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</si>
  <si>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</si>
  <si>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</si>
  <si>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</si>
  <si>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</si>
  <si>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</si>
  <si>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</si>
  <si>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</si>
  <si>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</si>
  <si>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</si>
  <si>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</si>
  <si>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</si>
  <si>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</si>
  <si>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</si>
  <si>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</si>
  <si>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</si>
  <si>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</si>
  <si>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</si>
  <si>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</si>
  <si>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</si>
  <si>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</si>
  <si>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</si>
  <si>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</si>
  <si>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</si>
  <si>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</si>
  <si>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</si>
  <si>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</si>
  <si>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</si>
  <si>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</si>
  <si>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</si>
  <si>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</si>
  <si>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</si>
  <si>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</si>
  <si>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</si>
  <si>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</si>
  <si>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</si>
  <si>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</si>
  <si>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</si>
  <si>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</si>
  <si>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</si>
  <si>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</si>
  <si>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</si>
  <si>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</si>
  <si>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</si>
  <si>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</si>
  <si>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</si>
  <si>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</si>
  <si>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</si>
  <si>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</si>
  <si>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</si>
  <si>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</si>
  <si>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</si>
  <si>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</si>
  <si>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</si>
  <si>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</si>
  <si>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</si>
  <si>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</si>
  <si>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</si>
  <si>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</si>
  <si>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</si>
  <si>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</si>
  <si>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</si>
  <si>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</si>
  <si>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</si>
  <si>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</si>
  <si>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</si>
  <si>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</si>
  <si>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</si>
  <si>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</si>
  <si>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</si>
  <si>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</si>
  <si>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</si>
  <si>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</si>
  <si>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</si>
  <si>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</si>
  <si>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</si>
  <si>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</si>
  <si>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</si>
  <si>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</si>
  <si>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</si>
  <si>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</si>
  <si>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</si>
  <si>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</si>
  <si>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</si>
  <si>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</si>
  <si>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</si>
  <si>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</si>
  <si>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</si>
  <si>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</si>
  <si>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</si>
  <si>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</si>
  <si>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</si>
  <si>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</si>
  <si>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</si>
  <si>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</si>
  <si>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</si>
  <si>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</si>
  <si>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</si>
  <si>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</si>
  <si>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</si>
  <si>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</si>
  <si>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</si>
  <si>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</si>
  <si>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</si>
  <si>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</si>
  <si>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</si>
  <si>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</si>
  <si>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</si>
  <si>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</si>
  <si>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</si>
  <si>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</si>
  <si>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</si>
  <si>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</si>
  <si>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</si>
  <si>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</si>
  <si>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</si>
  <si>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</si>
  <si>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</si>
  <si>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</si>
  <si>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</si>
  <si>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</si>
  <si>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</si>
  <si>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</si>
  <si>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</si>
  <si>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</si>
  <si>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</si>
  <si>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</si>
  <si>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</si>
  <si>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</si>
  <si>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</si>
  <si>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</si>
  <si>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</si>
  <si>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</si>
  <si>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</si>
  <si>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</si>
  <si>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</si>
  <si>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</si>
  <si>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</si>
  <si>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</si>
  <si>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</si>
  <si>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</si>
  <si>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</si>
  <si>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</si>
  <si>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</si>
  <si>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</si>
  <si>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</si>
  <si>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</si>
  <si>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</si>
  <si>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</si>
  <si>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</si>
  <si>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</si>
  <si>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</si>
  <si>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</si>
  <si>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</si>
  <si>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</si>
  <si>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</si>
  <si>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</si>
  <si>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</si>
  <si>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</si>
  <si>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</si>
  <si>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</si>
  <si>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</si>
  <si>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</si>
  <si>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</si>
  <si>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</si>
  <si>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</si>
  <si>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</si>
  <si>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</si>
  <si>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</si>
  <si>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</si>
  <si>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</si>
  <si>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</si>
  <si>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</si>
  <si>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</si>
  <si>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</si>
  <si>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</si>
  <si>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</si>
  <si>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</si>
  <si>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</si>
  <si>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</si>
  <si>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</si>
  <si>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</si>
  <si>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</si>
  <si>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</si>
  <si>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</si>
  <si>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</si>
  <si>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</si>
  <si>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</si>
  <si>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</si>
  <si>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</si>
  <si>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</si>
  <si>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</si>
  <si>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</si>
  <si>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</si>
  <si>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</si>
  <si>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</si>
  <si>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</si>
  <si>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</si>
  <si>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</si>
  <si>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</si>
  <si>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</si>
  <si>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</si>
  <si>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</si>
  <si>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</si>
  <si>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</si>
  <si>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</si>
  <si>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</si>
  <si>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</si>
  <si>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</si>
  <si>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</si>
  <si>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</si>
  <si>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</si>
  <si>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</si>
  <si>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</si>
  <si>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</si>
  <si>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</si>
  <si>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</si>
  <si>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</si>
  <si>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</si>
  <si>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</si>
  <si>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</si>
  <si>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</si>
  <si>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</si>
  <si>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</si>
  <si>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</si>
  <si>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</si>
  <si>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</si>
  <si>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</si>
  <si>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</si>
  <si>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</si>
  <si>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</si>
  <si>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</si>
  <si>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</si>
  <si>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</si>
  <si>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</si>
  <si>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</si>
  <si>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</si>
  <si>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</si>
  <si>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</si>
  <si>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</si>
  <si>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</si>
  <si>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</si>
  <si>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</si>
  <si>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</si>
  <si>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</si>
  <si>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</si>
  <si>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</si>
  <si>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</si>
  <si>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</si>
  <si>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</si>
  <si>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</si>
  <si>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</si>
  <si>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</si>
  <si>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</si>
  <si>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</si>
  <si>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</si>
  <si>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</si>
  <si>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</si>
  <si>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</si>
  <si>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</si>
  <si>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</si>
  <si>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</si>
  <si>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</si>
  <si>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</si>
  <si>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</si>
  <si>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</si>
  <si>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</si>
  <si>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</si>
  <si>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</si>
  <si>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</si>
  <si>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</si>
  <si>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</si>
  <si>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</si>
  <si>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</si>
  <si>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</si>
  <si>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</si>
  <si>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</si>
  <si>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</si>
  <si>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</si>
  <si>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</si>
  <si>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</si>
  <si>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</si>
  <si>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</si>
  <si>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</si>
  <si>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</si>
  <si>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</si>
  <si>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</si>
  <si>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</si>
  <si>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</si>
  <si>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</si>
  <si>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</si>
  <si>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</si>
  <si>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</si>
  <si>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</si>
  <si>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</si>
  <si>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</si>
  <si>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</si>
  <si>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</si>
  <si>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</si>
  <si>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</si>
  <si>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</si>
  <si>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</si>
  <si>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</si>
  <si>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</si>
  <si>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</si>
  <si>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</si>
  <si>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</si>
  <si>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</si>
  <si>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</si>
  <si>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</si>
  <si>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</si>
  <si>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</si>
  <si>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</si>
  <si>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</si>
  <si>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</si>
  <si>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</si>
  <si>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</si>
  <si>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</si>
  <si>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</si>
  <si>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</si>
  <si>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</si>
  <si>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</si>
  <si>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</si>
  <si>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</si>
  <si>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</si>
  <si>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</si>
  <si>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</si>
  <si>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</si>
  <si>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</si>
  <si>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</si>
  <si>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</si>
  <si>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</si>
  <si>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</si>
  <si>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</si>
  <si>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</si>
  <si>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</si>
  <si>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</si>
  <si>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</si>
  <si>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</si>
  <si>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</si>
  <si>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</si>
  <si>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</si>
  <si>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</si>
  <si>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</si>
  <si>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</si>
  <si>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</si>
  <si>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</si>
  <si>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</si>
  <si>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</si>
  <si>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</si>
  <si>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</si>
  <si>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</si>
  <si>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</si>
  <si>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</si>
  <si>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</si>
  <si>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</si>
  <si>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</si>
  <si>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</si>
  <si>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</si>
  <si>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</si>
  <si>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</si>
  <si>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</si>
  <si>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</si>
  <si>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</si>
  <si>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</si>
  <si>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</si>
  <si>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</si>
  <si>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</si>
  <si>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</si>
  <si>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</si>
  <si>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</si>
  <si>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</si>
  <si>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</si>
  <si>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</si>
  <si>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</si>
  <si>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</si>
  <si>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</si>
  <si>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</si>
  <si>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</si>
  <si>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</si>
  <si>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</si>
  <si>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</si>
  <si>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</si>
  <si>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</si>
  <si>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</si>
  <si>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</si>
  <si>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</si>
  <si>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</si>
  <si>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</si>
  <si>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</si>
  <si>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</si>
  <si>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</si>
  <si>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</si>
  <si>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</si>
  <si>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</si>
  <si>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</si>
  <si>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</si>
  <si>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</si>
  <si>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</si>
  <si>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</si>
  <si>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</si>
  <si>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</si>
  <si>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</si>
  <si>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</si>
  <si>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</si>
  <si>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</si>
  <si>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</si>
  <si>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</si>
  <si>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</si>
  <si>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</si>
  <si>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</si>
  <si>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</si>
  <si>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</si>
  <si>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</si>
  <si>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</si>
  <si>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</si>
  <si>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</si>
  <si>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</si>
  <si>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</si>
  <si>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</si>
  <si>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</si>
  <si>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</si>
  <si>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</si>
  <si>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</si>
  <si>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</si>
  <si>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</si>
  <si>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</si>
  <si>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</si>
  <si>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</si>
  <si>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</si>
  <si>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</si>
  <si>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</si>
  <si>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</si>
  <si>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</si>
  <si>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</si>
  <si>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</si>
  <si>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</si>
  <si>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</si>
  <si>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</si>
  <si>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</si>
  <si>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</si>
  <si>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</si>
  <si>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</si>
  <si>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</si>
  <si>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</si>
  <si>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</si>
  <si>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</si>
  <si>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</si>
  <si>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</si>
  <si>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</si>
  <si>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</si>
  <si>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</si>
  <si>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</si>
  <si>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</si>
  <si>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</si>
  <si>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</si>
  <si>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</si>
  <si>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</si>
  <si>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</si>
  <si>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</si>
  <si>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</si>
  <si>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</si>
  <si>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</si>
  <si>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</si>
  <si>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</si>
  <si>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</si>
  <si>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</si>
  <si>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</si>
  <si>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</si>
  <si>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</si>
  <si>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</si>
  <si>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</si>
  <si>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</si>
  <si>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</si>
  <si>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</si>
  <si>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</si>
  <si>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</si>
  <si>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</si>
  <si>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</si>
  <si>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</si>
  <si>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</si>
  <si>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</si>
  <si>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</si>
  <si>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</si>
  <si>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</si>
  <si>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</si>
  <si>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</si>
  <si>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</si>
  <si>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</si>
  <si>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</si>
  <si>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</si>
  <si>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</si>
  <si>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</si>
  <si>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</si>
  <si>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</si>
  <si>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</si>
  <si>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</si>
  <si>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</si>
  <si>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</si>
  <si>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</si>
  <si>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</si>
  <si>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</si>
  <si>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</si>
  <si>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</si>
  <si>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</si>
  <si>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</si>
  <si>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</si>
  <si>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</si>
  <si>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</si>
  <si>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</si>
  <si>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</si>
  <si>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</si>
  <si>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</si>
  <si>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</si>
  <si>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</si>
  <si>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</si>
  <si>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</si>
  <si>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</si>
  <si>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</si>
  <si>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</si>
  <si>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</si>
  <si>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</si>
  <si>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</si>
  <si>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</si>
  <si>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</si>
  <si>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</si>
  <si>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</si>
  <si>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</si>
  <si>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</si>
  <si>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</si>
  <si>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</si>
  <si>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</si>
  <si>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</si>
  <si>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</si>
  <si>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</si>
  <si>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</si>
  <si>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</si>
  <si>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</si>
  <si>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</si>
  <si>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</si>
  <si>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</si>
  <si>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</si>
  <si>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</si>
  <si>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</si>
  <si>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</si>
  <si>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</si>
  <si>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</si>
  <si>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</si>
  <si>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</si>
  <si>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</si>
  <si>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</si>
  <si>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</si>
  <si>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</si>
  <si>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</si>
  <si>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</si>
  <si>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</si>
  <si>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</si>
  <si>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</si>
  <si>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</si>
  <si>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</si>
  <si>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</si>
  <si>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</si>
  <si>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</si>
  <si>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</si>
  <si>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</si>
  <si>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</si>
  <si>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</si>
  <si>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</si>
  <si>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</si>
  <si>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</si>
  <si>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</si>
  <si>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</si>
  <si>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</si>
  <si>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</si>
  <si>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</si>
  <si>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</si>
  <si>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</si>
  <si>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</si>
  <si>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</si>
  <si>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</si>
  <si>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</si>
  <si>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</si>
  <si>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</si>
  <si>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</si>
  <si>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</si>
  <si>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</si>
  <si>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</si>
  <si>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</si>
  <si>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</si>
  <si>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</si>
  <si>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</si>
  <si>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</si>
  <si>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</si>
  <si>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</si>
  <si>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</si>
  <si>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</si>
  <si>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</si>
  <si>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</si>
  <si>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</si>
  <si>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</si>
  <si>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</si>
  <si>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</si>
  <si>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</si>
  <si>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</si>
  <si>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</si>
  <si>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</si>
  <si>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</si>
  <si>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</si>
  <si>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</si>
  <si>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</si>
  <si>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</si>
  <si>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</si>
  <si>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</si>
  <si>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</si>
  <si>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</si>
  <si>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</si>
  <si>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</si>
  <si>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</si>
  <si>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</si>
  <si>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</si>
  <si>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</si>
  <si>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</si>
  <si>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</si>
  <si>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</si>
  <si>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</si>
  <si>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</si>
  <si>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</si>
  <si>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</si>
  <si>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</si>
  <si>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</si>
  <si>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</si>
  <si>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</si>
  <si>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</si>
  <si>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</si>
  <si>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</si>
  <si>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</si>
  <si>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</si>
  <si>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</si>
  <si>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</si>
  <si>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</si>
  <si>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</si>
  <si>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</si>
  <si>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</si>
  <si>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</si>
  <si>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</si>
  <si>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</si>
  <si>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</si>
  <si>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</si>
  <si>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</si>
  <si>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</si>
  <si>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</si>
  <si>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</si>
  <si>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</si>
  <si>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</si>
  <si>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</si>
  <si>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</si>
  <si>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</si>
  <si>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</si>
  <si>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</si>
  <si>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</si>
  <si>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</si>
  <si>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</si>
  <si>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</si>
  <si>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</si>
  <si>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</si>
  <si>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</si>
  <si>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</si>
  <si>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</si>
  <si>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</si>
  <si>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</si>
  <si>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</si>
  <si>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</si>
  <si>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</si>
  <si>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</si>
  <si>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</si>
  <si>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</si>
  <si>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</si>
  <si>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</si>
  <si>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</si>
  <si>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</si>
  <si>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</si>
  <si>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</si>
  <si>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</si>
  <si>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</si>
  <si>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</si>
  <si>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</si>
  <si>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</si>
  <si>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</si>
  <si>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</si>
  <si>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</si>
  <si>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</si>
  <si>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</si>
  <si>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</si>
  <si>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</si>
  <si>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</si>
  <si>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</si>
  <si>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</si>
  <si>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</si>
  <si>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</si>
  <si>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</si>
  <si>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</si>
  <si>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</si>
  <si>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</si>
  <si>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</si>
  <si>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</si>
  <si>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</si>
  <si>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</si>
  <si>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</si>
  <si>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</si>
  <si>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</si>
  <si>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</si>
  <si>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</si>
  <si>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</si>
  <si>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</si>
  <si>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</si>
  <si>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</si>
  <si>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</si>
  <si>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</si>
  <si>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</si>
  <si>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</si>
  <si>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</si>
  <si>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</si>
  <si>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</si>
  <si>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</si>
  <si>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</si>
  <si>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</si>
  <si>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</si>
  <si>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</si>
  <si>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</si>
  <si>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</si>
  <si>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</si>
  <si>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</si>
  <si>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</si>
  <si>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</si>
  <si>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</si>
  <si>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</si>
  <si>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</si>
  <si>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</si>
  <si>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</si>
  <si>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</si>
  <si>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</si>
  <si>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</si>
  <si>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</si>
  <si>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</si>
  <si>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</si>
  <si>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</si>
  <si>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</si>
  <si>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</si>
  <si>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</si>
  <si>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</si>
  <si>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</si>
  <si>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</si>
  <si>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</si>
  <si>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</si>
  <si>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</si>
  <si>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</si>
  <si>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</si>
  <si>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</si>
  <si>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</si>
  <si>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</si>
  <si>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</si>
  <si>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</si>
  <si>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</si>
  <si>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</si>
  <si>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</si>
  <si>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</si>
  <si>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</si>
  <si>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</si>
  <si>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</si>
  <si>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</si>
  <si>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</si>
  <si>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</si>
  <si>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</si>
  <si>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</si>
  <si>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</si>
  <si>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</si>
  <si>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</si>
  <si>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</si>
  <si>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</si>
  <si>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</si>
  <si>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</si>
  <si>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</si>
  <si>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</si>
  <si>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</si>
  <si>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</si>
  <si>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</si>
  <si>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</si>
  <si>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</si>
  <si>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</si>
  <si>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</si>
  <si>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</si>
  <si>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</si>
  <si>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</si>
  <si>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</si>
  <si>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</si>
  <si>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</si>
  <si>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</si>
  <si>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</si>
  <si>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</si>
  <si>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</si>
  <si>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</si>
  <si>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</si>
  <si>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</si>
  <si>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</si>
  <si>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</si>
  <si>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</si>
  <si>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</si>
  <si>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</si>
  <si>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</si>
  <si>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</si>
  <si>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</si>
  <si>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</si>
  <si>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</si>
  <si>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</si>
  <si>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</si>
  <si>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</si>
  <si>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</si>
  <si>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</si>
  <si>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</si>
  <si>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</si>
  <si>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</si>
  <si>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</si>
  <si>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</si>
  <si>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</si>
  <si>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</si>
  <si>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</si>
  <si>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</si>
  <si>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</si>
  <si>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</si>
  <si>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</si>
  <si>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</si>
  <si>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</si>
  <si>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</si>
  <si>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</si>
  <si>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</si>
  <si>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</si>
  <si>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</si>
  <si>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</si>
  <si>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</si>
  <si>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</si>
  <si>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</si>
  <si>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</si>
  <si>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</si>
  <si>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</si>
  <si>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</si>
  <si>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</si>
  <si>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</si>
  <si>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</si>
  <si>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</si>
  <si>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</si>
  <si>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</si>
  <si>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</si>
  <si>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</si>
  <si>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</si>
  <si>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</si>
  <si>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</si>
  <si>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</si>
  <si>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</si>
  <si>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</si>
  <si>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</si>
  <si>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</si>
  <si>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</si>
  <si>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</si>
  <si>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</si>
  <si>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</si>
  <si>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</si>
  <si>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</si>
  <si>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</si>
  <si>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</si>
  <si>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</si>
  <si>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</si>
  <si>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</si>
  <si>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</si>
  <si>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</si>
  <si>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</si>
  <si>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</si>
  <si>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</si>
  <si>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</si>
  <si>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</si>
  <si>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</si>
  <si>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</si>
  <si>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</si>
  <si>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</si>
  <si>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</si>
  <si>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</si>
  <si>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</si>
  <si>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</si>
  <si>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</si>
  <si>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</si>
  <si>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</si>
  <si>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</si>
  <si>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</si>
  <si>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</si>
  <si>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</si>
  <si>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</si>
  <si>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</si>
  <si>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</si>
  <si>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</si>
  <si>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</si>
  <si>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</si>
  <si>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</si>
  <si>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</si>
  <si>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</si>
  <si>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</si>
  <si>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</si>
  <si>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</si>
  <si>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</si>
  <si>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</si>
  <si>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</si>
  <si>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</si>
  <si>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</si>
  <si>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</si>
  <si>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</si>
  <si>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</si>
  <si>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</si>
  <si>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</si>
  <si>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</si>
  <si>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</si>
  <si>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</si>
  <si>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</si>
  <si>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</si>
  <si>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</si>
  <si>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</si>
  <si>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</si>
  <si>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</si>
  <si>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</si>
  <si>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</si>
  <si>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</si>
  <si>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</si>
  <si>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</si>
  <si>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</si>
  <si>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</si>
  <si>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</si>
  <si>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</si>
  <si>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</si>
  <si>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</si>
  <si>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</si>
  <si>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</si>
  <si>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</si>
  <si>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</si>
  <si>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</si>
  <si>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</si>
  <si>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</si>
  <si>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</si>
  <si>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</si>
  <si>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</si>
  <si>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</si>
  <si>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</si>
  <si>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</si>
  <si>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</si>
  <si>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</si>
  <si>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</si>
  <si>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</si>
  <si>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</si>
  <si>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</si>
  <si>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</si>
  <si>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</si>
  <si>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</si>
  <si>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</si>
  <si>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</si>
  <si>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</si>
  <si>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</si>
  <si>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</si>
  <si>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</si>
  <si>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</si>
  <si>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</si>
  <si>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</si>
  <si>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</si>
  <si>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</si>
  <si>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</si>
  <si>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</si>
  <si>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</si>
  <si>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</si>
  <si>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</si>
  <si>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</si>
  <si>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</si>
  <si>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</si>
  <si>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</si>
  <si>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</si>
  <si>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</si>
  <si>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</si>
  <si>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</si>
  <si>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</si>
  <si>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</si>
  <si>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</si>
  <si>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</si>
  <si>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</si>
  <si>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</si>
  <si>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</si>
  <si>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</si>
  <si>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</si>
  <si>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</si>
  <si>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</si>
  <si>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</si>
  <si>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</si>
  <si>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</si>
  <si>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</si>
  <si>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</si>
  <si>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</si>
  <si>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</si>
  <si>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</si>
  <si>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</si>
  <si>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</si>
  <si>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</si>
  <si>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</si>
  <si>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</si>
  <si>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</si>
  <si>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</si>
  <si>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</si>
  <si>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</si>
  <si>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</si>
  <si>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</si>
  <si>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</si>
  <si>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</si>
  <si>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</si>
  <si>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</si>
  <si>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</si>
  <si>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</si>
  <si>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</si>
  <si>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</si>
  <si>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</si>
  <si>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</si>
  <si>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</si>
  <si>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</si>
  <si>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</si>
  <si>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</si>
  <si>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</si>
  <si>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</si>
  <si>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</si>
  <si>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</si>
  <si>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</si>
  <si>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</si>
  <si>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</si>
  <si>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</si>
  <si>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</si>
  <si>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</si>
  <si>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</si>
  <si>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</si>
  <si>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</si>
  <si>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</si>
  <si>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</si>
  <si>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</si>
  <si>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</si>
  <si>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</si>
  <si>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</si>
  <si>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</si>
  <si>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</si>
  <si>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</si>
  <si>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</si>
  <si>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</si>
  <si>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</si>
  <si>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</si>
  <si>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</si>
  <si>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</si>
  <si>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</si>
  <si>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</si>
  <si>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</si>
  <si>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</si>
  <si>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</si>
  <si>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</si>
  <si>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</si>
  <si>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</si>
  <si>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</si>
  <si>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</si>
  <si>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</si>
  <si>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</si>
  <si>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</si>
  <si>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</si>
  <si>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</si>
  <si>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</si>
  <si>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</si>
  <si>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</si>
  <si>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</si>
  <si>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</si>
  <si>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</si>
  <si>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</si>
  <si>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</si>
  <si>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</si>
  <si>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</si>
  <si>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</si>
  <si>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</si>
  <si>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</si>
  <si>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</si>
  <si>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</si>
  <si>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</si>
  <si>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</si>
  <si>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</si>
  <si>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</si>
  <si>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</si>
  <si>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</si>
  <si>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</si>
  <si>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</si>
  <si>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</si>
  <si>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</si>
  <si>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</si>
  <si>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</si>
  <si>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</si>
  <si>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</si>
  <si>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</si>
  <si>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</si>
  <si>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</si>
  <si>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</si>
  <si>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</si>
  <si>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</si>
  <si>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</si>
  <si>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</si>
  <si>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</si>
  <si>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</si>
  <si>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</si>
  <si>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</si>
  <si>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</si>
  <si>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</si>
  <si>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</si>
  <si>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</si>
  <si>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</si>
  <si>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</si>
  <si>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</si>
  <si>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</si>
  <si>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</si>
  <si>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</si>
  <si>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</si>
  <si>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</si>
  <si>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</si>
  <si>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</si>
  <si>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</si>
  <si>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</si>
  <si>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</si>
  <si>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</si>
  <si>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</si>
  <si>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</si>
  <si>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</si>
  <si>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</si>
  <si>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</si>
  <si>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</si>
  <si>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</si>
  <si>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</si>
  <si>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</si>
  <si>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</si>
  <si>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</si>
  <si>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</si>
  <si>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</si>
  <si>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</si>
  <si>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</si>
  <si>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</si>
  <si>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</si>
  <si>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</si>
  <si>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</si>
  <si>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</si>
  <si>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</si>
  <si>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</si>
  <si>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</si>
  <si>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</si>
  <si>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</si>
  <si>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</si>
  <si>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</si>
  <si>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</si>
  <si>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</si>
  <si>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</si>
  <si>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</si>
  <si>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</si>
  <si>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</si>
  <si>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</si>
  <si>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</si>
  <si>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</si>
  <si>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</si>
  <si>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</si>
  <si>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</si>
  <si>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</si>
  <si>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</si>
  <si>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</si>
  <si>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</si>
  <si>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</si>
  <si>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</si>
  <si>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</si>
  <si>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</si>
  <si>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</si>
  <si>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</si>
  <si>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</si>
  <si>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</si>
  <si>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</si>
  <si>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</si>
  <si>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</si>
  <si>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</si>
  <si>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</si>
  <si>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</si>
  <si>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</si>
  <si>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</si>
  <si>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</si>
  <si>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</si>
  <si>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</si>
  <si>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</si>
  <si>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</si>
  <si>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</si>
  <si>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</si>
  <si>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</si>
  <si>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</si>
  <si>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</si>
  <si>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</si>
  <si>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</si>
  <si>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</si>
  <si>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</si>
  <si>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</si>
  <si>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</si>
  <si>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</si>
  <si>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</si>
  <si>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</si>
  <si>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</si>
  <si>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</si>
  <si>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</si>
  <si>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</si>
  <si>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</si>
  <si>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</si>
  <si>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</si>
  <si>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</si>
  <si>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</si>
  <si>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</si>
  <si>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</si>
  <si>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</si>
  <si>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</si>
  <si>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</si>
  <si>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</si>
  <si>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</si>
  <si>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</si>
  <si>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</si>
  <si>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</si>
  <si>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</si>
  <si>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</si>
  <si>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</si>
  <si>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</si>
  <si>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</si>
  <si>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</si>
  <si>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</si>
  <si>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</si>
  <si>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</si>
  <si>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</si>
  <si>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</si>
  <si>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</si>
  <si>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</si>
  <si>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</si>
  <si>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</si>
  <si>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</si>
  <si>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</si>
  <si>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</si>
  <si>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</si>
  <si>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</si>
  <si>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</si>
  <si>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</si>
  <si>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</si>
  <si>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</si>
  <si>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</si>
  <si>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</si>
  <si>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</si>
  <si>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</si>
  <si>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</si>
  <si>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</si>
  <si>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</si>
  <si>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</si>
  <si>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</si>
  <si>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</si>
  <si>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</si>
  <si>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</si>
  <si>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</si>
  <si>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</si>
  <si>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</si>
  <si>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</si>
  <si>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</si>
  <si>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</si>
  <si>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</si>
  <si>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</si>
  <si>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</si>
  <si>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</si>
  <si>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</si>
  <si>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</si>
  <si>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</si>
  <si>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</si>
  <si>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</si>
  <si>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</si>
  <si>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</si>
  <si>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</si>
  <si>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</si>
  <si>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</si>
  <si>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</si>
  <si>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</si>
  <si>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</si>
  <si>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</si>
  <si>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</si>
  <si>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</si>
  <si>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</si>
  <si>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</si>
  <si>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</si>
  <si>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</si>
  <si>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</si>
  <si>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</si>
  <si>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</si>
  <si>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</si>
  <si>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</si>
  <si>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</si>
  <si>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</si>
  <si>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</si>
  <si>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</si>
  <si>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</si>
  <si>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</si>
  <si>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</si>
  <si>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</si>
  <si>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</si>
  <si>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</si>
  <si>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</si>
  <si>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</si>
  <si>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</si>
  <si>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</si>
  <si>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</si>
  <si>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</si>
  <si>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</si>
  <si>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</si>
  <si>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</si>
  <si>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</si>
  <si>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</si>
  <si>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</si>
  <si>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</si>
  <si>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</si>
  <si>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</si>
  <si>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</si>
  <si>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</si>
  <si>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</si>
  <si>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</si>
  <si>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</si>
  <si>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</si>
  <si>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</si>
  <si>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</si>
  <si>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</si>
  <si>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</si>
  <si>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</si>
  <si>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</si>
  <si>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</si>
  <si>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</si>
  <si>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</si>
  <si>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</si>
  <si>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</si>
  <si>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</si>
  <si>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</si>
  <si>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</si>
  <si>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</si>
  <si>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</si>
  <si>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</si>
  <si>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</si>
  <si>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</si>
  <si>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</si>
  <si>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</si>
  <si>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</si>
  <si>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</si>
  <si>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</si>
  <si>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</si>
  <si>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</si>
  <si>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</si>
  <si>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</si>
  <si>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</si>
  <si>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</si>
  <si>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</si>
  <si>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</si>
  <si>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</si>
  <si>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</si>
  <si>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</si>
  <si>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</si>
  <si>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</si>
  <si>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</si>
  <si>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</si>
  <si>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</si>
  <si>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</si>
  <si>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</si>
  <si>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</si>
  <si>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</si>
  <si>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</si>
  <si>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</si>
  <si>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</si>
  <si>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</si>
  <si>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</si>
  <si>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</si>
  <si>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</si>
  <si>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</si>
  <si>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</si>
  <si>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</si>
  <si>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</si>
  <si>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</si>
  <si>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</si>
  <si>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</si>
  <si>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</si>
  <si>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</si>
  <si>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</si>
  <si>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</si>
  <si>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</si>
  <si>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</si>
  <si>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</si>
  <si>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</si>
  <si>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</si>
  <si>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</si>
  <si>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</si>
  <si>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</si>
  <si>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</si>
  <si>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</si>
  <si>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</si>
  <si>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</si>
  <si>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</si>
  <si>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</si>
  <si>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</si>
  <si>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</si>
  <si>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</si>
  <si>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</si>
  <si>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</si>
  <si>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</si>
  <si>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</si>
  <si>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</si>
  <si>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</si>
  <si>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</si>
  <si>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</si>
  <si>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</si>
  <si>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</si>
  <si>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</si>
  <si>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</si>
  <si>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</si>
  <si>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</si>
  <si>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</si>
  <si>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</si>
  <si>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</si>
  <si>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</si>
  <si>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</si>
  <si>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</si>
  <si>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</si>
  <si>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</si>
  <si>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</si>
  <si>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</si>
  <si>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</si>
  <si>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</si>
  <si>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</si>
  <si>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</si>
  <si>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</si>
  <si>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</si>
  <si>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</si>
  <si>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</si>
  <si>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</si>
  <si>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</si>
  <si>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</si>
  <si>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</si>
  <si>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</si>
  <si>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</si>
  <si>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</si>
  <si>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</si>
  <si>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</si>
  <si>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</si>
  <si>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</si>
  <si>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</si>
  <si>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</si>
  <si>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</si>
  <si>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</si>
  <si>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</si>
  <si>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</si>
  <si>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</si>
  <si>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</si>
  <si>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</si>
  <si>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</si>
  <si>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</si>
  <si>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</si>
  <si>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</si>
  <si>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</si>
  <si>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</si>
  <si>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</si>
  <si>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</si>
  <si>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</si>
  <si>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</si>
  <si>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</si>
  <si>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</si>
  <si>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</si>
  <si>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</si>
  <si>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</si>
  <si>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</si>
  <si>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</si>
  <si>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</si>
  <si>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</si>
  <si>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</si>
  <si>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</si>
  <si>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</si>
  <si>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</si>
  <si>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</si>
  <si>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</si>
  <si>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</si>
  <si>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</si>
  <si>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</si>
  <si>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</si>
  <si>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</si>
  <si>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</si>
  <si>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</si>
  <si>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</si>
  <si>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</si>
  <si>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</si>
  <si>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</si>
  <si>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</si>
  <si>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</si>
  <si>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</si>
  <si>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</si>
  <si>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</si>
  <si>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</si>
  <si>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</si>
  <si>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</si>
  <si>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</si>
  <si>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</si>
  <si>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</si>
  <si>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</si>
  <si>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</si>
  <si>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</si>
  <si>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</si>
  <si>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</si>
  <si>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</si>
  <si>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</si>
  <si>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</si>
  <si>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</si>
  <si>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</si>
  <si>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</si>
  <si>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</si>
  <si>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</si>
  <si>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</si>
  <si>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</si>
  <si>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</si>
  <si>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</si>
  <si>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</si>
  <si>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</si>
  <si>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</si>
  <si>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</si>
  <si>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</si>
  <si>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</si>
  <si>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</si>
  <si>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</si>
  <si>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</si>
  <si>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</si>
  <si>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</si>
  <si>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</si>
  <si>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</si>
  <si>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</si>
  <si>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</si>
  <si>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</si>
  <si>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</si>
  <si>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</si>
  <si>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</si>
  <si>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</si>
  <si>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</si>
  <si>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</si>
  <si>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</si>
  <si>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</si>
  <si>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</si>
  <si>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</si>
  <si>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</si>
  <si>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</si>
  <si>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</si>
  <si>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</si>
  <si>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</si>
  <si>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</si>
  <si>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</si>
  <si>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</si>
  <si>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</si>
  <si>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</si>
  <si>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</si>
  <si>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</si>
  <si>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</si>
  <si>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</si>
  <si>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</si>
  <si>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</si>
  <si>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</si>
  <si>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</si>
  <si>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</si>
  <si>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</si>
  <si>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</si>
  <si>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</si>
  <si>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</si>
  <si>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</si>
  <si>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</si>
  <si>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</si>
  <si>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</si>
  <si>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</si>
  <si>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</si>
  <si>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</si>
  <si>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</si>
  <si>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</si>
  <si>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</si>
  <si>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</si>
  <si>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</si>
  <si>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</si>
  <si>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</si>
  <si>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</si>
  <si>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</si>
  <si>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</si>
  <si>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</si>
  <si>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</si>
  <si>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</si>
  <si>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</si>
  <si>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</si>
  <si>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</si>
  <si>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</si>
  <si>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</si>
  <si>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</si>
  <si>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</si>
  <si>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</si>
  <si>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</si>
  <si>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</si>
  <si>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</si>
  <si>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</si>
  <si>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</si>
  <si>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</si>
  <si>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</si>
  <si>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</si>
  <si>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</si>
  <si>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</si>
  <si>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</si>
  <si>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</si>
  <si>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</si>
  <si>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</si>
  <si>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</si>
  <si>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</si>
  <si>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</si>
  <si>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</si>
  <si>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</si>
  <si>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</si>
  <si>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</si>
  <si>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</si>
  <si>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</si>
  <si>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</si>
  <si>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</si>
  <si>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</si>
  <si>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</si>
  <si>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</si>
  <si>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</si>
  <si>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</si>
  <si>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</si>
  <si>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</si>
  <si>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</si>
  <si>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</si>
  <si>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</si>
  <si>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</si>
  <si>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</si>
  <si>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</si>
  <si>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</si>
  <si>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</si>
  <si>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</si>
  <si>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</si>
  <si>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</si>
  <si>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</si>
  <si>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</si>
  <si>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</si>
  <si>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</si>
  <si>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</si>
  <si>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</si>
  <si>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</si>
  <si>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</si>
  <si>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</si>
  <si>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</si>
  <si>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</si>
  <si>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</si>
  <si>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</si>
  <si>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</si>
  <si>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</si>
  <si>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</si>
  <si>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</si>
  <si>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</si>
  <si>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</si>
  <si>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</si>
  <si>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</si>
  <si>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</si>
  <si>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</si>
  <si>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</si>
  <si>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</si>
  <si>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</si>
  <si>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</si>
  <si>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</si>
  <si>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</si>
  <si>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</si>
  <si>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</si>
  <si>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</si>
  <si>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</si>
  <si>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</si>
  <si>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</si>
  <si>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</si>
  <si>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</si>
  <si>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</si>
  <si>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</si>
  <si>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</si>
  <si>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</si>
  <si>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</si>
  <si>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</si>
  <si>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</si>
  <si>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</si>
  <si>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</si>
  <si>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</si>
  <si>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</si>
  <si>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</si>
  <si>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</si>
  <si>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</si>
  <si>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</si>
  <si>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</si>
  <si>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</si>
  <si>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</si>
  <si>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</si>
  <si>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</si>
  <si>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</si>
  <si>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</si>
  <si>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</si>
  <si>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</si>
  <si>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</si>
  <si>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</si>
  <si>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</si>
  <si>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</si>
  <si>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</si>
  <si>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</si>
  <si>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</si>
  <si>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</si>
  <si>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</si>
  <si>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</si>
  <si>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</si>
  <si>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</si>
  <si>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</si>
  <si>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</si>
  <si>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</si>
  <si>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</si>
  <si>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</si>
  <si>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</si>
  <si>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</si>
  <si>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</si>
  <si>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</si>
  <si>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</si>
  <si>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</si>
  <si>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</si>
  <si>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</si>
  <si>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</si>
  <si>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</si>
  <si>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</si>
  <si>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</si>
  <si>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</si>
  <si>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</si>
  <si>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</si>
  <si>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</si>
  <si>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</si>
  <si>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</si>
  <si>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</si>
  <si>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</si>
  <si>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</si>
  <si>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</si>
  <si>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</si>
  <si>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</si>
  <si>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</si>
  <si>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</si>
  <si>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</si>
  <si>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</si>
  <si>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</si>
  <si>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</si>
  <si>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</si>
  <si>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</si>
  <si>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</si>
  <si>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</si>
  <si>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</si>
  <si>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</si>
  <si>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</si>
  <si>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</si>
  <si>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</si>
  <si>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</si>
  <si>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</si>
  <si>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</si>
  <si>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</si>
  <si>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</si>
  <si>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</si>
  <si>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</si>
  <si>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</si>
  <si>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</si>
  <si>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</si>
  <si>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</si>
  <si>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</si>
  <si>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</si>
  <si>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</si>
  <si>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</si>
  <si>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</si>
  <si>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</si>
  <si>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</si>
  <si>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</si>
  <si>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</si>
  <si>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</si>
  <si>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</si>
  <si>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</si>
  <si>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</si>
  <si>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</si>
  <si>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</si>
  <si>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</si>
  <si>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</si>
  <si>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</si>
  <si>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</si>
  <si>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</si>
  <si>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</si>
  <si>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</si>
  <si>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</si>
  <si>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</si>
  <si>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</si>
  <si>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</si>
  <si>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</si>
  <si>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</si>
  <si>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</si>
  <si>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</si>
  <si>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</si>
  <si>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</si>
  <si>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</si>
  <si>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</si>
  <si>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</si>
  <si>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</si>
  <si>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</si>
  <si>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</si>
  <si>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</si>
  <si>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</si>
  <si>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</si>
  <si>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</si>
  <si>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</si>
  <si>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</si>
  <si>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</si>
  <si>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</si>
  <si>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</si>
  <si>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</si>
  <si>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</si>
  <si>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</si>
  <si>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</si>
  <si>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</si>
  <si>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</si>
  <si>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</si>
  <si>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</si>
  <si>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</si>
  <si>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</si>
  <si>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</si>
  <si>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</si>
  <si>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</si>
  <si>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</si>
  <si>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</si>
  <si>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</si>
  <si>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</si>
  <si>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</si>
  <si>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</si>
  <si>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</si>
  <si>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</si>
  <si>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</si>
  <si>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</si>
  <si>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</si>
  <si>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</si>
  <si>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</si>
  <si>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</si>
  <si>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</si>
  <si>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</si>
  <si>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</si>
  <si>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</si>
  <si>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</si>
  <si>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</si>
  <si>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</si>
  <si>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</si>
  <si>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</si>
  <si>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</si>
  <si>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</si>
  <si>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</si>
  <si>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</si>
  <si>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</si>
  <si>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</si>
  <si>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</si>
  <si>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</si>
  <si>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</si>
  <si>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</si>
  <si>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</si>
  <si>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</si>
  <si>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</si>
  <si>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</si>
  <si>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</si>
  <si>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</si>
  <si>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</si>
  <si>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</si>
  <si>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</si>
  <si>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</si>
  <si>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</si>
  <si>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</si>
  <si>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</si>
  <si>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</si>
  <si>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</si>
  <si>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</si>
  <si>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</si>
  <si>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</si>
  <si>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</si>
  <si>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</si>
  <si>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</si>
  <si>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</si>
  <si>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</si>
  <si>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</si>
  <si>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</si>
  <si>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</si>
  <si>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</si>
  <si>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</si>
  <si>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</si>
  <si>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</si>
  <si>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</si>
  <si>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</si>
  <si>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</si>
  <si>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</si>
  <si>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</si>
  <si>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</si>
  <si>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</si>
  <si>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</si>
  <si>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</si>
  <si>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</si>
  <si>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</si>
  <si>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</si>
  <si>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</si>
  <si>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</si>
  <si>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</si>
  <si>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</si>
  <si>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</si>
  <si>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</si>
  <si>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</si>
  <si>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</si>
  <si>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</si>
  <si>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</si>
  <si>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</si>
  <si>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</si>
  <si>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</si>
  <si>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</si>
  <si>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</si>
  <si>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</si>
  <si>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</si>
  <si>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</si>
  <si>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</si>
  <si>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</si>
  <si>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</si>
  <si>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</si>
  <si>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</si>
  <si>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</si>
  <si>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</si>
  <si>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</si>
  <si>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</si>
  <si>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</si>
  <si>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</si>
  <si>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</si>
  <si>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</si>
  <si>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</si>
  <si>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</si>
  <si>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</si>
  <si>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</si>
  <si>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</si>
  <si>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</si>
  <si>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</si>
  <si>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</si>
  <si>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</si>
  <si>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</si>
  <si>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</si>
  <si>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</si>
  <si>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</si>
  <si>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</si>
  <si>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</si>
  <si>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</si>
  <si>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</si>
  <si>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</si>
  <si>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</si>
  <si>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</si>
  <si>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</si>
  <si>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</si>
  <si>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</si>
  <si>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</si>
  <si>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</si>
  <si>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</si>
  <si>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</si>
  <si>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</si>
  <si>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</si>
  <si>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</si>
  <si>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</si>
  <si>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</si>
  <si>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</si>
  <si>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</si>
  <si>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</si>
  <si>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</si>
  <si>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</si>
  <si>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</si>
  <si>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</si>
  <si>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</si>
  <si>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</si>
  <si>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</si>
  <si>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</si>
  <si>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</si>
  <si>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</si>
  <si>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</si>
  <si>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</si>
  <si>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</si>
  <si>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</si>
  <si>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</si>
  <si>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</si>
  <si>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</si>
  <si>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</si>
  <si>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</si>
  <si>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</si>
  <si>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</si>
  <si>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</si>
  <si>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</si>
  <si>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</si>
  <si>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</si>
  <si>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</si>
  <si>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</si>
  <si>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</si>
  <si>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</si>
  <si>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</si>
  <si>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</si>
  <si>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</si>
  <si>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</si>
  <si>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</si>
  <si>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</si>
  <si>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</si>
  <si>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</si>
  <si>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</si>
  <si>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</si>
  <si>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</si>
  <si>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</si>
  <si>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</si>
  <si>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</si>
  <si>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</si>
  <si>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</si>
  <si>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</si>
  <si>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</si>
  <si>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</si>
  <si>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</si>
  <si>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</si>
  <si>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</si>
  <si>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</si>
  <si>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</si>
  <si>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</si>
  <si>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</si>
  <si>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</si>
  <si>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</si>
  <si>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</si>
  <si>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</si>
  <si>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</si>
  <si>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</si>
  <si>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</si>
  <si>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</si>
  <si>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</si>
  <si>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</si>
  <si>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</si>
  <si>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</si>
  <si>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</si>
  <si>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</si>
  <si>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</si>
  <si>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</si>
  <si>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</si>
  <si>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</si>
  <si>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</si>
  <si>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</si>
  <si>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</si>
  <si>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</si>
  <si>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</si>
  <si>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</si>
  <si>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</si>
  <si>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</si>
  <si>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</si>
  <si>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</si>
  <si>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</si>
  <si>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</si>
  <si>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</si>
  <si>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</si>
  <si>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</si>
  <si>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</si>
  <si>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</si>
  <si>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</si>
  <si>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</si>
  <si>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</si>
  <si>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</si>
  <si>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</si>
  <si>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</si>
  <si>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</si>
  <si>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</si>
  <si>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</si>
  <si>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</si>
  <si>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</si>
  <si>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</si>
  <si>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</si>
  <si>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</si>
  <si>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</si>
  <si>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</si>
  <si>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</si>
  <si>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</si>
  <si>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</si>
  <si>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</si>
  <si>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</si>
  <si>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</si>
  <si>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</si>
  <si>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</si>
  <si>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</si>
  <si>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</si>
  <si>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</si>
  <si>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</si>
  <si>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</si>
  <si>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</si>
  <si>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</si>
  <si>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</si>
  <si>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</si>
  <si>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</si>
  <si>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</si>
  <si>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</si>
  <si>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</si>
  <si>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</si>
  <si>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</si>
  <si>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</si>
  <si>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</si>
  <si>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</si>
  <si>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</si>
  <si>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</si>
  <si>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</si>
  <si>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</si>
  <si>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</si>
  <si>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</si>
  <si>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</si>
  <si>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</si>
  <si>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</si>
  <si>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</si>
  <si>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</si>
  <si>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</si>
  <si>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</si>
  <si>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</si>
  <si>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</si>
  <si>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</si>
  <si>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</si>
  <si>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</si>
  <si>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</si>
  <si>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</si>
  <si>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</si>
  <si>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</si>
  <si>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</si>
  <si>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</si>
  <si>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</si>
  <si>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</si>
  <si>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</si>
  <si>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</si>
  <si>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</si>
  <si>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</si>
  <si>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</si>
  <si>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</si>
  <si>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</si>
  <si>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</si>
  <si>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</si>
  <si>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</si>
  <si>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</si>
  <si>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</si>
  <si>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</si>
  <si>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</si>
  <si>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</si>
  <si>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</si>
  <si>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</si>
  <si>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</si>
  <si>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</si>
  <si>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</si>
  <si>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</si>
  <si>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</si>
  <si>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</si>
  <si>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</si>
  <si>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</si>
  <si>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</si>
  <si>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</si>
  <si>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</si>
  <si>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</si>
  <si>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</si>
  <si>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</si>
  <si>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</si>
  <si>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</si>
  <si>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</si>
  <si>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</si>
  <si>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</si>
  <si>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</si>
  <si>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</si>
  <si>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</si>
  <si>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</si>
  <si>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</si>
  <si>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</si>
  <si>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</si>
  <si>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</si>
  <si>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</si>
  <si>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</si>
  <si>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</si>
  <si>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</si>
  <si>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</si>
  <si>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</si>
  <si>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</si>
  <si>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</si>
  <si>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</si>
  <si>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</si>
  <si>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</si>
  <si>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</si>
  <si>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</si>
  <si>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</si>
  <si>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</si>
  <si>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</si>
  <si>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</si>
  <si>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</si>
  <si>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</si>
  <si>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</si>
  <si>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</si>
  <si>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</si>
  <si>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</si>
  <si>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</si>
  <si>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</si>
  <si>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</si>
  <si>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</si>
  <si>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</si>
  <si>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</si>
  <si>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</si>
  <si>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</si>
  <si>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</si>
  <si>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</si>
  <si>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</si>
  <si>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</si>
  <si>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</si>
  <si>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</si>
  <si>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</si>
  <si>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</si>
  <si>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</si>
  <si>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</si>
  <si>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</si>
  <si>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</si>
  <si>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</si>
  <si>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</si>
  <si>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</si>
  <si>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</si>
  <si>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</si>
  <si>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</si>
  <si>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</si>
  <si>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</si>
  <si>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</si>
  <si>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</si>
  <si>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</si>
  <si>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</si>
  <si>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</si>
  <si>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</si>
  <si>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</si>
  <si>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</si>
  <si>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</si>
  <si>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</si>
  <si>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</si>
  <si>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</si>
  <si>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</si>
  <si>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</si>
  <si>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</si>
  <si>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</si>
  <si>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</si>
  <si>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</si>
  <si>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</si>
  <si>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</si>
  <si>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</si>
  <si>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</si>
  <si>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</si>
  <si>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</si>
  <si>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</si>
  <si>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</si>
  <si>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</si>
  <si>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</si>
  <si>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</si>
  <si>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</si>
  <si>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</si>
  <si>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</si>
  <si>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</si>
  <si>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</si>
  <si>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</si>
  <si>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</si>
  <si>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</si>
  <si>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</si>
  <si>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</si>
  <si>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</si>
  <si>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</si>
  <si>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</si>
  <si>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</si>
  <si>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</si>
  <si>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</si>
  <si>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</si>
  <si>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</si>
  <si>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</si>
  <si>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</si>
  <si>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</si>
  <si>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</si>
  <si>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</si>
  <si>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</si>
  <si>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</si>
  <si>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</si>
  <si>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</si>
  <si>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</si>
  <si>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</si>
  <si>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</si>
  <si>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</si>
  <si>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</si>
  <si>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</si>
  <si>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</si>
  <si>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</si>
  <si>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</si>
  <si>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</si>
  <si>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</si>
  <si>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</si>
  <si>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</si>
  <si>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</si>
  <si>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</si>
  <si>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</si>
  <si>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</si>
  <si>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</si>
  <si>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</si>
  <si>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</si>
  <si>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</si>
  <si>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</si>
  <si>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</si>
  <si>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</si>
  <si>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</si>
  <si>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</si>
  <si>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</si>
  <si>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</si>
  <si>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</si>
  <si>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</si>
  <si>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</si>
  <si>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</si>
  <si>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</si>
  <si>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</si>
  <si>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</si>
  <si>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</si>
  <si>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</si>
  <si>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</si>
  <si>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</si>
  <si>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</si>
  <si>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</si>
  <si>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</si>
  <si>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</si>
  <si>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</si>
  <si>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</si>
  <si>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</si>
  <si>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</si>
  <si>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</si>
  <si>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</si>
  <si>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</si>
  <si>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</si>
  <si>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</si>
  <si>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</si>
  <si>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</si>
  <si>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</si>
  <si>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</si>
  <si>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</si>
  <si>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</si>
  <si>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</si>
  <si>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</si>
  <si>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</si>
  <si>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</si>
  <si>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</si>
  <si>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</si>
  <si>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</si>
  <si>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</si>
  <si>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</si>
  <si>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</si>
  <si>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</si>
  <si>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</si>
  <si>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</si>
  <si>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</si>
  <si>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</si>
  <si>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</si>
  <si>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</si>
  <si>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</si>
  <si>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</si>
  <si>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</si>
  <si>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</si>
  <si>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</si>
  <si>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</si>
  <si>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</si>
  <si>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</si>
  <si>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</si>
  <si>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</si>
  <si>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</si>
  <si>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</si>
  <si>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</si>
  <si>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</si>
  <si>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</si>
  <si>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</si>
  <si>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</si>
  <si>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</si>
  <si>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</si>
  <si>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</si>
  <si>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</si>
  <si>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</si>
  <si>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</si>
  <si>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</si>
  <si>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</si>
  <si>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</si>
  <si>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</si>
  <si>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</si>
  <si>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</si>
  <si>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</si>
  <si>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</si>
  <si>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</si>
  <si>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</si>
  <si>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</si>
  <si>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</si>
  <si>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</si>
  <si>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</si>
  <si>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</si>
  <si>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</si>
  <si>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</si>
  <si>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</si>
  <si>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</si>
  <si>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</si>
  <si>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</si>
  <si>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</si>
  <si>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</si>
  <si>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</si>
  <si>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</si>
  <si>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</si>
  <si>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</si>
  <si>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</si>
  <si>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</si>
  <si>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</si>
  <si>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</si>
  <si>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</si>
  <si>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</si>
  <si>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学府壹号院</t>
    <phoneticPr fontId="4" type="noConversion"/>
  </si>
  <si>
    <t>多层</t>
  </si>
  <si>
    <t>多层</t>
    <phoneticPr fontId="22" type="noConversion"/>
  </si>
  <si>
    <t>否</t>
    <phoneticPr fontId="22" type="noConversion"/>
  </si>
  <si>
    <t>是</t>
    <phoneticPr fontId="22" type="noConversion"/>
  </si>
  <si>
    <t>普通</t>
    <phoneticPr fontId="22" type="noConversion"/>
  </si>
  <si>
    <t>简单</t>
    <phoneticPr fontId="22" type="noConversion"/>
  </si>
  <si>
    <t>毛坯</t>
  </si>
  <si>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</si>
  <si>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</si>
  <si>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</si>
  <si>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</si>
  <si>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</si>
  <si>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</si>
  <si>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</si>
  <si>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</si>
  <si>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</si>
  <si>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</si>
  <si>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</si>
  <si>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</si>
  <si>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</si>
  <si>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</si>
  <si>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</si>
  <si>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</si>
  <si>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</si>
  <si>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</si>
  <si>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</si>
  <si>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</si>
  <si>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</si>
  <si>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</si>
  <si>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</si>
  <si>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</si>
  <si>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</si>
  <si>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</si>
  <si>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</si>
  <si>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</si>
  <si>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</si>
  <si>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</si>
  <si>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</si>
  <si>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</si>
  <si>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</si>
  <si>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总价值（万元）</t>
    <phoneticPr fontId="225" type="noConversion"/>
  </si>
  <si>
    <t>扣除补缴后价值（万元）</t>
    <phoneticPr fontId="225" type="noConversion"/>
  </si>
  <si>
    <t>仓储</t>
    <phoneticPr fontId="225" type="noConversion"/>
  </si>
  <si>
    <t>车库</t>
    <phoneticPr fontId="225" type="noConversion"/>
  </si>
  <si>
    <t>补缴</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</si>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</sst>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55">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1" fillId="0" borderId="2" xfId="14" applyFont="1" applyBorder="1" applyAlignment="1" applyProtection="1">
      <alignment horizontal="left" vertical="center" wrapText="1"/>
      <protection locked="0"/>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53" fillId="26" borderId="0" xfId="18" applyFont="1" applyFill="1" applyAlignment="1">
      <alignment horizontal="left" vertical="center" wrapText="1"/>
    </xf>
    <xf numFmtId="0" fontId="303" fillId="0" borderId="2" xfId="18" applyFont="1" applyBorder="1" applyAlignment="1">
      <alignment horizontal="center" vertical="center"/>
    </xf>
    <xf numFmtId="180" fontId="303" fillId="0" borderId="2" xfId="18" applyNumberFormat="1" applyFont="1" applyBorder="1" applyAlignment="1">
      <alignment horizontal="center" vertical="center"/>
    </xf>
    <xf numFmtId="0" fontId="150" fillId="7" borderId="0" xfId="18" applyFont="1" applyFill="1" applyAlignment="1">
      <alignment horizontal="center" vertical="center" wrapText="1"/>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0" fontId="304" fillId="0" borderId="2" xfId="18" applyFont="1" applyBorder="1" applyAlignment="1">
      <alignment horizontal="center" vertical="center"/>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305" fillId="0" borderId="11" xfId="0" applyFont="1" applyBorder="1" applyAlignment="1" applyProtection="1">
      <alignment horizontal="center" vertical="center" wrapText="1"/>
      <protection locked="0"/>
    </xf>
    <xf numFmtId="0" fontId="305" fillId="0" borderId="9"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72&#22320;&#22359;&#20303;&#23429;.xlsx" TargetMode="External"/><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55&#22320;&#22359;&#21830;&#21150;.xlsx" TargetMode="External"/><Relationship Id="rId1" Type="http://schemas.openxmlformats.org/officeDocument/2006/relationships/externalLinkPath" Target="&#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64&#22320;&#22359;&#21830;&#21150;.xlsx" TargetMode="External"/><Relationship Id="rId1" Type="http://schemas.openxmlformats.org/officeDocument/2006/relationships/externalLinkPath" Target="&#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296493</v>
          </cell>
          <cell r="G14">
            <v>293771</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81552.06</v>
          </cell>
          <cell r="C14">
            <v>20510.68</v>
          </cell>
          <cell r="D14">
            <v>60645</v>
          </cell>
          <cell r="G14">
            <v>57985</v>
          </cell>
        </row>
      </sheetData>
      <sheetData sheetId="17">
        <row r="35">
          <cell r="G35">
            <v>2660</v>
          </cell>
        </row>
        <row r="37">
          <cell r="B37">
            <v>0</v>
          </cell>
        </row>
        <row r="38">
          <cell r="B38">
            <v>11204.280000000002</v>
          </cell>
        </row>
        <row r="39">
          <cell r="B39">
            <v>1982.44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112867</v>
          </cell>
          <cell r="G14">
            <v>105759</v>
          </cell>
        </row>
      </sheetData>
      <sheetData sheetId="17">
        <row r="35">
          <cell r="G35">
            <v>7108</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129061</v>
      </c>
    </row>
    <row r="47" spans="1:2">
      <c r="A47" s="2180" t="s">
        <v>2006</v>
      </c>
      <c r="B47" s="2181">
        <f ca="1">'预评函-2'!Q5</f>
        <v>38784</v>
      </c>
    </row>
    <row r="48" spans="1:2">
      <c r="A48" s="2180" t="s">
        <v>2007</v>
      </c>
      <c r="B48" s="2181">
        <f ca="1">'预评函-2'!R5</f>
        <v>281639</v>
      </c>
    </row>
    <row r="49" spans="1:2">
      <c r="A49" s="2180" t="s">
        <v>2023</v>
      </c>
      <c r="B49" s="2181" t="str">
        <f>'预评函-2'!A6</f>
        <v>抵押价格</v>
      </c>
    </row>
    <row r="50" spans="1:2">
      <c r="A50" s="2180" t="s">
        <v>2008</v>
      </c>
      <c r="B50" s="2181">
        <f ca="1">'预评函-2'!R6</f>
        <v>278660</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综上，本次评估估价师知悉的法定优先受偿款为人民币2979万元整。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77" t="str">
        <f>IF(B10="北京市","北京市",C10)&amp;F10&amp;A17&amp;"国有建设用地使用权"&amp;B9&amp;"预评估"</f>
        <v>北京市海淀区西北旺镇永丰产业基地出让国有建设用地使用权抵押价格预评估</v>
      </c>
      <c r="C1" s="3578"/>
      <c r="D1" s="3578"/>
      <c r="E1" s="3578"/>
      <c r="F1" s="3578"/>
      <c r="G1" s="3578"/>
      <c r="H1" s="3578"/>
      <c r="I1" s="3579"/>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83"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84"/>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80"/>
      <c r="C12" s="3581"/>
      <c r="D12" s="3582"/>
      <c r="E12" s="1405" t="s">
        <v>1579</v>
      </c>
      <c r="F12" s="3598" t="s">
        <v>2158</v>
      </c>
      <c r="G12" s="3599"/>
      <c r="H12" s="3599"/>
      <c r="I12" s="3600"/>
      <c r="J12" s="2601"/>
      <c r="K12" s="2585"/>
      <c r="L12" s="2581"/>
      <c r="M12" s="2581"/>
      <c r="N12" s="2582"/>
      <c r="O12" s="2583"/>
      <c r="P12" s="2582"/>
      <c r="Q12" s="2582"/>
      <c r="R12" s="2582"/>
      <c r="S12" s="2582"/>
      <c r="T12" s="2582"/>
      <c r="U12" s="2582"/>
    </row>
    <row r="13" spans="1:21">
      <c r="A13" s="1397" t="s">
        <v>1577</v>
      </c>
      <c r="B13" s="3580"/>
      <c r="C13" s="3581"/>
      <c r="D13" s="3582"/>
      <c r="E13" s="1405" t="s">
        <v>1579</v>
      </c>
      <c r="F13" s="3598" t="s">
        <v>2159</v>
      </c>
      <c r="G13" s="3599"/>
      <c r="H13" s="3599"/>
      <c r="I13" s="3600"/>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95"/>
      <c r="E20" s="3596"/>
      <c r="F20" s="3596"/>
      <c r="G20" s="3596"/>
      <c r="H20" s="3596"/>
      <c r="I20" s="3597"/>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85" t="s">
        <v>1516</v>
      </c>
      <c r="F21" s="3586"/>
      <c r="G21" s="3586"/>
      <c r="H21" s="3586"/>
      <c r="I21" s="3587"/>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85" t="s">
        <v>2160</v>
      </c>
      <c r="F22" s="3586"/>
      <c r="G22" s="3586"/>
      <c r="H22" s="3586"/>
      <c r="I22" s="3587"/>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88" t="s">
        <v>1484</v>
      </c>
      <c r="C24" s="3589"/>
      <c r="D24" s="3590" t="s">
        <v>1485</v>
      </c>
      <c r="E24" s="3591"/>
      <c r="F24" s="1412" t="s">
        <v>1486</v>
      </c>
      <c r="G24" s="2601"/>
      <c r="H24" s="2601"/>
      <c r="I24" s="2602"/>
      <c r="J24" s="2601"/>
      <c r="K24" s="3576"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76"/>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76"/>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62" t="s">
        <v>1519</v>
      </c>
      <c r="B31" s="1462" t="s">
        <v>1520</v>
      </c>
      <c r="C31" s="3601"/>
      <c r="D31" s="3602"/>
      <c r="E31" s="2601"/>
      <c r="F31" s="2601"/>
      <c r="G31" s="2601"/>
      <c r="H31" s="2601"/>
      <c r="I31" s="2602"/>
      <c r="J31" s="2601"/>
      <c r="K31" s="2588"/>
      <c r="L31" s="2582"/>
      <c r="M31" s="2582"/>
      <c r="N31" s="2582"/>
      <c r="O31" s="2582"/>
      <c r="P31" s="2582"/>
      <c r="Q31" s="2582"/>
      <c r="R31" s="2582"/>
      <c r="S31" s="2582"/>
      <c r="T31" s="2582"/>
      <c r="U31" s="2582"/>
    </row>
    <row r="32" spans="1:21">
      <c r="A32" s="3562"/>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62"/>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63"/>
      <c r="B34" s="1376" t="s">
        <v>1523</v>
      </c>
      <c r="C34" s="3564"/>
      <c r="D34" s="3565"/>
      <c r="E34" s="2601"/>
      <c r="F34" s="2601"/>
      <c r="G34" s="2601"/>
      <c r="H34" s="2601"/>
      <c r="I34" s="2602"/>
      <c r="J34" s="2601"/>
      <c r="K34" s="2588"/>
      <c r="L34" s="2582"/>
      <c r="M34" s="2582"/>
      <c r="N34" s="2582"/>
      <c r="O34" s="2582"/>
      <c r="P34" s="2582"/>
      <c r="Q34" s="2582"/>
      <c r="R34" s="2582"/>
      <c r="S34" s="2582"/>
      <c r="T34" s="2582"/>
      <c r="U34" s="2582"/>
    </row>
    <row r="35" spans="1:28">
      <c r="A35" s="3566" t="s">
        <v>785</v>
      </c>
      <c r="B35" s="1426"/>
      <c r="C35" s="1470" t="str">
        <f>IF(B35="场地平整","——","具体情况：")</f>
        <v>具体情况：</v>
      </c>
      <c r="D35" s="3568"/>
      <c r="E35" s="3569"/>
      <c r="F35" s="3569"/>
      <c r="G35" s="3569"/>
      <c r="H35" s="3569"/>
      <c r="I35" s="3570"/>
      <c r="J35" s="2601"/>
      <c r="K35" s="2589"/>
      <c r="L35" s="2581"/>
      <c r="M35" s="2581"/>
      <c r="N35" s="2582"/>
      <c r="O35" s="2583"/>
      <c r="P35" s="2582"/>
      <c r="Q35" s="2582"/>
      <c r="R35" s="2582"/>
      <c r="S35" s="2582"/>
      <c r="T35" s="2582"/>
      <c r="U35" s="2582"/>
    </row>
    <row r="36" spans="1:28">
      <c r="A36" s="3562"/>
      <c r="B36" s="3571" t="s">
        <v>1572</v>
      </c>
      <c r="C36" s="3572"/>
      <c r="D36" s="1485"/>
      <c r="E36" s="3573"/>
      <c r="F36" s="3573"/>
      <c r="G36" s="1397" t="str">
        <f>IF(B35="场地未平整","估价结果处理","")</f>
        <v/>
      </c>
      <c r="H36" s="3574"/>
      <c r="I36" s="3574"/>
      <c r="J36" s="2601"/>
      <c r="K36" s="2589"/>
      <c r="L36" s="2581"/>
      <c r="M36" s="2581"/>
      <c r="N36" s="2582"/>
      <c r="O36" s="2583"/>
      <c r="P36" s="2582"/>
      <c r="Q36" s="2582"/>
      <c r="R36" s="2582"/>
      <c r="S36" s="2582"/>
      <c r="T36" s="2582"/>
      <c r="U36" s="2582"/>
    </row>
    <row r="37" spans="1:28" ht="28.5">
      <c r="A37" s="3562"/>
      <c r="B37" s="3592"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62"/>
      <c r="B38" s="3593"/>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63"/>
      <c r="B39" s="3594"/>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75" t="s">
        <v>1503</v>
      </c>
      <c r="T40" s="1405" t="str">
        <f>NUMBERSTRING(7-K40,1)&amp;"通"</f>
        <v>七通</v>
      </c>
      <c r="U40" s="2582"/>
    </row>
    <row r="41" spans="1:28">
      <c r="A41" s="1378"/>
      <c r="B41" s="3567" t="s">
        <v>1250</v>
      </c>
      <c r="C41" s="3567"/>
      <c r="D41" s="3567"/>
      <c r="E41" s="3567"/>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75"/>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3"/>
  <sheetViews>
    <sheetView topLeftCell="F7" workbookViewId="0">
      <selection activeCell="A46" sqref="A1:XFD1048576"/>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03" t="s">
        <v>3328</v>
      </c>
      <c r="C10" s="3603"/>
      <c r="D10" s="3603"/>
      <c r="E10" s="3603"/>
      <c r="F10" s="3603"/>
      <c r="G10" s="3603"/>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03"/>
      <c r="C11" s="3603"/>
      <c r="D11" s="3603"/>
      <c r="E11" s="3603"/>
      <c r="F11" s="3603"/>
      <c r="G11" s="3603"/>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06"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06"/>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06"/>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06"/>
      <c r="F34" s="3394"/>
      <c r="G34" s="3394"/>
      <c r="I34" s="3497" t="s">
        <v>3747</v>
      </c>
      <c r="K34" s="3395">
        <f>SUM(L34:O34)</f>
        <v>1090</v>
      </c>
      <c r="L34" s="3395">
        <v>184</v>
      </c>
      <c r="M34" s="3395">
        <v>296</v>
      </c>
      <c r="N34" s="3395">
        <v>208</v>
      </c>
      <c r="O34" s="3395">
        <v>402</v>
      </c>
    </row>
    <row r="35" spans="1:16" s="3395" customFormat="1">
      <c r="A35" s="3396"/>
      <c r="B35" s="3394"/>
      <c r="C35" s="3394">
        <f>C31+C32+C33+C34</f>
        <v>328000000</v>
      </c>
      <c r="D35" s="3394"/>
      <c r="E35" s="3606"/>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06"/>
      <c r="F36" s="3394"/>
      <c r="G36" s="3394"/>
    </row>
    <row r="37" spans="1:16" s="3418" customFormat="1">
      <c r="A37" s="3396"/>
      <c r="B37" s="3394" t="s">
        <v>3335</v>
      </c>
      <c r="C37" s="3394"/>
      <c r="D37" s="3394">
        <f>C5*0.03</f>
        <v>23751</v>
      </c>
      <c r="E37" s="3606"/>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row>
    <row r="45" spans="1:16" s="3395" customFormat="1" ht="14.25">
      <c r="B45" s="3424" t="s">
        <v>3311</v>
      </c>
      <c r="C45" s="3424" t="s">
        <v>3305</v>
      </c>
      <c r="D45" s="3424"/>
      <c r="E45" s="3424"/>
      <c r="F45" s="3426" t="s">
        <v>3360</v>
      </c>
      <c r="G45" s="3424"/>
      <c r="H45" s="3424">
        <v>20510.68</v>
      </c>
      <c r="I45" s="3408">
        <f>L31</f>
        <v>2.5</v>
      </c>
      <c r="J45" s="3516">
        <f>J44*10000/(H45*I45+H47*I47)</f>
        <v>16551.941140397925</v>
      </c>
    </row>
    <row r="46" spans="1:16">
      <c r="B46" s="3424" t="s">
        <v>3306</v>
      </c>
      <c r="C46" s="3424" t="s">
        <v>3307</v>
      </c>
      <c r="D46" s="3427"/>
      <c r="E46" s="3427"/>
      <c r="F46" s="3426" t="s">
        <v>3361</v>
      </c>
      <c r="G46" s="3427"/>
      <c r="H46" s="3424">
        <v>21822.21</v>
      </c>
      <c r="I46" s="3397">
        <f>M31</f>
        <v>2.2000000000000002</v>
      </c>
      <c r="J46" s="3516">
        <f>J43*10000/(H46*I46+H48*I48)</f>
        <v>58295.746375954317</v>
      </c>
    </row>
    <row r="47" spans="1:16">
      <c r="B47" s="3427" t="s">
        <v>3312</v>
      </c>
      <c r="C47" s="3424" t="s">
        <v>3308</v>
      </c>
      <c r="D47" s="3427"/>
      <c r="E47" s="3427"/>
      <c r="F47" s="3426" t="s">
        <v>3362</v>
      </c>
      <c r="G47" s="3427"/>
      <c r="H47" s="3424">
        <v>24180.67</v>
      </c>
      <c r="I47" s="3397">
        <f>N31</f>
        <v>3</v>
      </c>
      <c r="J47" s="3516">
        <f>J45</f>
        <v>16551.941140397925</v>
      </c>
    </row>
    <row r="48" spans="1:16">
      <c r="B48" s="3424" t="s">
        <v>3309</v>
      </c>
      <c r="C48" s="3424" t="s">
        <v>3310</v>
      </c>
      <c r="D48" s="3427"/>
      <c r="E48" s="3427"/>
      <c r="F48" s="3426" t="s">
        <v>3361</v>
      </c>
      <c r="G48" s="3427"/>
      <c r="H48" s="3424">
        <v>23016.240000000002</v>
      </c>
      <c r="I48" s="3397">
        <f>O31</f>
        <v>2.2000000000000002</v>
      </c>
      <c r="J48" s="3516">
        <f>J46</f>
        <v>58295.746375954317</v>
      </c>
    </row>
    <row r="49" spans="1:20">
      <c r="B49" s="3428"/>
      <c r="C49" s="3424"/>
      <c r="D49" s="3424"/>
      <c r="E49" s="3424"/>
      <c r="F49" s="3424"/>
      <c r="G49" s="3427"/>
      <c r="H49" s="3424">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4" t="s">
        <v>3301</v>
      </c>
      <c r="B52" s="3604" t="s">
        <v>3286</v>
      </c>
      <c r="C52" s="3604"/>
      <c r="D52" s="3604"/>
      <c r="E52" s="3604"/>
      <c r="F52" s="3604"/>
      <c r="G52" s="3604"/>
      <c r="H52" s="3604"/>
      <c r="I52" s="3604"/>
      <c r="J52" s="3604"/>
      <c r="K52" s="3604"/>
      <c r="L52" s="3604"/>
      <c r="M52" s="3604"/>
      <c r="N52" s="3604"/>
      <c r="O52" s="3604"/>
      <c r="P52" s="3604"/>
      <c r="Q52" s="3604"/>
      <c r="R52" s="3604"/>
      <c r="S52" s="3604"/>
      <c r="T52" s="3397" t="s">
        <v>3387</v>
      </c>
    </row>
    <row r="53" spans="1:20" ht="14.25">
      <c r="A53" s="3604"/>
      <c r="B53" s="3604" t="s">
        <v>3287</v>
      </c>
      <c r="C53" s="3609" t="s">
        <v>3288</v>
      </c>
      <c r="D53" s="3609"/>
      <c r="E53" s="3609"/>
      <c r="F53" s="3609"/>
      <c r="G53" s="3609"/>
      <c r="H53" s="3609"/>
      <c r="I53" s="3609"/>
      <c r="J53" s="3609"/>
      <c r="K53" s="3609" t="s">
        <v>3288</v>
      </c>
      <c r="L53" s="3609"/>
      <c r="M53" s="3609"/>
      <c r="N53" s="3609"/>
      <c r="O53" s="3609"/>
      <c r="P53" s="3609"/>
      <c r="Q53" s="3609"/>
      <c r="R53" s="3609"/>
      <c r="S53" s="3609"/>
    </row>
    <row r="54" spans="1:20">
      <c r="A54" s="3604"/>
      <c r="B54" s="3604"/>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4" t="str">
        <f>B46</f>
        <v>0058地块</v>
      </c>
      <c r="B60" s="3604" t="s">
        <v>3286</v>
      </c>
      <c r="C60" s="3604"/>
      <c r="D60" s="3604"/>
      <c r="E60" s="3604"/>
      <c r="F60" s="3604"/>
      <c r="G60" s="3604"/>
      <c r="H60" s="3604"/>
      <c r="I60" s="3604"/>
      <c r="J60" s="3604"/>
      <c r="K60" s="3604"/>
      <c r="L60" s="3604"/>
      <c r="M60" s="3604"/>
      <c r="N60" s="3387"/>
    </row>
    <row r="61" spans="1:20" s="3388" customFormat="1">
      <c r="A61" s="3604"/>
      <c r="B61" s="3607" t="s">
        <v>3287</v>
      </c>
      <c r="C61" s="3605" t="s">
        <v>3288</v>
      </c>
      <c r="D61" s="3605"/>
      <c r="E61" s="3605"/>
      <c r="F61" s="3605"/>
      <c r="G61" s="3605"/>
      <c r="H61" s="3604" t="s">
        <v>3289</v>
      </c>
      <c r="I61" s="3604"/>
      <c r="J61" s="3604"/>
      <c r="K61" s="3604"/>
      <c r="L61" s="3604"/>
      <c r="M61" s="3604"/>
      <c r="N61" s="3386" t="s">
        <v>3290</v>
      </c>
    </row>
    <row r="62" spans="1:20" s="3388" customFormat="1">
      <c r="A62" s="3604"/>
      <c r="B62" s="3608"/>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3404</v>
      </c>
    </row>
    <row r="64" spans="1:20" s="3388" customFormat="1">
      <c r="A64" s="3390" t="s">
        <v>3366</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3405</v>
      </c>
    </row>
    <row r="65" spans="1:20" s="3388" customFormat="1">
      <c r="A65" s="3390" t="s">
        <v>3367</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3406</v>
      </c>
    </row>
    <row r="66" spans="1:20" s="3388" customFormat="1">
      <c r="A66" s="3390" t="s">
        <v>3368</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3294</v>
      </c>
    </row>
    <row r="67" spans="1:20" s="3388" customFormat="1">
      <c r="A67" s="3390" t="s">
        <v>3369</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3294</v>
      </c>
    </row>
    <row r="68" spans="1:20" s="3388" customFormat="1">
      <c r="A68" s="3390" t="s">
        <v>3370</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3294</v>
      </c>
    </row>
    <row r="69" spans="1:20" s="3388" customFormat="1" ht="30">
      <c r="A69" s="3390" t="s">
        <v>3371</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3374</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3375</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3296</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3297</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3295</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4" t="s">
        <v>3302</v>
      </c>
      <c r="B76" s="3604" t="s">
        <v>3286</v>
      </c>
      <c r="C76" s="3604"/>
      <c r="D76" s="3604"/>
      <c r="E76" s="3604"/>
      <c r="F76" s="3604"/>
      <c r="G76" s="3604"/>
      <c r="H76" s="3604"/>
      <c r="I76" s="3604"/>
      <c r="J76" s="3604"/>
      <c r="K76" s="3604"/>
      <c r="L76" s="3604"/>
      <c r="M76" s="3604"/>
      <c r="N76" s="3604"/>
      <c r="O76" s="3604"/>
      <c r="P76" s="3604"/>
      <c r="Q76" s="3604"/>
      <c r="R76" s="3604"/>
      <c r="S76" s="3604"/>
      <c r="T76" s="3397" t="s">
        <v>3387</v>
      </c>
    </row>
    <row r="77" spans="1:20" ht="14.25">
      <c r="A77" s="3604"/>
      <c r="B77" s="3604" t="s">
        <v>3287</v>
      </c>
      <c r="C77" s="3609" t="s">
        <v>3288</v>
      </c>
      <c r="D77" s="3609"/>
      <c r="E77" s="3609"/>
      <c r="F77" s="3609"/>
      <c r="G77" s="3609"/>
      <c r="H77" s="3609"/>
      <c r="I77" s="3609"/>
      <c r="J77" s="3609"/>
      <c r="K77" s="3609" t="s">
        <v>3288</v>
      </c>
      <c r="L77" s="3609"/>
      <c r="M77" s="3609"/>
      <c r="N77" s="3609"/>
      <c r="O77" s="3609"/>
      <c r="P77" s="3609"/>
      <c r="Q77" s="3609"/>
      <c r="R77" s="3609"/>
      <c r="S77" s="3609"/>
    </row>
    <row r="78" spans="1:20">
      <c r="A78" s="3604"/>
      <c r="B78" s="3604"/>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4" t="s">
        <v>3303</v>
      </c>
      <c r="B85" s="3604" t="s">
        <v>3286</v>
      </c>
      <c r="C85" s="3604"/>
      <c r="D85" s="3604"/>
      <c r="E85" s="3604"/>
      <c r="F85" s="3604"/>
      <c r="G85" s="3604"/>
      <c r="H85" s="3604"/>
      <c r="I85" s="3604"/>
      <c r="J85" s="3604"/>
      <c r="K85" s="3604"/>
      <c r="L85" s="3604"/>
      <c r="M85" s="3604"/>
      <c r="N85" s="3387"/>
    </row>
    <row r="86" spans="1:20" s="3388" customFormat="1">
      <c r="A86" s="3604"/>
      <c r="B86" s="3607" t="s">
        <v>3287</v>
      </c>
      <c r="C86" s="3605" t="s">
        <v>3288</v>
      </c>
      <c r="D86" s="3605"/>
      <c r="E86" s="3605"/>
      <c r="F86" s="3605"/>
      <c r="G86" s="3605"/>
      <c r="H86" s="3604" t="s">
        <v>3289</v>
      </c>
      <c r="I86" s="3604"/>
      <c r="J86" s="3604"/>
      <c r="K86" s="3604"/>
      <c r="L86" s="3604"/>
      <c r="M86" s="3604"/>
      <c r="N86" s="3386" t="s">
        <v>3290</v>
      </c>
    </row>
    <row r="87" spans="1:20" s="3388" customFormat="1">
      <c r="A87" s="3604"/>
      <c r="B87" s="3608"/>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3405</v>
      </c>
    </row>
    <row r="89" spans="1:20" s="3388" customFormat="1">
      <c r="A89" s="3390" t="s">
        <v>3389</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3405</v>
      </c>
    </row>
    <row r="90" spans="1:20" s="3388" customFormat="1">
      <c r="A90" s="3390" t="s">
        <v>3390</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3404</v>
      </c>
    </row>
    <row r="91" spans="1:20" s="3388" customFormat="1">
      <c r="A91" s="3390" t="s">
        <v>3391</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3405</v>
      </c>
    </row>
    <row r="92" spans="1:20" s="3388" customFormat="1">
      <c r="A92" s="3390" t="s">
        <v>3392</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3405</v>
      </c>
    </row>
    <row r="93" spans="1:20" s="3388" customFormat="1">
      <c r="A93" s="3390" t="s">
        <v>3393</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3405</v>
      </c>
    </row>
    <row r="94" spans="1:20" s="3388" customFormat="1">
      <c r="A94" s="3390" t="s">
        <v>3394</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3404</v>
      </c>
    </row>
    <row r="95" spans="1:20" s="3388" customFormat="1">
      <c r="A95" s="3390" t="s">
        <v>3395</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3407</v>
      </c>
    </row>
    <row r="96" spans="1:20" s="3388" customFormat="1">
      <c r="A96" s="3390" t="s">
        <v>3396</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3407</v>
      </c>
    </row>
    <row r="97" spans="1:14" s="3388" customFormat="1" ht="30">
      <c r="A97" s="3390" t="s">
        <v>3397</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4" s="3388" customFormat="1">
      <c r="A98" s="3390" t="s">
        <v>3398</v>
      </c>
      <c r="B98" s="3391">
        <f t="shared" si="31"/>
        <v>193.79</v>
      </c>
      <c r="C98" s="3392">
        <f t="shared" si="32"/>
        <v>193.79</v>
      </c>
      <c r="D98" s="3391"/>
      <c r="E98" s="3391">
        <v>193.79</v>
      </c>
      <c r="F98" s="3391"/>
      <c r="G98" s="3391"/>
      <c r="H98" s="3392">
        <f t="shared" si="33"/>
        <v>0</v>
      </c>
      <c r="I98" s="3392"/>
      <c r="J98" s="3392"/>
      <c r="K98" s="3392"/>
      <c r="L98" s="3392"/>
      <c r="M98" s="3392"/>
      <c r="N98" s="3386">
        <v>1</v>
      </c>
    </row>
    <row r="99" spans="1:14" s="3388" customFormat="1">
      <c r="A99" s="3390" t="s">
        <v>3399</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4" s="3388" customFormat="1">
      <c r="A100" s="3390" t="s">
        <v>3296</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4" s="3388" customFormat="1">
      <c r="A101" s="3390" t="s">
        <v>3297</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4" s="3388" customFormat="1">
      <c r="A102" s="3390" t="s">
        <v>3295</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7">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76:S76"/>
    <mergeCell ref="B77:B78"/>
    <mergeCell ref="C77:J77"/>
    <mergeCell ref="K77:S77"/>
    <mergeCell ref="A85:A87"/>
    <mergeCell ref="B85:M85"/>
    <mergeCell ref="B86:B87"/>
    <mergeCell ref="C86:G86"/>
    <mergeCell ref="H86:M86"/>
    <mergeCell ref="A76:A78"/>
    <mergeCell ref="B10:G11"/>
    <mergeCell ref="A60:A62"/>
    <mergeCell ref="B60:M60"/>
    <mergeCell ref="C61:G61"/>
    <mergeCell ref="H61:M61"/>
    <mergeCell ref="A52:A54"/>
    <mergeCell ref="E31:E37"/>
    <mergeCell ref="B61:B62"/>
    <mergeCell ref="B53:B54"/>
    <mergeCell ref="C53:J53"/>
    <mergeCell ref="K53:S53"/>
    <mergeCell ref="B52:S52"/>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3753</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70" zoomScaleSheetLayoutView="115" workbookViewId="0">
      <selection activeCell="E22" sqref="E22"/>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19" t="s">
        <v>169</v>
      </c>
      <c r="B2" s="3619"/>
      <c r="C2" s="3619"/>
      <c r="D2" s="1629" t="s">
        <v>170</v>
      </c>
      <c r="E2" s="96" t="s">
        <v>171</v>
      </c>
      <c r="F2" s="2608"/>
      <c r="G2" s="1039"/>
      <c r="H2" s="1040"/>
      <c r="I2" s="1041" t="s">
        <v>795</v>
      </c>
      <c r="J2" s="2608"/>
      <c r="K2" s="2608"/>
      <c r="L2" s="2608"/>
      <c r="M2" s="2608"/>
      <c r="N2" s="2608"/>
      <c r="O2" s="2608"/>
      <c r="P2" s="2608"/>
    </row>
    <row r="3" spans="1:16" ht="15.75" thickBot="1">
      <c r="A3" s="3620" t="s">
        <v>172</v>
      </c>
      <c r="B3" s="3620"/>
      <c r="C3" s="3620"/>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1"/>
      <c r="B4" s="3622"/>
      <c r="C4" s="3623"/>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4" t="s">
        <v>196</v>
      </c>
      <c r="C5" s="3624"/>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4" t="s">
        <v>174</v>
      </c>
      <c r="C6" s="3624"/>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16"/>
      <c r="B7" s="3617"/>
      <c r="C7" s="3618"/>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10" t="s">
        <v>1849</v>
      </c>
      <c r="L16" s="3611"/>
      <c r="M16" s="3611"/>
      <c r="N16" s="3611"/>
      <c r="O16" s="3611"/>
      <c r="P16" s="3612"/>
    </row>
    <row r="17" spans="1:19" ht="15">
      <c r="A17" s="111" t="s">
        <v>182</v>
      </c>
      <c r="B17" s="112" t="s">
        <v>183</v>
      </c>
      <c r="C17" s="1884" t="s">
        <v>1670</v>
      </c>
      <c r="D17" s="98" t="s">
        <v>170</v>
      </c>
      <c r="E17" s="114" t="s">
        <v>171</v>
      </c>
      <c r="F17" s="115"/>
      <c r="G17" s="1156"/>
      <c r="H17" s="882" t="s">
        <v>184</v>
      </c>
      <c r="I17" s="883" t="s">
        <v>1669</v>
      </c>
      <c r="J17" s="1631"/>
      <c r="K17" s="3613" t="s">
        <v>1850</v>
      </c>
      <c r="L17" s="3614"/>
      <c r="M17" s="3615"/>
      <c r="N17" s="3613" t="s">
        <v>1851</v>
      </c>
      <c r="O17" s="3614"/>
      <c r="P17" s="3615"/>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K16" sqref="K16:M1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532">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5" t="s">
        <v>1198</v>
      </c>
      <c r="B1" s="3626"/>
      <c r="C1" s="3626"/>
      <c r="D1" s="3626"/>
      <c r="E1" s="3626"/>
      <c r="F1" s="3626"/>
      <c r="G1" s="3626"/>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3733</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3"/>
  <sheetViews>
    <sheetView tabSelected="1" view="pageBreakPreview" zoomScale="80" zoomScaleNormal="80" zoomScaleSheetLayoutView="80" workbookViewId="0">
      <selection activeCell="B6" sqref="B6"/>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1" ht="16.5">
      <c r="A1" s="2691" t="s">
        <v>2118</v>
      </c>
      <c r="B1" s="2691">
        <f>SUM(B14:B23)</f>
        <v>336876.68999999994</v>
      </c>
      <c r="C1" s="2698"/>
      <c r="D1" s="2698"/>
      <c r="E1" s="2698"/>
      <c r="F1" s="2698"/>
      <c r="G1" s="2699"/>
      <c r="H1" s="2699"/>
      <c r="I1" s="2699"/>
      <c r="J1" s="2699"/>
    </row>
    <row r="2" spans="1:11" ht="16.5">
      <c r="A2" s="2691" t="s">
        <v>2119</v>
      </c>
      <c r="B2" s="2691">
        <f>SUM(C14:C23)</f>
        <v>89529.799999999988</v>
      </c>
      <c r="C2" s="2698"/>
      <c r="D2" s="2698"/>
      <c r="E2" s="2698"/>
      <c r="F2" s="2698"/>
      <c r="G2" s="2699"/>
      <c r="H2" s="2699"/>
      <c r="I2" s="2699"/>
      <c r="J2" s="2699"/>
    </row>
    <row r="3" spans="1:11" ht="16.5">
      <c r="A3" s="2691" t="s">
        <v>2120</v>
      </c>
      <c r="B3" s="2693">
        <f>项目基本情况!D3</f>
        <v>45616</v>
      </c>
      <c r="C3" s="2698"/>
      <c r="D3" s="2698"/>
      <c r="E3" s="2698"/>
      <c r="F3" s="2698"/>
      <c r="G3" s="2699"/>
      <c r="H3" s="2699"/>
      <c r="I3" s="2699"/>
      <c r="J3" s="2699"/>
    </row>
    <row r="4" spans="1:11" ht="33">
      <c r="A4" s="2691" t="s">
        <v>2121</v>
      </c>
      <c r="B4" s="2691" t="s">
        <v>2122</v>
      </c>
      <c r="C4" s="2691" t="s">
        <v>2123</v>
      </c>
      <c r="D4" s="2691" t="s">
        <v>2124</v>
      </c>
      <c r="E4" s="2698"/>
      <c r="F4" s="2698"/>
      <c r="G4" s="2699"/>
      <c r="H4" s="2699"/>
      <c r="I4" s="2699"/>
      <c r="J4" s="2699"/>
    </row>
    <row r="5" spans="1:11" ht="16.5">
      <c r="A5" s="2691" t="s">
        <v>2125</v>
      </c>
      <c r="B5" s="2691">
        <f ca="1">SUM(D14:D23)</f>
        <v>751644</v>
      </c>
      <c r="C5" s="2691">
        <f ca="1">ROUND(B5*10000/$B$1,0)</f>
        <v>22312</v>
      </c>
      <c r="D5" s="2691">
        <f ca="1">ROUND(B5*10000/$B$2,0)</f>
        <v>83955</v>
      </c>
      <c r="E5" s="2698">
        <f>信息及取费!C5</f>
        <v>791700</v>
      </c>
      <c r="F5" s="2698"/>
      <c r="G5" s="2699"/>
      <c r="H5" s="2699"/>
      <c r="I5" s="2699"/>
      <c r="J5" s="2699"/>
    </row>
    <row r="6" spans="1:11" ht="16.5">
      <c r="A6" s="2691" t="s">
        <v>2126</v>
      </c>
      <c r="B6" s="2691">
        <f ca="1">SUM(G14:G23)</f>
        <v>736175</v>
      </c>
      <c r="C6" s="2691">
        <f ca="1">ROUND(B6*10000/$B$1,0)</f>
        <v>21853</v>
      </c>
      <c r="D6" s="2691">
        <f ca="1">ROUND(B6*10000/$B$2,0)</f>
        <v>82227</v>
      </c>
      <c r="E6" s="2698"/>
      <c r="F6" s="2698"/>
      <c r="G6" s="2699"/>
      <c r="H6" s="2699"/>
      <c r="I6" s="2699"/>
      <c r="J6" s="2699"/>
    </row>
    <row r="7" spans="1:11" ht="16.5">
      <c r="A7" s="2691" t="s">
        <v>2127</v>
      </c>
      <c r="B7" s="2691">
        <f>SUM(H14:H23)</f>
        <v>0</v>
      </c>
      <c r="C7" s="2691">
        <f>ROUND(B7*10000/$B$1,0)</f>
        <v>0</v>
      </c>
      <c r="D7" s="2691">
        <f>ROUND(B7*10000/$B$2,0)</f>
        <v>0</v>
      </c>
      <c r="E7" s="2698"/>
      <c r="F7" s="2698"/>
      <c r="G7" s="2699"/>
      <c r="H7" s="2699"/>
      <c r="I7" s="2699"/>
      <c r="J7" s="2699"/>
    </row>
    <row r="8" spans="1:11" ht="16.5">
      <c r="A8" s="2691" t="s">
        <v>2128</v>
      </c>
      <c r="B8" s="2691">
        <f>SUM(I14:I23)</f>
        <v>0</v>
      </c>
      <c r="C8" s="2691">
        <f>ROUND(B8*10000/$B$1,0)</f>
        <v>0</v>
      </c>
      <c r="D8" s="2691">
        <f>ROUND(B8*10000/$B$2,0)</f>
        <v>0</v>
      </c>
      <c r="E8" s="2698"/>
      <c r="F8" s="2698"/>
      <c r="G8" s="2699"/>
      <c r="H8" s="2699"/>
      <c r="I8" s="2699"/>
      <c r="J8" s="2699"/>
    </row>
    <row r="9" spans="1:11" ht="16.5">
      <c r="A9" s="2691" t="s">
        <v>2129</v>
      </c>
      <c r="B9" s="2324"/>
      <c r="C9" s="2698"/>
      <c r="D9" s="2698"/>
      <c r="E9" s="2698"/>
      <c r="F9" s="2698"/>
      <c r="G9" s="2699"/>
      <c r="H9" s="2699"/>
      <c r="I9" s="2699"/>
      <c r="J9" s="2699"/>
    </row>
    <row r="10" spans="1:11" ht="16.5">
      <c r="A10" s="2691" t="s">
        <v>2130</v>
      </c>
      <c r="B10" s="2324"/>
      <c r="C10" s="2698"/>
      <c r="D10" s="2698"/>
      <c r="E10" s="2698"/>
      <c r="F10" s="2698"/>
      <c r="G10" s="2699"/>
      <c r="H10" s="2699"/>
      <c r="I10" s="2699"/>
      <c r="J10" s="2699"/>
    </row>
    <row r="11" spans="1:11" ht="16.5">
      <c r="A11" s="2691" t="s">
        <v>2142</v>
      </c>
      <c r="B11" s="2324"/>
      <c r="C11" s="2698"/>
      <c r="D11" s="2698"/>
      <c r="E11" s="2698"/>
      <c r="F11" s="2698"/>
      <c r="G11" s="2699"/>
      <c r="H11" s="2699"/>
      <c r="I11" s="2699"/>
      <c r="J11" s="2699"/>
    </row>
    <row r="12" spans="1:11" ht="16.5">
      <c r="A12" s="2698"/>
      <c r="B12" s="2698"/>
      <c r="C12" s="2698"/>
      <c r="D12" s="2698"/>
      <c r="E12" s="2698"/>
      <c r="F12" s="2698"/>
      <c r="G12" s="2699"/>
      <c r="H12" s="2699"/>
      <c r="I12" s="2699"/>
      <c r="J12" s="2699"/>
    </row>
    <row r="13" spans="1:11" ht="33">
      <c r="A13" s="3526" t="s">
        <v>2141</v>
      </c>
      <c r="B13" s="2694" t="s">
        <v>2118</v>
      </c>
      <c r="C13" s="2694" t="s">
        <v>2119</v>
      </c>
      <c r="D13" s="2694" t="s">
        <v>2131</v>
      </c>
      <c r="E13" s="2691" t="s">
        <v>2140</v>
      </c>
      <c r="F13" s="2691" t="s">
        <v>2124</v>
      </c>
      <c r="G13" s="2694" t="s">
        <v>2132</v>
      </c>
      <c r="H13" s="2694" t="s">
        <v>2133</v>
      </c>
      <c r="I13" s="2694" t="s">
        <v>2134</v>
      </c>
      <c r="J13" s="3527" t="s">
        <v>3764</v>
      </c>
      <c r="K13" s="3527" t="s">
        <v>3765</v>
      </c>
    </row>
    <row r="14" spans="1:11" ht="16.5">
      <c r="A14" s="2695" t="s">
        <v>3759</v>
      </c>
      <c r="B14" s="2696">
        <f>结果表!L38</f>
        <v>72618.101999999999</v>
      </c>
      <c r="C14" s="2696">
        <f>结果表!K38</f>
        <v>21822.21</v>
      </c>
      <c r="D14" s="2696">
        <f ca="1">结果表!O38</f>
        <v>281639</v>
      </c>
      <c r="E14" s="2696">
        <f ca="1">ROUND(D14*10000/B14,0)</f>
        <v>38784</v>
      </c>
      <c r="F14" s="2696">
        <f ca="1">ROUND(D14*10000/C14,0)</f>
        <v>129061</v>
      </c>
      <c r="G14" s="2696">
        <f ca="1">结果表!O39</f>
        <v>278660</v>
      </c>
      <c r="H14" s="2696"/>
      <c r="I14" s="2696"/>
      <c r="J14" s="2696">
        <v>282000</v>
      </c>
      <c r="K14" s="2696">
        <v>278000</v>
      </c>
    </row>
    <row r="15" spans="1:11" ht="16.5">
      <c r="A15" s="2695" t="s">
        <v>3760</v>
      </c>
      <c r="B15" s="2696">
        <f>[5]系统读取表!$B$14</f>
        <v>74854.227999999988</v>
      </c>
      <c r="C15" s="2696">
        <f>[5]系统读取表!$C$14</f>
        <v>23016.240000000002</v>
      </c>
      <c r="D15" s="2696">
        <f ca="1">[5]系统读取表!$D$14</f>
        <v>296493</v>
      </c>
      <c r="E15" s="2696">
        <f t="shared" ref="E15:E23" ca="1" si="0">ROUND(D15*10000/B15,0)</f>
        <v>39609</v>
      </c>
      <c r="F15" s="2696">
        <f t="shared" ref="F15:F23" ca="1" si="1">ROUND(D15*10000/C15,0)</f>
        <v>128819</v>
      </c>
      <c r="G15" s="2324">
        <f ca="1">[5]系统读取表!$G$14</f>
        <v>293771</v>
      </c>
      <c r="H15" s="2324"/>
      <c r="I15" s="2697"/>
      <c r="J15" s="2696">
        <v>297000</v>
      </c>
      <c r="K15" s="2696">
        <v>293700</v>
      </c>
    </row>
    <row r="16" spans="1:11" ht="16.5">
      <c r="A16" s="2695" t="s">
        <v>3761</v>
      </c>
      <c r="B16" s="2696">
        <f>[6]系统读取表!$B$14</f>
        <v>81552.06</v>
      </c>
      <c r="C16" s="2696">
        <f>[6]系统读取表!$C$14</f>
        <v>20510.68</v>
      </c>
      <c r="D16" s="2696">
        <f ca="1">[6]系统读取表!$D$14</f>
        <v>60645</v>
      </c>
      <c r="E16" s="2696">
        <f t="shared" ca="1" si="0"/>
        <v>7436</v>
      </c>
      <c r="F16" s="2696">
        <f t="shared" ca="1" si="1"/>
        <v>29568</v>
      </c>
      <c r="G16" s="2324">
        <f ca="1">[6]系统读取表!$G$14</f>
        <v>57985</v>
      </c>
      <c r="H16" s="2324"/>
      <c r="I16" s="2697"/>
      <c r="J16" s="2696">
        <v>59000</v>
      </c>
      <c r="K16" s="2696">
        <v>57900</v>
      </c>
    </row>
    <row r="17" spans="1:11" ht="16.5">
      <c r="A17" s="2695" t="s">
        <v>3762</v>
      </c>
      <c r="B17" s="2696">
        <f>[7]系统读取表!$B$14</f>
        <v>107852.29999999999</v>
      </c>
      <c r="C17" s="2696">
        <f>[7]系统读取表!$C$14</f>
        <v>24180.67</v>
      </c>
      <c r="D17" s="2696">
        <f ca="1">[7]系统读取表!$D$14</f>
        <v>112867</v>
      </c>
      <c r="E17" s="2696">
        <f t="shared" ca="1" si="0"/>
        <v>10465</v>
      </c>
      <c r="F17" s="2696">
        <f t="shared" ca="1" si="1"/>
        <v>46677</v>
      </c>
      <c r="G17" s="2696">
        <f ca="1">[7]系统读取表!$G$14</f>
        <v>105759</v>
      </c>
      <c r="H17" s="2696"/>
      <c r="I17" s="2696"/>
      <c r="J17" s="2696">
        <v>110000</v>
      </c>
      <c r="K17" s="2696">
        <v>105759</v>
      </c>
    </row>
    <row r="18" spans="1:11" ht="16.5">
      <c r="A18" s="2695" t="s">
        <v>3763</v>
      </c>
      <c r="B18" s="2697"/>
      <c r="C18" s="2697"/>
      <c r="D18" s="2697"/>
      <c r="E18" s="2324" t="e">
        <f t="shared" si="0"/>
        <v>#DIV/0!</v>
      </c>
      <c r="F18" s="2324" t="e">
        <f t="shared" si="1"/>
        <v>#DIV/0!</v>
      </c>
      <c r="G18" s="2697"/>
      <c r="H18" s="2697"/>
      <c r="I18" s="2697"/>
      <c r="J18" s="2324">
        <f>J14+J15+J16+J17</f>
        <v>748000</v>
      </c>
      <c r="K18" s="2324">
        <f>K14+K15+K16+K17</f>
        <v>735359</v>
      </c>
    </row>
    <row r="19" spans="1:11" ht="16.5">
      <c r="A19" s="3528" t="s">
        <v>2135</v>
      </c>
      <c r="B19" s="3529"/>
      <c r="C19" s="3529"/>
      <c r="D19" s="3529"/>
      <c r="E19" s="3530" t="e">
        <f t="shared" si="0"/>
        <v>#DIV/0!</v>
      </c>
      <c r="F19" s="3530" t="e">
        <f t="shared" si="1"/>
        <v>#DIV/0!</v>
      </c>
      <c r="G19" s="3529"/>
      <c r="H19" s="3529"/>
      <c r="I19" s="3529"/>
      <c r="J19" s="3529"/>
    </row>
    <row r="20" spans="1:11" ht="16.5">
      <c r="A20" s="2695" t="s">
        <v>2136</v>
      </c>
      <c r="B20" s="2697"/>
      <c r="C20" s="2697"/>
      <c r="D20" s="2697"/>
      <c r="E20" s="2696" t="e">
        <f t="shared" si="0"/>
        <v>#DIV/0!</v>
      </c>
      <c r="F20" s="2696" t="e">
        <f t="shared" si="1"/>
        <v>#DIV/0!</v>
      </c>
      <c r="G20" s="2697"/>
      <c r="H20" s="2697"/>
      <c r="I20" s="2697"/>
      <c r="J20" s="2697"/>
    </row>
    <row r="21" spans="1:11" ht="16.5">
      <c r="A21" s="2695" t="s">
        <v>2137</v>
      </c>
      <c r="B21" s="2697"/>
      <c r="C21" s="2697"/>
      <c r="D21" s="2697"/>
      <c r="E21" s="2696" t="e">
        <f t="shared" si="0"/>
        <v>#DIV/0!</v>
      </c>
      <c r="F21" s="2696" t="e">
        <f t="shared" si="1"/>
        <v>#DIV/0!</v>
      </c>
      <c r="G21" s="2697"/>
      <c r="H21" s="2697"/>
      <c r="I21" s="2697"/>
      <c r="J21" s="2697"/>
    </row>
    <row r="22" spans="1:11" ht="16.5">
      <c r="A22" s="2695" t="s">
        <v>2138</v>
      </c>
      <c r="B22" s="2697"/>
      <c r="C22" s="2697"/>
      <c r="D22" s="2697"/>
      <c r="E22" s="2696" t="e">
        <f t="shared" si="0"/>
        <v>#DIV/0!</v>
      </c>
      <c r="F22" s="2696" t="e">
        <f t="shared" si="1"/>
        <v>#DIV/0!</v>
      </c>
      <c r="G22" s="2697"/>
      <c r="H22" s="2697"/>
      <c r="I22" s="2697"/>
      <c r="J22" s="2697"/>
    </row>
    <row r="23" spans="1:11" ht="16.5">
      <c r="A23" s="2695" t="s">
        <v>2139</v>
      </c>
      <c r="B23" s="2697"/>
      <c r="C23" s="2697"/>
      <c r="D23" s="2697"/>
      <c r="E23" s="2324" t="e">
        <f t="shared" si="0"/>
        <v>#DIV/0!</v>
      </c>
      <c r="F23" s="2324" t="e">
        <f t="shared" si="1"/>
        <v>#DIV/0!</v>
      </c>
      <c r="G23" s="2697"/>
      <c r="H23" s="2697"/>
      <c r="I23" s="2697"/>
      <c r="J23" s="2697"/>
    </row>
    <row r="24" spans="1:11">
      <c r="A24" s="2699"/>
      <c r="B24" s="2699"/>
      <c r="C24" s="2699"/>
      <c r="D24" s="2699"/>
      <c r="E24" s="2699"/>
      <c r="F24" s="2699"/>
      <c r="G24" s="2699"/>
      <c r="H24" s="2699"/>
      <c r="I24" s="2699"/>
      <c r="J24" s="2699"/>
    </row>
    <row r="25" spans="1:11">
      <c r="A25" s="2699"/>
      <c r="B25" s="2699"/>
      <c r="C25" s="2699"/>
      <c r="D25" s="2699"/>
      <c r="E25" s="2699"/>
      <c r="F25" s="2699"/>
      <c r="G25" s="2699"/>
      <c r="H25" s="2699"/>
      <c r="I25" s="2699"/>
      <c r="J25" s="2699"/>
    </row>
    <row r="26" spans="1:11">
      <c r="A26" s="2699"/>
      <c r="B26" s="2699"/>
      <c r="C26" s="2699"/>
      <c r="D26" s="2699"/>
      <c r="E26" s="2699"/>
      <c r="F26" s="2699"/>
      <c r="G26" s="2699"/>
      <c r="H26" s="2699"/>
      <c r="I26" s="2699"/>
      <c r="J26" s="2699"/>
    </row>
    <row r="27" spans="1:11">
      <c r="B27" s="3531" t="s">
        <v>3769</v>
      </c>
      <c r="C27" s="3531" t="s">
        <v>3766</v>
      </c>
      <c r="D27" s="3531" t="s">
        <v>3767</v>
      </c>
      <c r="E27" s="3531" t="s">
        <v>3768</v>
      </c>
    </row>
    <row r="28" spans="1:11">
      <c r="A28" s="2692" t="str">
        <f>A14</f>
        <v>0058地块</v>
      </c>
      <c r="C28" s="2692">
        <f>结果表!B37</f>
        <v>3546.75</v>
      </c>
      <c r="D28" s="3531">
        <f>结果表!B38</f>
        <v>15515.510000000002</v>
      </c>
      <c r="E28" s="2692">
        <f>结果表!G35</f>
        <v>2979</v>
      </c>
    </row>
    <row r="29" spans="1:11">
      <c r="A29" s="2692" t="str">
        <f>A15</f>
        <v>0072地块</v>
      </c>
      <c r="C29" s="2692">
        <f>[5]结果表!$B$37</f>
        <v>1544.06</v>
      </c>
      <c r="D29" s="2692">
        <f>[5]结果表!$B$38</f>
        <v>17008.370000000003</v>
      </c>
      <c r="E29" s="2692">
        <f>[5]结果表!$G$35</f>
        <v>2722</v>
      </c>
    </row>
    <row r="30" spans="1:11">
      <c r="A30" s="2692" t="str">
        <f>A16</f>
        <v>0055地块</v>
      </c>
      <c r="B30" s="2692">
        <f>[6]结果表!$B$39</f>
        <v>1982.44</v>
      </c>
      <c r="C30" s="2692">
        <f>[6]结果表!$B$37</f>
        <v>0</v>
      </c>
      <c r="D30" s="2692">
        <f>[6]结果表!$B$38</f>
        <v>11204.280000000002</v>
      </c>
      <c r="E30" s="2692">
        <f>[6]结果表!$G$35</f>
        <v>2660</v>
      </c>
    </row>
    <row r="31" spans="1:11">
      <c r="A31" s="2692" t="str">
        <f>A17</f>
        <v>0064地块</v>
      </c>
      <c r="B31" s="2692">
        <f>[7]结果表!$B$39</f>
        <v>9323.9699999999993</v>
      </c>
      <c r="C31" s="2692">
        <f>[7]结果表!$B$37</f>
        <v>0</v>
      </c>
      <c r="D31" s="2692">
        <f>[7]结果表!$B$38</f>
        <v>13842.479999999998</v>
      </c>
      <c r="E31" s="2692">
        <f>[7]结果表!$G$35</f>
        <v>7108</v>
      </c>
    </row>
    <row r="32" spans="1:11">
      <c r="B32" s="2692">
        <f>B28+B29+B30+B31</f>
        <v>11306.41</v>
      </c>
      <c r="C32" s="2692">
        <f>C28+C29+C30+C31</f>
        <v>5090.8099999999995</v>
      </c>
      <c r="D32" s="2692">
        <f>D28+D29+D30+D31</f>
        <v>57570.64</v>
      </c>
      <c r="E32" s="2692">
        <f>E28+E29+E30+E31</f>
        <v>15469</v>
      </c>
    </row>
    <row r="33" spans="4:4">
      <c r="D33" s="2692">
        <f>B32+C32+D32</f>
        <v>73967.86</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28" zoomScaleNormal="100" zoomScaleSheetLayoutView="100" zoomScalePageLayoutView="80" workbookViewId="0">
      <selection activeCell="H41" sqref="H41"/>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3755</v>
      </c>
      <c r="E1" s="1497" t="s">
        <v>1575</v>
      </c>
      <c r="F1" s="1499" t="s">
        <v>3756</v>
      </c>
      <c r="G1" s="286"/>
      <c r="H1" s="286"/>
      <c r="I1" s="286"/>
      <c r="J1" s="1634"/>
      <c r="K1" s="1634"/>
      <c r="L1" s="1634"/>
      <c r="M1" s="1634"/>
      <c r="N1" s="1634"/>
      <c r="O1" s="1634"/>
      <c r="P1" s="1634"/>
      <c r="Q1" s="1634"/>
      <c r="R1" s="1634"/>
      <c r="S1" s="1634"/>
      <c r="T1" s="1634"/>
      <c r="U1" s="1634"/>
      <c r="V1" s="1634"/>
    </row>
    <row r="2" spans="1:22" ht="21.75" customHeight="1" thickBot="1">
      <c r="A2" s="3671" t="str">
        <f>项目基本情况!K2</f>
        <v>北京市海淀区西北旺镇永丰产业基地出让国有建设用地使用权</v>
      </c>
      <c r="B2" s="3672"/>
      <c r="C2" s="3673"/>
      <c r="D2" s="3673"/>
      <c r="E2" s="3673"/>
      <c r="F2" s="3673"/>
      <c r="G2" s="3672"/>
      <c r="H2" s="3672"/>
      <c r="I2" s="3674"/>
      <c r="J2" s="1641"/>
      <c r="K2" s="1634"/>
      <c r="L2" s="1634"/>
      <c r="M2" s="1634"/>
      <c r="N2" s="1634"/>
      <c r="O2" s="1634"/>
      <c r="P2" s="1634"/>
      <c r="Q2" s="1634"/>
      <c r="R2" s="1634"/>
      <c r="S2" s="1634"/>
      <c r="T2" s="1634"/>
      <c r="U2" s="1634"/>
      <c r="V2" s="1634"/>
    </row>
    <row r="3" spans="1:22" ht="14.25">
      <c r="A3" s="3664" t="s">
        <v>264</v>
      </c>
      <c r="B3" s="3665"/>
      <c r="C3" s="3665"/>
      <c r="D3" s="3665"/>
      <c r="E3" s="3665"/>
      <c r="F3" s="3665"/>
      <c r="G3" s="3665"/>
      <c r="H3" s="3665"/>
      <c r="I3" s="3665"/>
      <c r="J3" s="1641"/>
      <c r="K3" s="1634"/>
      <c r="L3" s="1634"/>
      <c r="M3" s="1634"/>
      <c r="N3" s="1634"/>
      <c r="O3" s="1634"/>
      <c r="P3" s="1634"/>
      <c r="Q3" s="1634"/>
      <c r="R3" s="1634"/>
      <c r="S3" s="1634"/>
      <c r="T3" s="1634"/>
      <c r="U3" s="1634"/>
      <c r="V3" s="1634"/>
    </row>
    <row r="4" spans="1:22" ht="14.25">
      <c r="A4" s="237" t="s">
        <v>265</v>
      </c>
      <c r="B4" s="238" t="s">
        <v>266</v>
      </c>
      <c r="C4" s="239" t="s">
        <v>3757</v>
      </c>
      <c r="D4" s="239" t="s">
        <v>3758</v>
      </c>
      <c r="E4" s="3630" t="s">
        <v>267</v>
      </c>
      <c r="F4" s="3631"/>
      <c r="G4" s="3631"/>
      <c r="H4" s="3631"/>
      <c r="I4" s="3666"/>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29" t="s">
        <v>268</v>
      </c>
      <c r="B5" s="3658">
        <v>25</v>
      </c>
      <c r="C5" s="3656"/>
      <c r="D5" s="3660"/>
      <c r="E5" s="240" t="s">
        <v>269</v>
      </c>
      <c r="F5" s="241"/>
      <c r="G5" s="241"/>
      <c r="H5" s="241"/>
      <c r="I5" s="242"/>
      <c r="J5" s="1641"/>
      <c r="K5" s="1634"/>
      <c r="L5" s="1634"/>
      <c r="M5" s="1634"/>
      <c r="N5" s="1634"/>
      <c r="O5" s="1634"/>
      <c r="P5" s="1634"/>
      <c r="Q5" s="1634"/>
      <c r="R5" s="1634"/>
      <c r="S5" s="1634"/>
      <c r="T5" s="1634"/>
      <c r="U5" s="1634"/>
      <c r="V5" s="1634"/>
    </row>
    <row r="6" spans="1:22" ht="14.25">
      <c r="A6" s="3629"/>
      <c r="B6" s="3658"/>
      <c r="C6" s="3659"/>
      <c r="D6" s="3660"/>
      <c r="E6" s="240" t="s">
        <v>270</v>
      </c>
      <c r="F6" s="241"/>
      <c r="G6" s="241"/>
      <c r="H6" s="241"/>
      <c r="I6" s="242"/>
      <c r="J6" s="1641"/>
      <c r="K6" s="1634"/>
      <c r="L6" s="1634"/>
      <c r="M6" s="1634"/>
      <c r="N6" s="1634"/>
      <c r="O6" s="1634"/>
      <c r="P6" s="1634"/>
      <c r="Q6" s="1634"/>
      <c r="R6" s="1634"/>
      <c r="S6" s="1634"/>
      <c r="T6" s="1634"/>
      <c r="U6" s="1634"/>
      <c r="V6" s="1634"/>
    </row>
    <row r="7" spans="1:22" ht="14.25">
      <c r="A7" s="3629"/>
      <c r="B7" s="3658"/>
      <c r="C7" s="3657"/>
      <c r="D7" s="3660"/>
      <c r="E7" s="240" t="s">
        <v>271</v>
      </c>
      <c r="F7" s="241"/>
      <c r="G7" s="241"/>
      <c r="H7" s="241"/>
      <c r="I7" s="242"/>
      <c r="J7" s="1641"/>
      <c r="K7" s="1634"/>
      <c r="L7" s="1634"/>
      <c r="M7" s="1634"/>
      <c r="N7" s="1634"/>
      <c r="O7" s="1634"/>
      <c r="P7" s="1634"/>
      <c r="Q7" s="1634"/>
      <c r="R7" s="1634"/>
      <c r="S7" s="1634"/>
      <c r="T7" s="1634"/>
      <c r="U7" s="1634"/>
      <c r="V7" s="1634"/>
    </row>
    <row r="8" spans="1:22" ht="14.25">
      <c r="A8" s="3629" t="s">
        <v>272</v>
      </c>
      <c r="B8" s="3658">
        <v>15</v>
      </c>
      <c r="C8" s="3656"/>
      <c r="D8" s="3660"/>
      <c r="E8" s="240" t="s">
        <v>273</v>
      </c>
      <c r="F8" s="241"/>
      <c r="G8" s="241"/>
      <c r="H8" s="241"/>
      <c r="I8" s="242"/>
      <c r="J8" s="1641"/>
      <c r="K8" s="1634"/>
      <c r="L8" s="1634"/>
      <c r="M8" s="1634"/>
      <c r="N8" s="1634"/>
      <c r="O8" s="1634"/>
      <c r="P8" s="1634"/>
      <c r="Q8" s="1634"/>
      <c r="R8" s="1634"/>
      <c r="S8" s="1634"/>
      <c r="T8" s="1634"/>
      <c r="U8" s="1634"/>
      <c r="V8" s="1634"/>
    </row>
    <row r="9" spans="1:22" ht="14.25">
      <c r="A9" s="3629"/>
      <c r="B9" s="3658"/>
      <c r="C9" s="3657"/>
      <c r="D9" s="3660"/>
      <c r="E9" s="240" t="s">
        <v>274</v>
      </c>
      <c r="F9" s="241"/>
      <c r="G9" s="241"/>
      <c r="H9" s="241"/>
      <c r="I9" s="242"/>
      <c r="J9" s="1641"/>
      <c r="K9" s="1634"/>
      <c r="L9" s="1634"/>
      <c r="M9" s="1634"/>
      <c r="N9" s="1634"/>
      <c r="O9" s="1634"/>
      <c r="P9" s="1634"/>
      <c r="Q9" s="1634"/>
      <c r="R9" s="1634"/>
      <c r="S9" s="1634"/>
      <c r="T9" s="1634"/>
      <c r="U9" s="1634"/>
      <c r="V9" s="1634"/>
    </row>
    <row r="10" spans="1:22" ht="14.25">
      <c r="A10" s="3629" t="s">
        <v>275</v>
      </c>
      <c r="B10" s="3658">
        <v>15</v>
      </c>
      <c r="C10" s="3656"/>
      <c r="D10" s="3660"/>
      <c r="E10" s="240" t="s">
        <v>276</v>
      </c>
      <c r="F10" s="241"/>
      <c r="G10" s="241"/>
      <c r="H10" s="241"/>
      <c r="I10" s="242"/>
      <c r="J10" s="1641"/>
      <c r="K10" s="1634"/>
      <c r="L10" s="1634"/>
      <c r="M10" s="1634"/>
      <c r="N10" s="1634"/>
      <c r="O10" s="1634"/>
      <c r="P10" s="1634"/>
      <c r="Q10" s="1634"/>
      <c r="R10" s="1634"/>
      <c r="S10" s="1634"/>
      <c r="T10" s="1634"/>
      <c r="U10" s="1634"/>
      <c r="V10" s="1634"/>
    </row>
    <row r="11" spans="1:22" ht="14.25">
      <c r="A11" s="3629"/>
      <c r="B11" s="3658"/>
      <c r="C11" s="3657"/>
      <c r="D11" s="3660"/>
      <c r="E11" s="240" t="s">
        <v>277</v>
      </c>
      <c r="F11" s="241"/>
      <c r="G11" s="241"/>
      <c r="H11" s="241"/>
      <c r="I11" s="242"/>
      <c r="J11" s="1641"/>
      <c r="K11" s="1634"/>
      <c r="L11" s="1634"/>
      <c r="M11" s="1634"/>
      <c r="N11" s="1634"/>
      <c r="O11" s="1634"/>
      <c r="P11" s="1634"/>
      <c r="Q11" s="1634"/>
      <c r="R11" s="1634"/>
      <c r="S11" s="1634"/>
      <c r="T11" s="1634"/>
      <c r="U11" s="1634"/>
      <c r="V11" s="1634"/>
    </row>
    <row r="12" spans="1:22" ht="14.25">
      <c r="A12" s="3629" t="s">
        <v>278</v>
      </c>
      <c r="B12" s="3658">
        <v>15</v>
      </c>
      <c r="C12" s="3656"/>
      <c r="D12" s="3660"/>
      <c r="E12" s="240" t="s">
        <v>279</v>
      </c>
      <c r="F12" s="241"/>
      <c r="G12" s="241"/>
      <c r="H12" s="241"/>
      <c r="I12" s="242"/>
      <c r="J12" s="1641"/>
      <c r="K12" s="1634"/>
      <c r="L12" s="1634"/>
      <c r="M12" s="1634"/>
      <c r="N12" s="1634"/>
      <c r="O12" s="1634"/>
      <c r="P12" s="1634"/>
      <c r="Q12" s="1634"/>
      <c r="R12" s="1634"/>
      <c r="S12" s="1634"/>
      <c r="T12" s="1634"/>
      <c r="U12" s="1634"/>
      <c r="V12" s="1634"/>
    </row>
    <row r="13" spans="1:22" ht="14.25">
      <c r="A13" s="3629"/>
      <c r="B13" s="3658"/>
      <c r="C13" s="3657"/>
      <c r="D13" s="3660"/>
      <c r="E13" s="240" t="s">
        <v>280</v>
      </c>
      <c r="F13" s="241"/>
      <c r="G13" s="241"/>
      <c r="H13" s="241"/>
      <c r="I13" s="242"/>
      <c r="J13" s="1641"/>
      <c r="K13" s="1634"/>
      <c r="L13" s="1634"/>
      <c r="M13" s="1634"/>
      <c r="N13" s="1634"/>
      <c r="O13" s="1634"/>
      <c r="P13" s="1634"/>
      <c r="Q13" s="1634"/>
      <c r="R13" s="1634"/>
      <c r="S13" s="1634"/>
      <c r="T13" s="1634"/>
      <c r="U13" s="1634"/>
      <c r="V13" s="1634"/>
    </row>
    <row r="14" spans="1:22" ht="14.25">
      <c r="A14" s="3629" t="s">
        <v>281</v>
      </c>
      <c r="B14" s="3658">
        <v>30</v>
      </c>
      <c r="C14" s="3656">
        <v>5</v>
      </c>
      <c r="D14" s="3660">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29"/>
      <c r="B15" s="3658"/>
      <c r="C15" s="3659"/>
      <c r="D15" s="3660"/>
      <c r="E15" s="240" t="s">
        <v>283</v>
      </c>
      <c r="F15" s="241"/>
      <c r="G15" s="241"/>
      <c r="H15" s="241"/>
      <c r="I15" s="242"/>
      <c r="J15" s="1641"/>
      <c r="K15" s="1634"/>
      <c r="L15" s="1634"/>
      <c r="M15" s="1634"/>
      <c r="N15" s="1634"/>
      <c r="O15" s="1634"/>
      <c r="P15" s="1634"/>
      <c r="Q15" s="1634"/>
      <c r="R15" s="1634"/>
      <c r="S15" s="1634"/>
      <c r="T15" s="1634"/>
      <c r="U15" s="1634"/>
      <c r="V15" s="1634"/>
    </row>
    <row r="16" spans="1:22" ht="14.25">
      <c r="A16" s="3629"/>
      <c r="B16" s="3658"/>
      <c r="C16" s="3657"/>
      <c r="D16" s="3660"/>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61" t="s">
        <v>2245</v>
      </c>
      <c r="F18" s="3662"/>
      <c r="G18" s="3662"/>
      <c r="H18" s="3662"/>
      <c r="I18" s="3662"/>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296070</v>
      </c>
      <c r="D19" s="250">
        <f ca="1">SUMIF(INDIRECT("'"&amp;D4&amp;"'"&amp;"!A:A"),结果表!B19,INDIRECT("'"&amp;D4&amp;"'"&amp;"!B:B"))</f>
        <v>267208</v>
      </c>
      <c r="E19" s="247" t="s">
        <v>289</v>
      </c>
      <c r="F19" s="248" t="s">
        <v>288</v>
      </c>
      <c r="G19" s="251">
        <f ca="1">ROUND(C19*$C$18+D19*$D$18,0)</f>
        <v>281639</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40771</v>
      </c>
      <c r="D20" s="255">
        <f ca="1">SUMIF(INDIRECT("'"&amp;D4&amp;"'"&amp;"!A:A"),结果表!B20,INDIRECT("'"&amp;D4&amp;"'"&amp;"!B:B"))</f>
        <v>36796</v>
      </c>
      <c r="E20" s="253"/>
      <c r="F20" s="101" t="s">
        <v>291</v>
      </c>
      <c r="G20" s="256">
        <f ca="1">ROUND(C20*$C$18+D20*$D$18,0)</f>
        <v>38784</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135674</v>
      </c>
      <c r="D21" s="134">
        <f ca="1">SUMIF(INDIRECT("'"&amp;D4&amp;"'"&amp;"!A:A"),结果表!B21,INDIRECT("'"&amp;D4&amp;"'"&amp;"!B:B"))</f>
        <v>122448</v>
      </c>
      <c r="E21" s="253"/>
      <c r="F21" s="105" t="s">
        <v>293</v>
      </c>
      <c r="G21" s="259">
        <f ca="1">ROUND(C21*$C$18+D21*$D$18,0)</f>
        <v>129061</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0.1080132331367325</v>
      </c>
      <c r="E22" s="261"/>
      <c r="F22" s="262"/>
      <c r="G22" s="263">
        <f ca="1">ROUND(G19/('数据-汇总表'!D3/666.67),0)</f>
        <v>8604</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35"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36"/>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出让国有建设用地使用权价格：281639万元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大写金额：人民币贰拾捌亿壹仟陆佰叁拾玖万元整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单位面积地价：129061元/平方米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楼面地价：38784元/平方米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抵押价格：278660万元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大写金额：人民币贰拾柒亿捌仟陆佰陆拾万元整</v>
      </c>
      <c r="L30" s="1058"/>
      <c r="M30" s="1058"/>
      <c r="N30" s="1058"/>
      <c r="O30" s="257"/>
      <c r="P30" s="1634"/>
      <c r="V30" s="1634"/>
    </row>
    <row r="31" spans="1:22" ht="24" customHeight="1" thickBot="1">
      <c r="A31" s="3663" t="s">
        <v>2247</v>
      </c>
      <c r="B31" s="3663"/>
      <c r="C31" s="3663"/>
      <c r="D31" s="3663"/>
      <c r="E31" s="3663"/>
      <c r="F31" s="3663"/>
      <c r="G31" s="3663"/>
      <c r="H31" s="3663"/>
      <c r="I31" s="3663"/>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281639</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38784</v>
      </c>
      <c r="D33" s="1171" t="s">
        <v>1224</v>
      </c>
      <c r="E33" s="3635"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129061</v>
      </c>
      <c r="D34" s="1171" t="s">
        <v>1224</v>
      </c>
      <c r="E34" s="3679"/>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8604</v>
      </c>
      <c r="D35" s="1174" t="s">
        <v>1226</v>
      </c>
      <c r="E35" s="3680"/>
      <c r="F35" s="277" t="s">
        <v>308</v>
      </c>
      <c r="G35" s="894">
        <f>E37+E38</f>
        <v>2979</v>
      </c>
      <c r="H35" s="893" t="s">
        <v>309</v>
      </c>
      <c r="I35" s="286"/>
      <c r="J35" s="1634"/>
      <c r="K35" s="3653" t="s">
        <v>316</v>
      </c>
      <c r="L35" s="3653" t="s">
        <v>317</v>
      </c>
      <c r="M35" s="1068" t="s">
        <v>318</v>
      </c>
      <c r="N35" s="3653" t="s">
        <v>319</v>
      </c>
      <c r="O35" s="3653" t="s">
        <v>320</v>
      </c>
      <c r="P35" s="1634"/>
      <c r="V35" s="1634"/>
    </row>
    <row r="36" spans="1:22" ht="16.5" customHeight="1">
      <c r="A36" s="279" t="s">
        <v>310</v>
      </c>
      <c r="B36" s="280" t="s">
        <v>299</v>
      </c>
      <c r="C36" s="281" t="s">
        <v>311</v>
      </c>
      <c r="D36" s="281" t="s">
        <v>312</v>
      </c>
      <c r="E36" s="282" t="s">
        <v>313</v>
      </c>
      <c r="F36" s="286"/>
      <c r="G36" s="286"/>
      <c r="H36" s="286"/>
      <c r="I36" s="286"/>
      <c r="J36" s="1642"/>
      <c r="K36" s="3654"/>
      <c r="L36" s="3654"/>
      <c r="M36" s="1070" t="s">
        <v>321</v>
      </c>
      <c r="N36" s="3654"/>
      <c r="O36" s="3654"/>
      <c r="P36" s="1634"/>
      <c r="V36" s="1634"/>
    </row>
    <row r="37" spans="1:22" ht="16.5" customHeight="1" thickBot="1">
      <c r="A37" s="1064" t="s">
        <v>314</v>
      </c>
      <c r="B37" s="269">
        <f>'数据-汇总表'!G20+'比较法-住宅、综合'!E62</f>
        <v>3546.75</v>
      </c>
      <c r="C37" s="270">
        <f>ROUND(信息及取费!C6*0.25*0.25,0)</f>
        <v>2248</v>
      </c>
      <c r="D37" s="3521">
        <v>3.0499999999999999E-2</v>
      </c>
      <c r="E37" s="271">
        <f>ROUND(B37*C37*(1+D37)/10000,0)</f>
        <v>822</v>
      </c>
      <c r="F37" s="286"/>
      <c r="G37" s="286"/>
      <c r="H37" s="286"/>
      <c r="I37" s="286"/>
      <c r="J37" s="1642"/>
      <c r="K37" s="3655"/>
      <c r="L37" s="3655"/>
      <c r="M37" s="1071"/>
      <c r="N37" s="3655"/>
      <c r="O37" s="3655"/>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129061</v>
      </c>
      <c r="N38" s="1073">
        <f ca="1">C33</f>
        <v>38784</v>
      </c>
      <c r="O38" s="1074">
        <f ca="1">C32</f>
        <v>281639</v>
      </c>
      <c r="P38" s="1634"/>
      <c r="V38" s="1634"/>
    </row>
    <row r="39" spans="1:22" ht="16.5" customHeight="1" thickBot="1">
      <c r="A39" s="1069"/>
      <c r="B39" s="283"/>
      <c r="C39" s="284"/>
      <c r="D39" s="284"/>
      <c r="E39" s="285"/>
      <c r="F39" s="286"/>
      <c r="G39" s="286"/>
      <c r="H39" s="286"/>
      <c r="I39" s="286"/>
      <c r="J39" s="1642"/>
      <c r="K39" s="3693" t="str">
        <f>MID(A44,3,LEN(A44)-2)</f>
        <v>抵押价格</v>
      </c>
      <c r="L39" s="3694"/>
      <c r="M39" s="3694"/>
      <c r="N39" s="3695"/>
      <c r="O39" s="1176">
        <f ca="1">C44</f>
        <v>278660</v>
      </c>
      <c r="P39" s="1634"/>
      <c r="V39" s="1634"/>
    </row>
    <row r="40" spans="1:22" ht="19.5" thickBot="1">
      <c r="A40" s="94" t="s">
        <v>810</v>
      </c>
      <c r="B40" s="286"/>
      <c r="C40" s="286"/>
      <c r="D40" s="286"/>
      <c r="E40" s="286"/>
      <c r="F40" s="286"/>
      <c r="G40" s="286"/>
      <c r="H40" s="286"/>
      <c r="I40" s="286"/>
      <c r="J40" s="1642"/>
      <c r="K40" s="3693" t="str">
        <f>MID(A45,3,LEN(A45)-2)</f>
        <v/>
      </c>
      <c r="L40" s="3694"/>
      <c r="M40" s="3694"/>
      <c r="N40" s="3695"/>
      <c r="O40" s="1176" t="str">
        <f>C45</f>
        <v>——</v>
      </c>
      <c r="P40" s="1634"/>
      <c r="V40" s="1634"/>
    </row>
    <row r="41" spans="1:22" ht="16.5" thickBot="1">
      <c r="A41" s="287" t="s">
        <v>322</v>
      </c>
      <c r="B41" s="288"/>
      <c r="C41" s="289" t="s">
        <v>323</v>
      </c>
      <c r="D41" s="290" t="s">
        <v>324</v>
      </c>
      <c r="E41" s="290" t="s">
        <v>325</v>
      </c>
      <c r="F41" s="291" t="s">
        <v>326</v>
      </c>
      <c r="G41" s="286"/>
      <c r="H41" s="286"/>
      <c r="I41" s="286"/>
      <c r="J41" s="1642"/>
      <c r="K41" s="3693" t="str">
        <f>MID(A46,3,LEN(A46)-2)</f>
        <v/>
      </c>
      <c r="L41" s="3694"/>
      <c r="M41" s="3694"/>
      <c r="N41" s="3695"/>
      <c r="O41" s="1176" t="str">
        <f>C46</f>
        <v>——</v>
      </c>
      <c r="P41" s="1634"/>
      <c r="V41" s="1634"/>
    </row>
    <row r="42" spans="1:22" ht="29.25">
      <c r="A42" s="3637" t="s">
        <v>1585</v>
      </c>
      <c r="B42" s="3638"/>
      <c r="C42" s="243">
        <f ca="1">C32</f>
        <v>281639</v>
      </c>
      <c r="D42" s="292">
        <f ca="1">C33</f>
        <v>38784</v>
      </c>
      <c r="E42" s="292">
        <f ca="1">C34</f>
        <v>129061</v>
      </c>
      <c r="F42" s="293">
        <f ca="1">C35</f>
        <v>8604</v>
      </c>
      <c r="G42" s="286"/>
      <c r="H42" s="286"/>
      <c r="I42" s="294"/>
      <c r="J42" s="1642"/>
      <c r="K42" s="1075" t="s">
        <v>327</v>
      </c>
      <c r="L42" s="1658" t="s">
        <v>328</v>
      </c>
      <c r="M42" s="1076" t="s">
        <v>329</v>
      </c>
      <c r="N42" s="1659" t="s">
        <v>330</v>
      </c>
      <c r="O42" s="1660" t="s">
        <v>331</v>
      </c>
      <c r="P42" s="1634"/>
      <c r="V42" s="1634"/>
    </row>
    <row r="43" spans="1:22" ht="30">
      <c r="A43" s="3648" t="s">
        <v>2012</v>
      </c>
      <c r="B43" s="3649"/>
      <c r="C43" s="243">
        <f>IF(H33="正常操作",G33+G34+G35,G34+G35)</f>
        <v>2979</v>
      </c>
      <c r="D43" s="292" t="s">
        <v>17</v>
      </c>
      <c r="E43" s="292" t="s">
        <v>18</v>
      </c>
      <c r="F43" s="293" t="s">
        <v>18</v>
      </c>
      <c r="G43" s="2169" t="s">
        <v>877</v>
      </c>
      <c r="H43" s="286"/>
      <c r="I43" s="294"/>
      <c r="J43" s="1642"/>
      <c r="K43" s="1077" t="str">
        <f>C4</f>
        <v>比较法-住宅、综合</v>
      </c>
      <c r="L43" s="1078">
        <f ca="1">IF(L42="估价结果/万元",C19,C20)</f>
        <v>296070</v>
      </c>
      <c r="M43" s="1079">
        <f>C18</f>
        <v>0.5</v>
      </c>
      <c r="N43" s="1080">
        <f ca="1">IF(N42="测算结果/万元",G19,G20)</f>
        <v>281639</v>
      </c>
      <c r="O43" s="1081">
        <f ca="1">IF(O42="最终结果/万元",C32,C33)</f>
        <v>281639</v>
      </c>
      <c r="P43" s="1634"/>
      <c r="V43" s="1634"/>
    </row>
    <row r="44" spans="1:22" ht="30.75" thickBot="1">
      <c r="A44" s="3637" t="str">
        <f>IF(OR(项目基本情况!E8="抵押价格",项目基本情况!E8="已注销及未注销"),"3.抵押价格","——")</f>
        <v>3.抵押价格</v>
      </c>
      <c r="B44" s="3638"/>
      <c r="C44" s="243">
        <f ca="1">IF(A44="——","——",C42-C43)</f>
        <v>278660</v>
      </c>
      <c r="D44" s="292">
        <f ca="1">ROUND(C44*10000/'数据-汇总表'!E3,0)</f>
        <v>38373</v>
      </c>
      <c r="E44" s="292">
        <f ca="1">ROUND(C44*10000/'数据-汇总表'!D3,0)</f>
        <v>127696</v>
      </c>
      <c r="F44" s="293">
        <f ca="1">ROUND(C44/('数据-汇总表'!D3/666.67),0)</f>
        <v>8513</v>
      </c>
      <c r="G44" s="286"/>
      <c r="H44" s="286"/>
      <c r="I44" s="294"/>
      <c r="J44" s="1642"/>
      <c r="K44" s="1082" t="str">
        <f>D4</f>
        <v>剩余法-待开发</v>
      </c>
      <c r="L44" s="1083">
        <f ca="1">IF(L42="估价结果/万元",D19,D20)</f>
        <v>267208</v>
      </c>
      <c r="M44" s="1084">
        <f>D18</f>
        <v>0.5</v>
      </c>
      <c r="N44" s="1085"/>
      <c r="O44" s="1086"/>
      <c r="P44" s="1634"/>
      <c r="V44" s="1634"/>
    </row>
    <row r="45" spans="1:22" ht="15">
      <c r="A45" s="3643" t="str">
        <f>IF(项目基本情况!E8="已注销及未注销","4.抵押担保权已注销时的抵押价格",IF(项目基本情况!E8="已注销","3.抵押担保权已注销时的抵押价格","——"))</f>
        <v>——</v>
      </c>
      <c r="B45" s="3644"/>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639" t="str">
        <f>IF(项目基本情况!E9="抵押净值",IF(A45="——","4.抵押净值","5.抵押净值"),"——")</f>
        <v>——</v>
      </c>
      <c r="B46" s="3640"/>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本次评估估价师知悉的法定优先受偿款为人民币2979万元整。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87" t="s">
        <v>340</v>
      </c>
      <c r="B63" s="3688"/>
      <c r="C63" s="3689"/>
      <c r="D63" s="314">
        <f ca="1">ROUND(C42*F63,0)</f>
        <v>281639</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645" t="s">
        <v>344</v>
      </c>
      <c r="B64" s="3646"/>
      <c r="C64" s="3646"/>
      <c r="D64" s="3646"/>
      <c r="E64" s="3646"/>
      <c r="F64" s="3646"/>
      <c r="G64" s="3647"/>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641" t="s">
        <v>352</v>
      </c>
      <c r="B66" s="3642"/>
      <c r="C66" s="3642"/>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702" t="s">
        <v>351</v>
      </c>
      <c r="M66" s="3703"/>
      <c r="N66" s="1971"/>
      <c r="O66" s="1972"/>
      <c r="P66" s="1973"/>
      <c r="Q66" s="1634"/>
      <c r="R66" s="1634"/>
      <c r="S66" s="1634"/>
      <c r="T66" s="1634"/>
      <c r="U66" s="1634"/>
      <c r="V66" s="1634"/>
    </row>
    <row r="67" spans="1:22" ht="25.5" customHeight="1">
      <c r="A67" s="325" t="s">
        <v>355</v>
      </c>
      <c r="B67" s="3632" t="s">
        <v>356</v>
      </c>
      <c r="C67" s="3632"/>
      <c r="D67" s="326">
        <v>0</v>
      </c>
      <c r="E67" s="36" t="s">
        <v>357</v>
      </c>
      <c r="F67" s="57" t="s">
        <v>15</v>
      </c>
      <c r="G67" s="3690"/>
      <c r="H67" s="2540" t="s">
        <v>2248</v>
      </c>
      <c r="I67" s="2542"/>
      <c r="J67" s="1647"/>
      <c r="K67" s="1630">
        <v>2</v>
      </c>
      <c r="L67" s="3696" t="s">
        <v>354</v>
      </c>
      <c r="M67" s="3696"/>
      <c r="N67" s="1126">
        <f>'数据-取费表'!B2</f>
        <v>45616</v>
      </c>
      <c r="O67" s="1126"/>
      <c r="P67" s="1126"/>
      <c r="Q67" s="1634"/>
      <c r="R67" s="1634"/>
      <c r="S67" s="1634"/>
      <c r="T67" s="1634"/>
      <c r="U67" s="1634"/>
      <c r="V67" s="1634"/>
    </row>
    <row r="68" spans="1:22" ht="25.5" customHeight="1">
      <c r="A68" s="327"/>
      <c r="B68" s="3632" t="s">
        <v>359</v>
      </c>
      <c r="C68" s="3632"/>
      <c r="D68" s="328"/>
      <c r="E68" s="72"/>
      <c r="F68" s="329"/>
      <c r="G68" s="3691"/>
      <c r="H68" s="2541" t="s">
        <v>2249</v>
      </c>
      <c r="I68" s="2542"/>
      <c r="J68" s="1647"/>
      <c r="K68" s="1630">
        <v>3</v>
      </c>
      <c r="L68" s="3696" t="s">
        <v>358</v>
      </c>
      <c r="M68" s="3696"/>
      <c r="N68" s="1096">
        <f ca="1">C42</f>
        <v>281639</v>
      </c>
      <c r="O68" s="1096"/>
      <c r="P68" s="1096"/>
      <c r="Q68" s="1634"/>
      <c r="R68" s="1634"/>
      <c r="S68" s="1634"/>
      <c r="T68" s="1634"/>
      <c r="U68" s="1634"/>
      <c r="V68" s="1634"/>
    </row>
    <row r="69" spans="1:22" ht="23.45" customHeight="1">
      <c r="A69" s="330"/>
      <c r="B69" s="3632" t="s">
        <v>360</v>
      </c>
      <c r="C69" s="3632"/>
      <c r="D69" s="331"/>
      <c r="E69" s="68"/>
      <c r="F69" s="329"/>
      <c r="G69" s="3692"/>
      <c r="H69" s="2541" t="s">
        <v>2250</v>
      </c>
      <c r="I69" s="2542"/>
      <c r="J69" s="1647"/>
      <c r="K69" s="1097">
        <v>4</v>
      </c>
      <c r="L69" s="3706" t="s">
        <v>2152</v>
      </c>
      <c r="M69" s="3707"/>
      <c r="N69" s="1098">
        <f ca="1">C44</f>
        <v>278660</v>
      </c>
      <c r="O69" s="1098"/>
      <c r="P69" s="1098"/>
      <c r="Q69" s="1634"/>
      <c r="R69" s="1634"/>
      <c r="S69" s="1634"/>
      <c r="T69" s="1634"/>
      <c r="U69" s="1634"/>
      <c r="V69" s="1634"/>
    </row>
    <row r="70" spans="1:22" ht="24" customHeight="1">
      <c r="A70" s="332" t="s">
        <v>361</v>
      </c>
      <c r="B70" s="3632" t="s">
        <v>362</v>
      </c>
      <c r="C70" s="3632"/>
      <c r="D70" s="331">
        <f ca="1">ROUND(D63*'数据-取费表'!B41/(1+'数据-取费表'!C42),0)</f>
        <v>14753</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33" t="s">
        <v>2274</v>
      </c>
      <c r="C71" s="3634"/>
      <c r="D71" s="331">
        <f ca="1">ROUND(D63*'数据-取费表'!B41/(1+'数据-取费表'!C42),0)</f>
        <v>14753</v>
      </c>
      <c r="E71" s="14" t="s">
        <v>363</v>
      </c>
      <c r="F71" s="333">
        <f>'数据-取费表'!B41</f>
        <v>5.5000000000000007E-2</v>
      </c>
      <c r="G71" s="334"/>
      <c r="H71" s="286"/>
      <c r="I71" s="1095"/>
      <c r="J71" s="1647"/>
      <c r="K71" s="2330" t="s">
        <v>364</v>
      </c>
      <c r="L71" s="3708" t="s">
        <v>365</v>
      </c>
      <c r="M71" s="3708"/>
      <c r="N71" s="2330" t="s">
        <v>366</v>
      </c>
      <c r="O71" s="2330" t="s">
        <v>367</v>
      </c>
      <c r="P71" s="2330" t="s">
        <v>368</v>
      </c>
      <c r="Q71" s="1634"/>
      <c r="R71" s="1634"/>
      <c r="S71" s="1634"/>
      <c r="T71" s="1634"/>
      <c r="U71" s="1634"/>
      <c r="V71" s="1634"/>
    </row>
    <row r="72" spans="1:22" ht="12" customHeight="1">
      <c r="A72" s="332" t="s">
        <v>371</v>
      </c>
      <c r="B72" s="3633" t="s">
        <v>2275</v>
      </c>
      <c r="C72" s="3634"/>
      <c r="D72" s="331">
        <f ca="1">C86</f>
        <v>14753</v>
      </c>
      <c r="E72" s="68" t="s">
        <v>372</v>
      </c>
      <c r="F72" s="333">
        <f>'数据-取费表'!B41</f>
        <v>5.5000000000000007E-2</v>
      </c>
      <c r="G72" s="334"/>
      <c r="H72" s="1101"/>
      <c r="I72" s="1095"/>
      <c r="J72" s="1647"/>
      <c r="K72" s="1630">
        <v>1</v>
      </c>
      <c r="L72" s="3683" t="s">
        <v>370</v>
      </c>
      <c r="M72" s="3683"/>
      <c r="N72" s="1099" t="b">
        <f>D66</f>
        <v>0</v>
      </c>
      <c r="O72" s="1537" t="str">
        <f>E66</f>
        <v>销售额×税（费）率</v>
      </c>
      <c r="P72" s="1100">
        <f>F66</f>
        <v>5.5000000000000007E-2</v>
      </c>
      <c r="Q72" s="1634"/>
      <c r="R72" s="1634"/>
      <c r="S72" s="1634"/>
      <c r="T72" s="1634"/>
      <c r="U72" s="1634"/>
      <c r="V72" s="1634"/>
    </row>
    <row r="73" spans="1:22" ht="24" customHeight="1">
      <c r="A73" s="3678" t="s">
        <v>374</v>
      </c>
      <c r="B73" s="3642"/>
      <c r="C73" s="3642"/>
      <c r="D73" s="335">
        <f ca="1">IF(H73="个人住宅",0,ROUND(D63*I73,0))</f>
        <v>141</v>
      </c>
      <c r="E73" s="14" t="s">
        <v>375</v>
      </c>
      <c r="F73" s="333" t="str">
        <f>IF(H73="正常",I73,"免征")</f>
        <v>免征</v>
      </c>
      <c r="G73" s="334"/>
      <c r="H73" s="173"/>
      <c r="I73" s="333">
        <f>'数据-取费表'!B49</f>
        <v>5.0000000000000001E-4</v>
      </c>
      <c r="J73" s="1647"/>
      <c r="K73" s="1630">
        <v>2</v>
      </c>
      <c r="L73" s="3683" t="s">
        <v>373</v>
      </c>
      <c r="M73" s="3683"/>
      <c r="N73" s="1099">
        <f t="shared" ref="N73:P74" ca="1" si="0">D73</f>
        <v>141</v>
      </c>
      <c r="O73" s="1537" t="str">
        <f t="shared" si="0"/>
        <v>销售额×税（费）率</v>
      </c>
      <c r="P73" s="1100" t="str">
        <f t="shared" si="0"/>
        <v>免征</v>
      </c>
      <c r="Q73" s="1634"/>
      <c r="R73" s="1634"/>
      <c r="S73" s="1634"/>
      <c r="T73" s="1634"/>
      <c r="U73" s="1634"/>
      <c r="V73" s="1634"/>
    </row>
    <row r="74" spans="1:22" ht="24.75">
      <c r="A74" s="3678" t="s">
        <v>377</v>
      </c>
      <c r="B74" s="3642"/>
      <c r="C74" s="3642"/>
      <c r="D74" s="335">
        <f ca="1">IF(H74="个人住宅",D75,D76)</f>
        <v>159663</v>
      </c>
      <c r="E74" s="14" t="s">
        <v>378</v>
      </c>
      <c r="F74" s="333" t="str">
        <f>IF(H74="正常",F76,"免征")</f>
        <v>免征</v>
      </c>
      <c r="G74" s="895" t="s">
        <v>379</v>
      </c>
      <c r="H74" s="336"/>
      <c r="I74" s="37"/>
      <c r="J74" s="1647"/>
      <c r="K74" s="1630">
        <v>3</v>
      </c>
      <c r="L74" s="3683" t="s">
        <v>376</v>
      </c>
      <c r="M74" s="3683"/>
      <c r="N74" s="1099">
        <f t="shared" ca="1" si="0"/>
        <v>159663</v>
      </c>
      <c r="O74" s="1537" t="str">
        <f t="shared" si="0"/>
        <v>增值额×税（费）率</v>
      </c>
      <c r="P74" s="1102" t="str">
        <f t="shared" si="0"/>
        <v>免征</v>
      </c>
      <c r="Q74" s="1634"/>
      <c r="R74" s="1634"/>
      <c r="S74" s="1634"/>
      <c r="T74" s="1634"/>
      <c r="U74" s="1634"/>
      <c r="V74" s="1634"/>
    </row>
    <row r="75" spans="1:22" ht="12.75">
      <c r="A75" s="332" t="s">
        <v>380</v>
      </c>
      <c r="B75" s="3630" t="s">
        <v>381</v>
      </c>
      <c r="C75" s="3666"/>
      <c r="D75" s="337">
        <v>0</v>
      </c>
      <c r="E75" s="36" t="s">
        <v>382</v>
      </c>
      <c r="F75" s="338"/>
      <c r="G75" s="334"/>
      <c r="H75" s="37"/>
      <c r="I75" s="37"/>
      <c r="J75" s="1647"/>
      <c r="K75" s="1630">
        <f>IF(H77="非个人房产","",4)</f>
        <v>4</v>
      </c>
      <c r="L75" s="3683" t="str">
        <f>IF(H77="非个人房产","——","个人所得税")</f>
        <v>个人所得税</v>
      </c>
      <c r="M75" s="3683"/>
      <c r="N75" s="1103">
        <f>D77</f>
        <v>0</v>
      </c>
      <c r="O75" s="1538" t="str">
        <f>E77</f>
        <v>差额计税</v>
      </c>
      <c r="P75" s="1104">
        <f>F77</f>
        <v>0.01</v>
      </c>
      <c r="Q75" s="1634"/>
      <c r="R75" s="1634"/>
      <c r="S75" s="1634"/>
      <c r="T75" s="1634"/>
      <c r="U75" s="1634"/>
      <c r="V75" s="1634"/>
    </row>
    <row r="76" spans="1:22" ht="24.75">
      <c r="A76" s="332" t="s">
        <v>361</v>
      </c>
      <c r="B76" s="3630" t="s">
        <v>384</v>
      </c>
      <c r="C76" s="3631"/>
      <c r="D76" s="335">
        <f ca="1">IF(H76="转让取得",C99,C115)</f>
        <v>159663</v>
      </c>
      <c r="E76" s="14" t="s">
        <v>385</v>
      </c>
      <c r="F76" s="48" t="s">
        <v>15</v>
      </c>
      <c r="G76" s="334"/>
      <c r="H76" s="336"/>
      <c r="I76" s="37"/>
      <c r="J76" s="1647"/>
      <c r="K76" s="1630" t="str">
        <f>IF(项目基本情况!K6="上海银行",IF(K75="",4,K75+1),"")</f>
        <v/>
      </c>
      <c r="L76" s="3698" t="str">
        <f>IF(项目基本情况!K6="上海银行","其他处置费用","")</f>
        <v/>
      </c>
      <c r="M76" s="3699"/>
      <c r="N76" s="1099" t="str">
        <f>IF(项目基本情况!K6="上海银行",N89,"")</f>
        <v/>
      </c>
      <c r="O76" s="3700" t="str">
        <f>IF(项目基本情况!K6="上海银行","包含处置中涉及的律师、诉讼、拍卖、评估等费用","")</f>
        <v/>
      </c>
      <c r="P76" s="3701"/>
      <c r="Q76" s="1634"/>
      <c r="R76" s="1634"/>
      <c r="S76" s="1634"/>
      <c r="T76" s="1634"/>
      <c r="U76" s="1634"/>
      <c r="V76" s="1634"/>
    </row>
    <row r="77" spans="1:22" ht="24.75" thickBot="1">
      <c r="A77" s="3685" t="s">
        <v>387</v>
      </c>
      <c r="B77" s="3686"/>
      <c r="C77" s="3686"/>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684">
        <f>IF(AND(K75="",K76=""),4,IF(项目基本情况!K6="上海银行",K76+1,K75+1))</f>
        <v>5</v>
      </c>
      <c r="L77" s="3683" t="s">
        <v>2153</v>
      </c>
      <c r="M77" s="2329" t="s">
        <v>383</v>
      </c>
      <c r="N77" s="1105"/>
      <c r="O77" s="1106">
        <f ca="1">SUMIF(N72:N76,"&lt;9e307")</f>
        <v>159804</v>
      </c>
      <c r="P77" s="1107"/>
      <c r="Q77" s="2327">
        <f ca="1">O77/N69</f>
        <v>0.57347304959448786</v>
      </c>
      <c r="R77" s="1634"/>
      <c r="S77" s="1634"/>
      <c r="T77" s="1634"/>
      <c r="U77" s="1634"/>
      <c r="V77" s="1634"/>
    </row>
    <row r="78" spans="1:22" ht="12" customHeight="1">
      <c r="A78" s="1108"/>
      <c r="B78" s="286"/>
      <c r="C78" s="286"/>
      <c r="D78" s="286"/>
      <c r="E78" s="37"/>
      <c r="F78" s="37"/>
      <c r="G78" s="37"/>
      <c r="H78" s="864"/>
      <c r="I78" s="286"/>
      <c r="J78" s="1647"/>
      <c r="K78" s="3684"/>
      <c r="L78" s="3683"/>
      <c r="M78" s="2329" t="s">
        <v>386</v>
      </c>
      <c r="N78" s="1105"/>
      <c r="O78" s="1106" t="str">
        <f ca="1">NUMBERSTRING(INT(O77*10000),2)&amp;"元整"</f>
        <v>壹拾伍亿玖仟捌佰零肆万元整</v>
      </c>
      <c r="P78" s="1107"/>
      <c r="Q78" s="1634"/>
      <c r="R78" s="1634"/>
      <c r="S78" s="1634"/>
      <c r="T78" s="1634"/>
      <c r="U78" s="1634"/>
      <c r="V78" s="1634"/>
    </row>
    <row r="79" spans="1:22" ht="13.5" thickBot="1">
      <c r="A79" s="3650" t="s">
        <v>388</v>
      </c>
      <c r="B79" s="3650"/>
      <c r="C79" s="3650"/>
      <c r="D79" s="3650"/>
      <c r="E79" s="3650"/>
      <c r="F79" s="37"/>
      <c r="G79" s="37"/>
      <c r="H79" s="864"/>
      <c r="I79" s="286"/>
      <c r="J79" s="1647"/>
      <c r="K79" s="3704">
        <f>K77+1</f>
        <v>6</v>
      </c>
      <c r="L79" s="3683" t="s">
        <v>2154</v>
      </c>
      <c r="M79" s="2329" t="s">
        <v>383</v>
      </c>
      <c r="N79" s="1105"/>
      <c r="O79" s="1106">
        <f ca="1">N69-O77</f>
        <v>118856</v>
      </c>
      <c r="P79" s="1107"/>
      <c r="Q79" s="1634"/>
      <c r="R79" s="1634"/>
      <c r="S79" s="1634"/>
      <c r="T79" s="1634"/>
      <c r="U79" s="1634"/>
      <c r="V79" s="1634"/>
    </row>
    <row r="80" spans="1:22" ht="25.5">
      <c r="A80" s="3651" t="s">
        <v>389</v>
      </c>
      <c r="B80" s="3652"/>
      <c r="C80" s="905"/>
      <c r="D80" s="905" t="s">
        <v>390</v>
      </c>
      <c r="E80" s="339" t="s">
        <v>391</v>
      </c>
      <c r="F80" s="37"/>
      <c r="G80" s="37"/>
      <c r="H80" s="864"/>
      <c r="I80" s="286"/>
      <c r="J80" s="1634"/>
      <c r="K80" s="3705"/>
      <c r="L80" s="3683"/>
      <c r="M80" s="2329" t="s">
        <v>386</v>
      </c>
      <c r="N80" s="1105"/>
      <c r="O80" s="1106" t="str">
        <f ca="1">NUMBERSTRING(INT(O79*10000),2)&amp;"元整"</f>
        <v>壹拾壹亿捌仟捌佰伍拾陆万元整</v>
      </c>
      <c r="P80" s="1107"/>
      <c r="Q80" s="1634"/>
      <c r="R80" s="1634"/>
      <c r="S80" s="1634"/>
      <c r="T80" s="1634"/>
      <c r="U80" s="1634"/>
      <c r="V80" s="1634"/>
    </row>
    <row r="81" spans="1:26" ht="13.5" thickBot="1">
      <c r="A81" s="350" t="s">
        <v>1352</v>
      </c>
      <c r="B81" s="340" t="s">
        <v>392</v>
      </c>
      <c r="C81" s="341">
        <f ca="1">ROUND((C82+C83)/(1+'数据-取费表'!C42),0)</f>
        <v>268228</v>
      </c>
      <c r="D81" s="342"/>
      <c r="E81" s="343"/>
      <c r="F81" s="37"/>
      <c r="G81" s="37"/>
      <c r="H81" s="864"/>
      <c r="I81" s="286"/>
      <c r="J81" s="1634"/>
      <c r="K81" s="1630">
        <f>K79+1</f>
        <v>7</v>
      </c>
      <c r="L81" s="3681" t="s">
        <v>2155</v>
      </c>
      <c r="M81" s="3682"/>
      <c r="N81" s="1109"/>
      <c r="O81" s="1110">
        <f ca="1">ROUND(O79*10000/'数据-汇总表'!E3,0)</f>
        <v>16367</v>
      </c>
      <c r="P81" s="1111"/>
      <c r="Q81" s="1634"/>
      <c r="R81" s="1634"/>
      <c r="S81" s="1634"/>
      <c r="T81" s="1634"/>
      <c r="U81" s="1634"/>
      <c r="V81" s="1634"/>
    </row>
    <row r="82" spans="1:26" ht="13.5" thickTop="1">
      <c r="A82" s="344" t="s">
        <v>1353</v>
      </c>
      <c r="B82" s="345" t="s">
        <v>393</v>
      </c>
      <c r="C82" s="346">
        <f ca="1">D63</f>
        <v>281639</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97" t="s">
        <v>2143</v>
      </c>
      <c r="L83" s="2335" t="s">
        <v>2144</v>
      </c>
      <c r="M83" s="2325">
        <f ca="1">IF(N69&gt;10000,N69*0.5%,IF(AND(N69&gt;1000,N69&lt;=10000),N69*1%,IF(AND(N69&gt;100,N69&lt;=1000),N69*3%,IF(AND(N69&gt;10,N69&lt;=100),N69*5%,N69*8%))))</f>
        <v>1393.3</v>
      </c>
      <c r="N83" s="48">
        <f ca="1">ROUND(M83,1)</f>
        <v>1393.3</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97"/>
      <c r="L84" s="2335" t="s">
        <v>2145</v>
      </c>
      <c r="M84" s="2325">
        <f ca="1">IF(N69&gt;2000,N69*0.5%,IF(AND(N69&gt;1000,N69&lt;=2000),N69*0.6%,IF(AND(N69&gt;500,N69&lt;=1000),N69*0.7%,IF(AND(N69&gt;200,N69&lt;=500),N69*0.8%,IF(AND(N69&gt;100,N69&lt;=200),N69*0.9%,IF(AND(N69&gt;50,N69&lt;=100),N69*1%,IF(AND(N69&gt;20,N69&lt;=50),N69*1.5%,IF(AND(N69&gt;10,N69&lt;=20),N69*2%,IF(AND(N69&gt;1,N69&lt;=10),N69*2.5%)))))))))</f>
        <v>1393.3</v>
      </c>
      <c r="N84" s="48">
        <f ca="1">ROUND(M84,1)</f>
        <v>1393.3</v>
      </c>
      <c r="O84" s="1634" t="s">
        <v>2146</v>
      </c>
      <c r="P84" s="1634"/>
      <c r="Q84" s="1634"/>
      <c r="R84" s="1634"/>
      <c r="S84" s="1634"/>
      <c r="T84" s="1634"/>
      <c r="U84" s="1634"/>
      <c r="V84" s="1634"/>
    </row>
    <row r="85" spans="1:26" ht="12.75">
      <c r="A85" s="350" t="s">
        <v>1356</v>
      </c>
      <c r="B85" s="351" t="s">
        <v>396</v>
      </c>
      <c r="C85" s="354">
        <f ca="1">C81-C84</f>
        <v>268228</v>
      </c>
      <c r="D85" s="347" t="s">
        <v>13</v>
      </c>
      <c r="E85" s="348"/>
      <c r="F85" s="37"/>
      <c r="G85" s="37"/>
      <c r="H85" s="864"/>
      <c r="I85" s="286"/>
      <c r="J85" s="1634"/>
      <c r="K85" s="3697"/>
      <c r="L85" s="2335" t="s">
        <v>2147</v>
      </c>
      <c r="M85" s="2325">
        <f ca="1">IF(N69&gt;1000,N69*0.1%,IF(AND(N69&gt;500,N69&lt;=1000),N69*0.5%,IF(AND(N69&gt;50,N69&lt;=500),N69*1%,IF(AND(N69&gt;1,N69&lt;=50),N69*1.5%))))</f>
        <v>278.66000000000003</v>
      </c>
      <c r="N85" s="48">
        <f ca="1">ROUND(M85,1)</f>
        <v>278.7</v>
      </c>
      <c r="O85" s="1634" t="s">
        <v>2146</v>
      </c>
      <c r="P85" s="1634"/>
      <c r="Q85" s="1634"/>
      <c r="R85" s="1634"/>
      <c r="S85" s="1634"/>
      <c r="T85" s="1634"/>
      <c r="U85" s="1634"/>
      <c r="V85" s="1634"/>
    </row>
    <row r="86" spans="1:26" ht="13.5" thickBot="1">
      <c r="A86" s="355" t="s">
        <v>1357</v>
      </c>
      <c r="B86" s="356" t="s">
        <v>397</v>
      </c>
      <c r="C86" s="357">
        <f ca="1">IF(C85&lt;=0,0,ROUND(C85*D86,0))</f>
        <v>14753</v>
      </c>
      <c r="D86" s="358">
        <f>'数据-取费表'!B41</f>
        <v>5.5000000000000007E-2</v>
      </c>
      <c r="E86" s="359"/>
      <c r="F86" s="37"/>
      <c r="G86" s="37"/>
      <c r="H86" s="864"/>
      <c r="I86" s="286"/>
      <c r="J86" s="1634"/>
      <c r="K86" s="3697"/>
      <c r="L86" s="2335" t="s">
        <v>2148</v>
      </c>
      <c r="M86" s="2325">
        <f ca="1">N69*0.5%</f>
        <v>1393.3</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97"/>
      <c r="L87" s="2335" t="s">
        <v>2150</v>
      </c>
      <c r="M87" s="2325">
        <f ca="1">IF(N69&gt;=10000,(8.25+(N69-10000)*0.01%),IF(AND(N69&gt;=8000,N69&lt;10000),(7.85+(N69-8000)*0.02%),IF(AND(N69&gt;=5000,N69&lt;8000),(6.65+(N69-5000)*0.04%),IF(AND(N69&gt;=2000,N69&lt;5000),(4.25+(PN69-2000)*0.08%),IF(AND(N69&gt;=1000,N69&lt;2000),(2.75+(N69-1000)*0.15%),IF(AND(N69&gt;=100,N69&lt;1000),(0.5+(N69-100)*0.25%),IF(AND(N69&gt;0,N69&lt;100),N69*0.5%)))))))</f>
        <v>35.116</v>
      </c>
      <c r="N87" s="48">
        <f ca="1">ROUND(M87*0.9,1)</f>
        <v>31.6</v>
      </c>
      <c r="O87" s="2328"/>
      <c r="P87" s="1634"/>
      <c r="Q87" s="1634"/>
      <c r="R87" s="1634"/>
      <c r="S87" s="1634"/>
      <c r="T87" s="1634"/>
      <c r="U87" s="1634"/>
      <c r="V87" s="1634"/>
    </row>
    <row r="88" spans="1:26" s="1005" customFormat="1" ht="15" thickBot="1">
      <c r="A88" s="3676" t="s">
        <v>398</v>
      </c>
      <c r="B88" s="3677"/>
      <c r="C88" s="3677"/>
      <c r="D88" s="3677"/>
      <c r="E88" s="3677"/>
      <c r="F88" s="3677"/>
      <c r="G88" s="3677"/>
      <c r="H88" s="3677"/>
      <c r="I88" s="1117"/>
      <c r="J88" s="1648"/>
      <c r="K88" s="3697"/>
      <c r="L88" s="2335" t="s">
        <v>2151</v>
      </c>
      <c r="M88" s="2325">
        <f ca="1">IF(N69&gt;10000,N69*0.5%,IF(AND(N69&gt;5000,N69&lt;=10000),N69*1%,IF(AND(N69&gt;1000,N69&lt;=5000),N69*2%,IF(AND(N69&gt;200,N69&lt;=1000),N69*3%,N69*5%))))</f>
        <v>1393.3</v>
      </c>
      <c r="N88" s="48">
        <f ca="1">ROUND(M88,1)</f>
        <v>1393.3</v>
      </c>
      <c r="O88" s="2328"/>
      <c r="P88" s="1645"/>
      <c r="Q88" s="1645"/>
      <c r="R88" s="1645"/>
      <c r="S88" s="1645"/>
      <c r="T88" s="1645"/>
      <c r="U88" s="1645"/>
      <c r="V88" s="1645"/>
      <c r="W88" s="1649"/>
      <c r="X88" s="1649"/>
      <c r="Y88" s="1649"/>
      <c r="Z88" s="1649"/>
    </row>
    <row r="89" spans="1:26" s="1005" customFormat="1" ht="14.25">
      <c r="A89" s="3651" t="s">
        <v>389</v>
      </c>
      <c r="B89" s="3652"/>
      <c r="C89" s="905"/>
      <c r="D89" s="905" t="s">
        <v>390</v>
      </c>
      <c r="E89" s="360" t="s">
        <v>399</v>
      </c>
      <c r="F89" s="361"/>
      <c r="G89" s="361"/>
      <c r="H89" s="362"/>
      <c r="I89" s="1118"/>
      <c r="J89" s="1650"/>
      <c r="K89" s="3697"/>
      <c r="L89" s="2335" t="s">
        <v>16</v>
      </c>
      <c r="M89" s="2326"/>
      <c r="N89" s="48">
        <f ca="1">ROUND(SUM(N83:N88),0)</f>
        <v>4491</v>
      </c>
      <c r="O89" s="2336">
        <f ca="1">N89/N69</f>
        <v>1.6116414268283929E-2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268228</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1341</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33" t="s">
        <v>407</v>
      </c>
      <c r="F94" s="3632"/>
      <c r="G94" s="3632"/>
      <c r="H94" s="3675"/>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1341</v>
      </c>
      <c r="D96" s="375">
        <f>'数据-取费表'!B43</f>
        <v>5.000000000000001E-3</v>
      </c>
      <c r="E96" s="3667" t="s">
        <v>1780</v>
      </c>
      <c r="F96" s="3668"/>
      <c r="G96" s="3668"/>
      <c r="H96" s="3669"/>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266887</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199.02087994034304</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159663</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76" t="s">
        <v>414</v>
      </c>
      <c r="B101" s="3677"/>
      <c r="C101" s="3677"/>
      <c r="D101" s="3677"/>
      <c r="E101" s="3677"/>
      <c r="F101" s="3677"/>
      <c r="G101" s="3677"/>
      <c r="H101" s="3677"/>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51" t="s">
        <v>389</v>
      </c>
      <c r="B102" s="3652"/>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268228</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1341</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27" t="s">
        <v>2243</v>
      </c>
      <c r="H108" s="3628"/>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0" t="s">
        <v>422</v>
      </c>
      <c r="F109" s="3668"/>
      <c r="G109" s="3668"/>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0" t="s">
        <v>424</v>
      </c>
      <c r="F110" s="3668"/>
      <c r="G110" s="3668"/>
      <c r="H110" s="3669"/>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1341</v>
      </c>
      <c r="D111" s="375">
        <f>'数据-取费表'!B43</f>
        <v>5.000000000000001E-3</v>
      </c>
      <c r="E111" s="3667" t="s">
        <v>1780</v>
      </c>
      <c r="F111" s="3668"/>
      <c r="G111" s="3668"/>
      <c r="H111" s="3669"/>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0" t="s">
        <v>1799</v>
      </c>
      <c r="F112" s="3668"/>
      <c r="G112" s="3668"/>
      <c r="H112" s="3669"/>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266887</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199.02087994034304</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159663</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B49" zoomScaleNormal="95" zoomScaleSheetLayoutView="100" workbookViewId="0">
      <selection activeCell="E74" sqref="E74"/>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296070</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40771</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135674</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9045</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16" t="s">
        <v>471</v>
      </c>
      <c r="D6" s="3717"/>
      <c r="E6" s="3716" t="s">
        <v>472</v>
      </c>
      <c r="F6" s="3717"/>
      <c r="G6" s="3716" t="s">
        <v>473</v>
      </c>
      <c r="H6" s="3717"/>
      <c r="I6" s="3716" t="s">
        <v>474</v>
      </c>
      <c r="J6" s="3717"/>
      <c r="K6" s="464" t="s">
        <v>475</v>
      </c>
      <c r="L6" s="1739"/>
      <c r="M6" s="1738"/>
      <c r="N6" s="1738"/>
      <c r="O6" s="1740"/>
      <c r="P6" s="3718" t="s">
        <v>476</v>
      </c>
      <c r="Q6" s="3719"/>
      <c r="R6" s="3724" t="s">
        <v>472</v>
      </c>
      <c r="S6" s="3725"/>
      <c r="T6" s="3724" t="s">
        <v>473</v>
      </c>
      <c r="U6" s="3725"/>
      <c r="V6" s="3711" t="s">
        <v>474</v>
      </c>
      <c r="W6" s="3711"/>
      <c r="X6" s="1300"/>
      <c r="Y6" s="3724" t="s">
        <v>476</v>
      </c>
      <c r="Z6" s="3725"/>
      <c r="AA6" s="3713" t="s">
        <v>472</v>
      </c>
      <c r="AB6" s="3714" t="s">
        <v>473</v>
      </c>
      <c r="AC6" s="3713" t="s">
        <v>474</v>
      </c>
    </row>
    <row r="7" spans="1:29" ht="60" customHeight="1">
      <c r="A7" s="465"/>
      <c r="B7" s="466"/>
      <c r="C7" s="3734" t="str">
        <f>信息及取费!M7</f>
        <v>0058地块</v>
      </c>
      <c r="D7" s="3733"/>
      <c r="E7" s="3732" t="str">
        <f>土地案例!A4</f>
        <v>北京市海淀区西北旺镇永丰产业基地(新)H地块HD00-0401-0120、0132、0162地块二类城镇住宅用地、零售商业用地</v>
      </c>
      <c r="F7" s="3733"/>
      <c r="G7" s="3732" t="str">
        <f>土地案例!A9</f>
        <v>北京市海淀区海淀北部中关村翠湖科技园B地块土地一级开发项目HD00-0305-0024地块二类城镇住宅用地</v>
      </c>
      <c r="H7" s="3733"/>
      <c r="I7" s="3732" t="str">
        <f>土地案例!A17</f>
        <v>北京市海淀区西北旺镇HD00-0403街区永丰产业基地(新)F2地块HD00-0403-0013地块R2二类居住用地</v>
      </c>
      <c r="J7" s="3733"/>
      <c r="K7" s="464"/>
      <c r="L7" s="1739"/>
      <c r="M7" s="1738"/>
      <c r="N7" s="1738"/>
      <c r="O7" s="1740"/>
      <c r="P7" s="3720"/>
      <c r="Q7" s="3721"/>
      <c r="R7" s="3726"/>
      <c r="S7" s="3727"/>
      <c r="T7" s="3726"/>
      <c r="U7" s="3727"/>
      <c r="V7" s="3711"/>
      <c r="W7" s="3711"/>
      <c r="X7" s="1300"/>
      <c r="Y7" s="3726"/>
      <c r="Z7" s="3727"/>
      <c r="AA7" s="3714"/>
      <c r="AB7" s="3714"/>
      <c r="AC7" s="3714"/>
    </row>
    <row r="8" spans="1:29" ht="21" thickBot="1">
      <c r="A8" s="465"/>
      <c r="B8" s="466"/>
      <c r="C8" s="3735" t="s">
        <v>2187</v>
      </c>
      <c r="D8" s="3736"/>
      <c r="E8" s="3735" t="s">
        <v>2187</v>
      </c>
      <c r="F8" s="3736"/>
      <c r="G8" s="3730" t="s">
        <v>2187</v>
      </c>
      <c r="H8" s="3731"/>
      <c r="I8" s="3730" t="s">
        <v>2187</v>
      </c>
      <c r="J8" s="3731"/>
      <c r="K8" s="464" t="s">
        <v>477</v>
      </c>
      <c r="L8" s="1739"/>
      <c r="M8" s="1738"/>
      <c r="N8" s="1738"/>
      <c r="O8" s="1740"/>
      <c r="P8" s="3722"/>
      <c r="Q8" s="3723"/>
      <c r="R8" s="3726"/>
      <c r="S8" s="3727"/>
      <c r="T8" s="3728"/>
      <c r="U8" s="3729"/>
      <c r="V8" s="3711"/>
      <c r="W8" s="3711"/>
      <c r="X8" s="1300"/>
      <c r="Y8" s="3728"/>
      <c r="Z8" s="3729"/>
      <c r="AA8" s="3715"/>
      <c r="AB8" s="3715"/>
      <c r="AC8" s="3715"/>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41" t="s">
        <v>479</v>
      </c>
      <c r="Q9" s="3743"/>
      <c r="R9" s="1301" t="s">
        <v>5</v>
      </c>
      <c r="S9" s="1302">
        <f t="shared" ref="S9:S17" si="0">F9</f>
        <v>100</v>
      </c>
      <c r="T9" s="1301" t="s">
        <v>5</v>
      </c>
      <c r="U9" s="1302">
        <f t="shared" ref="U9:U17" si="1">H9</f>
        <v>100</v>
      </c>
      <c r="V9" s="1301" t="s">
        <v>5</v>
      </c>
      <c r="W9" s="1302">
        <f t="shared" ref="W9:W17" si="2">J9</f>
        <v>100</v>
      </c>
      <c r="X9" s="1303"/>
      <c r="Y9" s="3741" t="s">
        <v>479</v>
      </c>
      <c r="Z9" s="3742"/>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41" t="s">
        <v>482</v>
      </c>
      <c r="Q10" s="3742"/>
      <c r="R10" s="1301" t="s">
        <v>5</v>
      </c>
      <c r="S10" s="1302">
        <f t="shared" si="0"/>
        <v>100</v>
      </c>
      <c r="T10" s="1301" t="s">
        <v>5</v>
      </c>
      <c r="U10" s="1302">
        <f t="shared" si="1"/>
        <v>100</v>
      </c>
      <c r="V10" s="1301" t="s">
        <v>5</v>
      </c>
      <c r="W10" s="1302">
        <f t="shared" si="2"/>
        <v>100</v>
      </c>
      <c r="X10" s="1303"/>
      <c r="Y10" s="3741" t="s">
        <v>482</v>
      </c>
      <c r="Z10" s="3742"/>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10" t="s">
        <v>484</v>
      </c>
      <c r="Q11" s="815" t="str">
        <f t="shared" ref="Q11:Q17" si="6">B11</f>
        <v>用途</v>
      </c>
      <c r="R11" s="1301" t="s">
        <v>5</v>
      </c>
      <c r="S11" s="1302">
        <f t="shared" si="0"/>
        <v>100</v>
      </c>
      <c r="T11" s="1301" t="s">
        <v>5</v>
      </c>
      <c r="U11" s="1302">
        <f t="shared" si="1"/>
        <v>100</v>
      </c>
      <c r="V11" s="1301" t="s">
        <v>5</v>
      </c>
      <c r="W11" s="1302">
        <f t="shared" si="2"/>
        <v>100</v>
      </c>
      <c r="X11" s="1303"/>
      <c r="Y11" s="3658"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10"/>
      <c r="Q12" s="815" t="str">
        <f t="shared" si="6"/>
        <v>土地使用年限（年）</v>
      </c>
      <c r="R12" s="1301" t="s">
        <v>5</v>
      </c>
      <c r="S12" s="1302">
        <f t="shared" si="0"/>
        <v>100</v>
      </c>
      <c r="T12" s="1301" t="s">
        <v>5</v>
      </c>
      <c r="U12" s="1302">
        <f t="shared" si="1"/>
        <v>100</v>
      </c>
      <c r="V12" s="1301" t="s">
        <v>5</v>
      </c>
      <c r="W12" s="1302">
        <f t="shared" si="2"/>
        <v>100</v>
      </c>
      <c r="X12" s="1303"/>
      <c r="Y12" s="3658"/>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10"/>
      <c r="Q13" s="815" t="str">
        <f t="shared" si="6"/>
        <v>容积率</v>
      </c>
      <c r="R13" s="1301" t="s">
        <v>5</v>
      </c>
      <c r="S13" s="1302">
        <f t="shared" si="0"/>
        <v>100</v>
      </c>
      <c r="T13" s="1301" t="s">
        <v>5</v>
      </c>
      <c r="U13" s="1302">
        <f t="shared" si="1"/>
        <v>102</v>
      </c>
      <c r="V13" s="1301" t="s">
        <v>5</v>
      </c>
      <c r="W13" s="1302">
        <f t="shared" si="2"/>
        <v>102</v>
      </c>
      <c r="X13" s="1303"/>
      <c r="Y13" s="3658"/>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10"/>
      <c r="Q14" s="815" t="str">
        <f t="shared" si="6"/>
        <v>配建</v>
      </c>
      <c r="R14" s="1301" t="s">
        <v>5</v>
      </c>
      <c r="S14" s="1302">
        <f t="shared" si="0"/>
        <v>100</v>
      </c>
      <c r="T14" s="1301" t="s">
        <v>5</v>
      </c>
      <c r="U14" s="1302">
        <f t="shared" si="1"/>
        <v>100</v>
      </c>
      <c r="V14" s="1301" t="s">
        <v>5</v>
      </c>
      <c r="W14" s="1302">
        <f t="shared" si="2"/>
        <v>100</v>
      </c>
      <c r="X14" s="1303"/>
      <c r="Y14" s="3658"/>
      <c r="Z14" s="994" t="str">
        <f t="shared" si="7"/>
        <v>配建</v>
      </c>
      <c r="AA14" s="994">
        <f>D14/F14</f>
        <v>1</v>
      </c>
      <c r="AB14" s="994">
        <f>D14/H14</f>
        <v>1</v>
      </c>
      <c r="AC14" s="994">
        <f>D14/J14</f>
        <v>1</v>
      </c>
    </row>
    <row r="15" spans="1:29" ht="20.25">
      <c r="A15" s="2212"/>
      <c r="B15" s="2218">
        <v>111</v>
      </c>
      <c r="C15" s="832"/>
      <c r="D15" s="489">
        <v>100</v>
      </c>
      <c r="E15" s="490"/>
      <c r="F15" s="234">
        <f>SUMIF(85:85,E15,86:86)-SUMIF(85:85,C15,86:86)+100</f>
        <v>100</v>
      </c>
      <c r="G15" s="491"/>
      <c r="H15" s="489">
        <f>SUMIF(85:85,G15,86:86)-SUMIF(85:85,C15,86:86)+100</f>
        <v>100</v>
      </c>
      <c r="I15" s="491"/>
      <c r="J15" s="489">
        <f>SUMIF(85:85,I15,86:86)-SUMIF(85:85,C15,86:86)+100</f>
        <v>100</v>
      </c>
      <c r="K15" s="480"/>
      <c r="L15" s="1747"/>
      <c r="M15" s="1738"/>
      <c r="N15" s="1738"/>
      <c r="O15" s="1746"/>
      <c r="P15" s="3710"/>
      <c r="Q15" s="815">
        <f t="shared" si="6"/>
        <v>111</v>
      </c>
      <c r="R15" s="1301" t="s">
        <v>5</v>
      </c>
      <c r="S15" s="1302">
        <f t="shared" si="0"/>
        <v>100</v>
      </c>
      <c r="T15" s="1301" t="s">
        <v>5</v>
      </c>
      <c r="U15" s="1302">
        <f t="shared" si="1"/>
        <v>100</v>
      </c>
      <c r="V15" s="1301" t="s">
        <v>5</v>
      </c>
      <c r="W15" s="1302">
        <f t="shared" si="2"/>
        <v>100</v>
      </c>
      <c r="X15" s="1303"/>
      <c r="Y15" s="3658"/>
      <c r="Z15" s="994">
        <f t="shared" si="7"/>
        <v>111</v>
      </c>
      <c r="AA15" s="994">
        <f>D15/F15</f>
        <v>1</v>
      </c>
      <c r="AB15" s="994">
        <f>D15/H15</f>
        <v>1</v>
      </c>
      <c r="AC15" s="994">
        <f>D15/J15</f>
        <v>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10"/>
      <c r="Q16" s="815">
        <f t="shared" si="6"/>
        <v>111</v>
      </c>
      <c r="R16" s="1301" t="s">
        <v>5</v>
      </c>
      <c r="S16" s="1302">
        <f t="shared" si="0"/>
        <v>100</v>
      </c>
      <c r="T16" s="1301" t="s">
        <v>5</v>
      </c>
      <c r="U16" s="1302">
        <f t="shared" si="1"/>
        <v>100</v>
      </c>
      <c r="V16" s="1301" t="s">
        <v>5</v>
      </c>
      <c r="W16" s="1302">
        <f t="shared" si="2"/>
        <v>100</v>
      </c>
      <c r="X16" s="1303"/>
      <c r="Y16" s="3658"/>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44" t="s">
        <v>489</v>
      </c>
      <c r="Q17" s="1304" t="str">
        <f t="shared" si="6"/>
        <v>居住社区成熟度</v>
      </c>
      <c r="R17" s="1305" t="s">
        <v>5</v>
      </c>
      <c r="S17" s="1306">
        <f t="shared" si="0"/>
        <v>100</v>
      </c>
      <c r="T17" s="1305" t="s">
        <v>5</v>
      </c>
      <c r="U17" s="1306">
        <f t="shared" si="1"/>
        <v>100</v>
      </c>
      <c r="V17" s="1305" t="s">
        <v>5</v>
      </c>
      <c r="W17" s="1306">
        <f t="shared" si="2"/>
        <v>100</v>
      </c>
      <c r="X17" s="1300"/>
      <c r="Y17" s="3744"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45"/>
      <c r="Q18" s="1304"/>
      <c r="R18" s="1305"/>
      <c r="S18" s="1306"/>
      <c r="T18" s="1305"/>
      <c r="U18" s="1306"/>
      <c r="V18" s="1305"/>
      <c r="W18" s="1306"/>
      <c r="X18" s="1300"/>
      <c r="Y18" s="3745"/>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45"/>
      <c r="Q19" s="1304" t="str">
        <f>B19</f>
        <v>商业繁华度</v>
      </c>
      <c r="R19" s="1305" t="s">
        <v>5</v>
      </c>
      <c r="S19" s="1306">
        <f>F19</f>
        <v>100</v>
      </c>
      <c r="T19" s="1305" t="s">
        <v>5</v>
      </c>
      <c r="U19" s="1306">
        <f>H19</f>
        <v>100</v>
      </c>
      <c r="V19" s="1305" t="s">
        <v>5</v>
      </c>
      <c r="W19" s="1306">
        <f>J19</f>
        <v>100</v>
      </c>
      <c r="X19" s="1300"/>
      <c r="Y19" s="3745"/>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45"/>
      <c r="Q20" s="1304"/>
      <c r="R20" s="1305"/>
      <c r="S20" s="1306"/>
      <c r="T20" s="1305"/>
      <c r="U20" s="1306"/>
      <c r="V20" s="1305"/>
      <c r="W20" s="1306"/>
      <c r="X20" s="1300"/>
      <c r="Y20" s="3745"/>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45"/>
      <c r="Q21" s="1304" t="str">
        <f>B21</f>
        <v>办公集聚程度</v>
      </c>
      <c r="R21" s="1305" t="s">
        <v>5</v>
      </c>
      <c r="S21" s="1306">
        <f>F21</f>
        <v>100</v>
      </c>
      <c r="T21" s="1305" t="s">
        <v>5</v>
      </c>
      <c r="U21" s="1306">
        <f>H21</f>
        <v>100</v>
      </c>
      <c r="V21" s="1305" t="s">
        <v>5</v>
      </c>
      <c r="W21" s="1306">
        <f>J21</f>
        <v>100</v>
      </c>
      <c r="X21" s="1300"/>
      <c r="Y21" s="3745"/>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45"/>
      <c r="Q22" s="1304"/>
      <c r="R22" s="1305"/>
      <c r="S22" s="1306"/>
      <c r="T22" s="1305"/>
      <c r="U22" s="1306"/>
      <c r="V22" s="1305"/>
      <c r="W22" s="1306"/>
      <c r="X22" s="1300"/>
      <c r="Y22" s="3745"/>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45"/>
      <c r="Q23" s="1304" t="str">
        <f>B23</f>
        <v>交通便捷度</v>
      </c>
      <c r="R23" s="1305" t="s">
        <v>5</v>
      </c>
      <c r="S23" s="1306">
        <f>F23</f>
        <v>97</v>
      </c>
      <c r="T23" s="1305" t="s">
        <v>5</v>
      </c>
      <c r="U23" s="1306">
        <f>H23</f>
        <v>97</v>
      </c>
      <c r="V23" s="1305" t="s">
        <v>5</v>
      </c>
      <c r="W23" s="1306">
        <f>J23</f>
        <v>97</v>
      </c>
      <c r="X23" s="1300"/>
      <c r="Y23" s="3745"/>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45"/>
      <c r="Q24" s="1304"/>
      <c r="R24" s="1305"/>
      <c r="S24" s="1306"/>
      <c r="T24" s="1305"/>
      <c r="U24" s="1306"/>
      <c r="V24" s="1305"/>
      <c r="W24" s="1306"/>
      <c r="X24" s="1300"/>
      <c r="Y24" s="3745"/>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45"/>
      <c r="Q25" s="1304" t="str">
        <f t="shared" ref="Q25:Q39" si="8">B25</f>
        <v>区域土地利用方向</v>
      </c>
      <c r="R25" s="1305" t="s">
        <v>5</v>
      </c>
      <c r="S25" s="1306">
        <f>F25</f>
        <v>100</v>
      </c>
      <c r="T25" s="1305" t="s">
        <v>5</v>
      </c>
      <c r="U25" s="1306">
        <f>H25</f>
        <v>100</v>
      </c>
      <c r="V25" s="1305" t="s">
        <v>5</v>
      </c>
      <c r="W25" s="1306">
        <f>J25</f>
        <v>100</v>
      </c>
      <c r="X25" s="1300"/>
      <c r="Y25" s="3745"/>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45"/>
      <c r="Q26" s="1304"/>
      <c r="R26" s="1305"/>
      <c r="S26" s="1306"/>
      <c r="T26" s="1305"/>
      <c r="U26" s="1306"/>
      <c r="V26" s="1305"/>
      <c r="W26" s="1306"/>
      <c r="X26" s="1300"/>
      <c r="Y26" s="3745"/>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45"/>
      <c r="Q27" s="1304" t="str">
        <f t="shared" si="8"/>
        <v>自然及人文环境状况</v>
      </c>
      <c r="R27" s="1305" t="s">
        <v>5</v>
      </c>
      <c r="S27" s="1306">
        <f>F27</f>
        <v>100</v>
      </c>
      <c r="T27" s="1305" t="s">
        <v>5</v>
      </c>
      <c r="U27" s="1306">
        <f>H27</f>
        <v>100</v>
      </c>
      <c r="V27" s="1305" t="s">
        <v>5</v>
      </c>
      <c r="W27" s="1306">
        <f>J27</f>
        <v>100</v>
      </c>
      <c r="X27" s="1300"/>
      <c r="Y27" s="3745"/>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45"/>
      <c r="Q28" s="1304"/>
      <c r="R28" s="1305"/>
      <c r="S28" s="1306"/>
      <c r="T28" s="1305"/>
      <c r="U28" s="1306"/>
      <c r="V28" s="1305"/>
      <c r="W28" s="1306"/>
      <c r="X28" s="1300"/>
      <c r="Y28" s="3745"/>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45"/>
      <c r="Q29" s="815" t="str">
        <f t="shared" si="8"/>
        <v>公共配套设施</v>
      </c>
      <c r="R29" s="1301" t="s">
        <v>5</v>
      </c>
      <c r="S29" s="1302">
        <f>F29</f>
        <v>100</v>
      </c>
      <c r="T29" s="1301" t="s">
        <v>5</v>
      </c>
      <c r="U29" s="1302">
        <f>H29</f>
        <v>100</v>
      </c>
      <c r="V29" s="1301" t="s">
        <v>5</v>
      </c>
      <c r="W29" s="1302">
        <f>J29</f>
        <v>100</v>
      </c>
      <c r="X29" s="1303"/>
      <c r="Y29" s="3745"/>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45"/>
      <c r="Q30" s="815"/>
      <c r="R30" s="1301"/>
      <c r="S30" s="1302"/>
      <c r="T30" s="1301"/>
      <c r="U30" s="1302"/>
      <c r="V30" s="1301"/>
      <c r="W30" s="1302"/>
      <c r="X30" s="1303"/>
      <c r="Y30" s="3745"/>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45"/>
      <c r="Q31" s="815" t="str">
        <f>B31</f>
        <v>基础设施水平</v>
      </c>
      <c r="R31" s="1301" t="s">
        <v>5</v>
      </c>
      <c r="S31" s="1302">
        <f>F31</f>
        <v>100</v>
      </c>
      <c r="T31" s="1301" t="s">
        <v>5</v>
      </c>
      <c r="U31" s="1302">
        <f>H31</f>
        <v>100</v>
      </c>
      <c r="V31" s="1301" t="s">
        <v>5</v>
      </c>
      <c r="W31" s="1302">
        <f>J31</f>
        <v>100</v>
      </c>
      <c r="X31" s="1303"/>
      <c r="Y31" s="3745"/>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45"/>
      <c r="Q32" s="815"/>
      <c r="R32" s="1301"/>
      <c r="S32" s="1302"/>
      <c r="T32" s="1301"/>
      <c r="U32" s="1302"/>
      <c r="V32" s="1301"/>
      <c r="W32" s="1302"/>
      <c r="X32" s="1303"/>
      <c r="Y32" s="3745"/>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45"/>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45"/>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45"/>
      <c r="Q34" s="1304" t="str">
        <f t="shared" si="8"/>
        <v>毗邻道路的类型与等级</v>
      </c>
      <c r="R34" s="1305" t="s">
        <v>5</v>
      </c>
      <c r="S34" s="1306">
        <f t="shared" si="9"/>
        <v>100</v>
      </c>
      <c r="T34" s="1305" t="s">
        <v>5</v>
      </c>
      <c r="U34" s="1306">
        <f t="shared" si="10"/>
        <v>100</v>
      </c>
      <c r="V34" s="1305" t="s">
        <v>5</v>
      </c>
      <c r="W34" s="1306">
        <f t="shared" si="11"/>
        <v>100</v>
      </c>
      <c r="X34" s="1300"/>
      <c r="Y34" s="3745"/>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45"/>
      <c r="Q35" s="1304"/>
      <c r="R35" s="1305"/>
      <c r="S35" s="1306"/>
      <c r="T35" s="1305"/>
      <c r="U35" s="1306"/>
      <c r="V35" s="1305"/>
      <c r="W35" s="1306"/>
      <c r="X35" s="1300"/>
      <c r="Y35" s="3745"/>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45"/>
      <c r="Q36" s="1304" t="str">
        <f t="shared" si="8"/>
        <v>土地级别</v>
      </c>
      <c r="R36" s="1305" t="s">
        <v>5</v>
      </c>
      <c r="S36" s="1306">
        <f t="shared" si="9"/>
        <v>100</v>
      </c>
      <c r="T36" s="1305" t="s">
        <v>5</v>
      </c>
      <c r="U36" s="1306">
        <f t="shared" si="10"/>
        <v>100</v>
      </c>
      <c r="V36" s="1305" t="s">
        <v>5</v>
      </c>
      <c r="W36" s="1306">
        <f t="shared" si="11"/>
        <v>100</v>
      </c>
      <c r="X36" s="1300"/>
      <c r="Y36" s="3745"/>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45"/>
      <c r="Q37" s="1304">
        <f t="shared" si="8"/>
        <v>111</v>
      </c>
      <c r="R37" s="1305" t="s">
        <v>5</v>
      </c>
      <c r="S37" s="1306">
        <f t="shared" si="9"/>
        <v>100</v>
      </c>
      <c r="T37" s="1305" t="s">
        <v>5</v>
      </c>
      <c r="U37" s="1306">
        <f t="shared" si="10"/>
        <v>100</v>
      </c>
      <c r="V37" s="1305" t="s">
        <v>5</v>
      </c>
      <c r="W37" s="1306">
        <f t="shared" si="11"/>
        <v>100</v>
      </c>
      <c r="X37" s="1300"/>
      <c r="Y37" s="3745"/>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46" t="s">
        <v>499</v>
      </c>
      <c r="Q38" s="1304">
        <f t="shared" si="8"/>
        <v>111</v>
      </c>
      <c r="R38" s="1305" t="s">
        <v>5</v>
      </c>
      <c r="S38" s="1306">
        <f t="shared" si="9"/>
        <v>100</v>
      </c>
      <c r="T38" s="1305" t="s">
        <v>5</v>
      </c>
      <c r="U38" s="1306">
        <f t="shared" si="10"/>
        <v>100</v>
      </c>
      <c r="V38" s="1305" t="s">
        <v>5</v>
      </c>
      <c r="W38" s="1306">
        <f t="shared" si="11"/>
        <v>100</v>
      </c>
      <c r="X38" s="1300"/>
      <c r="Y38" s="3747"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47"/>
      <c r="Q39" s="1304">
        <f t="shared" si="8"/>
        <v>111</v>
      </c>
      <c r="R39" s="1308" t="s">
        <v>5</v>
      </c>
      <c r="S39" s="1309">
        <f t="shared" si="9"/>
        <v>100</v>
      </c>
      <c r="T39" s="1308" t="s">
        <v>5</v>
      </c>
      <c r="U39" s="1309">
        <f t="shared" si="10"/>
        <v>100</v>
      </c>
      <c r="V39" s="1308" t="s">
        <v>5</v>
      </c>
      <c r="W39" s="1309">
        <f t="shared" si="11"/>
        <v>100</v>
      </c>
      <c r="X39" s="1310"/>
      <c r="Y39" s="3747"/>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47"/>
      <c r="Q40" s="1304" t="str">
        <f>B40</f>
        <v>宗地面积</v>
      </c>
      <c r="R40" s="1305" t="s">
        <v>5</v>
      </c>
      <c r="S40" s="1306">
        <f t="shared" si="9"/>
        <v>103</v>
      </c>
      <c r="T40" s="1305" t="s">
        <v>5</v>
      </c>
      <c r="U40" s="1306">
        <f t="shared" si="10"/>
        <v>100</v>
      </c>
      <c r="V40" s="1305" t="s">
        <v>5</v>
      </c>
      <c r="W40" s="1306">
        <f t="shared" si="11"/>
        <v>101</v>
      </c>
      <c r="X40" s="1300"/>
      <c r="Y40" s="3747"/>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47"/>
      <c r="Q41" s="1304" t="str">
        <f t="shared" ref="Q41:Q47" si="13">B41</f>
        <v>宗地形状</v>
      </c>
      <c r="R41" s="1305" t="s">
        <v>5</v>
      </c>
      <c r="S41" s="1306">
        <f t="shared" si="9"/>
        <v>98</v>
      </c>
      <c r="T41" s="1305" t="s">
        <v>5</v>
      </c>
      <c r="U41" s="1306">
        <f t="shared" si="10"/>
        <v>100</v>
      </c>
      <c r="V41" s="1305" t="s">
        <v>5</v>
      </c>
      <c r="W41" s="1306">
        <f t="shared" si="11"/>
        <v>98</v>
      </c>
      <c r="X41" s="1300"/>
      <c r="Y41" s="3747"/>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47"/>
      <c r="Q42" s="1304" t="str">
        <f t="shared" si="13"/>
        <v>临街宽度及深度</v>
      </c>
      <c r="R42" s="1305" t="s">
        <v>5</v>
      </c>
      <c r="S42" s="1306">
        <f t="shared" si="9"/>
        <v>100</v>
      </c>
      <c r="T42" s="1305" t="s">
        <v>5</v>
      </c>
      <c r="U42" s="1306">
        <f t="shared" si="10"/>
        <v>100</v>
      </c>
      <c r="V42" s="1305" t="s">
        <v>5</v>
      </c>
      <c r="W42" s="1306">
        <f t="shared" si="11"/>
        <v>100</v>
      </c>
      <c r="X42" s="1300"/>
      <c r="Y42" s="3747"/>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47"/>
      <c r="Q43" s="1304" t="str">
        <f t="shared" si="13"/>
        <v>宗地开发程度</v>
      </c>
      <c r="R43" s="1301" t="s">
        <v>5</v>
      </c>
      <c r="S43" s="1302">
        <f t="shared" si="9"/>
        <v>100</v>
      </c>
      <c r="T43" s="1301" t="s">
        <v>5</v>
      </c>
      <c r="U43" s="1302">
        <f t="shared" si="10"/>
        <v>100</v>
      </c>
      <c r="V43" s="1301" t="s">
        <v>5</v>
      </c>
      <c r="W43" s="1302">
        <f t="shared" si="11"/>
        <v>100</v>
      </c>
      <c r="X43" s="1303"/>
      <c r="Y43" s="3747"/>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47" t="s">
        <v>499</v>
      </c>
      <c r="Q44" s="1304" t="str">
        <f t="shared" si="13"/>
        <v>工程地质条件</v>
      </c>
      <c r="R44" s="1305" t="s">
        <v>5</v>
      </c>
      <c r="S44" s="1306">
        <f t="shared" si="9"/>
        <v>100</v>
      </c>
      <c r="T44" s="1305" t="s">
        <v>5</v>
      </c>
      <c r="U44" s="1306">
        <f t="shared" si="10"/>
        <v>100</v>
      </c>
      <c r="V44" s="1305" t="s">
        <v>5</v>
      </c>
      <c r="W44" s="1306">
        <f t="shared" si="11"/>
        <v>100</v>
      </c>
      <c r="X44" s="1300"/>
      <c r="Y44" s="3747"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47"/>
      <c r="Q45" s="1304">
        <f t="shared" si="13"/>
        <v>111</v>
      </c>
      <c r="R45" s="1305" t="s">
        <v>5</v>
      </c>
      <c r="S45" s="1306">
        <f t="shared" si="9"/>
        <v>100</v>
      </c>
      <c r="T45" s="1305" t="s">
        <v>5</v>
      </c>
      <c r="U45" s="1306">
        <f t="shared" si="10"/>
        <v>100</v>
      </c>
      <c r="V45" s="1305" t="s">
        <v>5</v>
      </c>
      <c r="W45" s="1306">
        <f t="shared" si="11"/>
        <v>100</v>
      </c>
      <c r="X45" s="1300"/>
      <c r="Y45" s="3747"/>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47"/>
      <c r="Q46" s="1304">
        <f t="shared" si="13"/>
        <v>111</v>
      </c>
      <c r="R46" s="1305" t="s">
        <v>5</v>
      </c>
      <c r="S46" s="1306">
        <f t="shared" si="9"/>
        <v>100</v>
      </c>
      <c r="T46" s="1305" t="s">
        <v>5</v>
      </c>
      <c r="U46" s="1306">
        <f t="shared" si="10"/>
        <v>100</v>
      </c>
      <c r="V46" s="1305" t="s">
        <v>5</v>
      </c>
      <c r="W46" s="1306">
        <f t="shared" si="11"/>
        <v>100</v>
      </c>
      <c r="X46" s="1300"/>
      <c r="Y46" s="3747"/>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47"/>
      <c r="Q47" s="1304">
        <f t="shared" si="13"/>
        <v>111</v>
      </c>
      <c r="R47" s="1308" t="s">
        <v>5</v>
      </c>
      <c r="S47" s="1309">
        <f t="shared" si="9"/>
        <v>100</v>
      </c>
      <c r="T47" s="1308" t="s">
        <v>5</v>
      </c>
      <c r="U47" s="1309">
        <f t="shared" si="10"/>
        <v>100</v>
      </c>
      <c r="V47" s="1308" t="s">
        <v>5</v>
      </c>
      <c r="W47" s="1309">
        <f t="shared" si="11"/>
        <v>100</v>
      </c>
      <c r="X47" s="1310"/>
      <c r="Y47" s="3747"/>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10" t="str">
        <f>A48</f>
        <v>成交单价</v>
      </c>
      <c r="Q48" s="3710"/>
      <c r="R48" s="3711">
        <f>E48</f>
        <v>57910</v>
      </c>
      <c r="S48" s="3711"/>
      <c r="T48" s="3711">
        <f>G48</f>
        <v>63464</v>
      </c>
      <c r="U48" s="3711"/>
      <c r="V48" s="3711">
        <f>I48</f>
        <v>58509</v>
      </c>
      <c r="W48" s="3711"/>
      <c r="X48" s="798"/>
      <c r="Y48" s="1312"/>
      <c r="Z48" s="798"/>
      <c r="AA48" s="798"/>
      <c r="AB48" s="798"/>
      <c r="AC48" s="798"/>
    </row>
    <row r="49" spans="1:29" ht="21" thickBot="1">
      <c r="A49" s="563" t="s">
        <v>1975</v>
      </c>
      <c r="B49" s="564"/>
      <c r="C49" s="565">
        <f>R50</f>
        <v>61011</v>
      </c>
      <c r="D49" s="2548" t="s">
        <v>2252</v>
      </c>
      <c r="E49" s="565">
        <f>R49</f>
        <v>59145</v>
      </c>
      <c r="F49" s="2549"/>
      <c r="G49" s="566">
        <f>T49</f>
        <v>64144</v>
      </c>
      <c r="H49" s="2549"/>
      <c r="I49" s="565">
        <f>V49</f>
        <v>59745</v>
      </c>
      <c r="J49" s="2549"/>
      <c r="K49" s="2550">
        <f>F49+H49+J49</f>
        <v>0</v>
      </c>
      <c r="L49" s="1749"/>
      <c r="M49" s="1738"/>
      <c r="N49" s="1738"/>
      <c r="O49" s="1740"/>
      <c r="P49" s="3710" t="str">
        <f>A49</f>
        <v>比较价格（元/平方米）</v>
      </c>
      <c r="Q49" s="3710"/>
      <c r="R49" s="3712">
        <f>ROUND(PRODUCT(R48,AA9:AA47),0)</f>
        <v>59145</v>
      </c>
      <c r="S49" s="3712"/>
      <c r="T49" s="3712">
        <f>ROUND(PRODUCT(T48,AB9:AB47),0)</f>
        <v>64144</v>
      </c>
      <c r="U49" s="3712"/>
      <c r="V49" s="3712">
        <f>ROUND(PRODUCT(V48,AC9:AC47),0)</f>
        <v>59745</v>
      </c>
      <c r="W49" s="3712"/>
      <c r="X49" s="798"/>
      <c r="Y49" s="798"/>
      <c r="Z49" s="798"/>
      <c r="AA49" s="798"/>
      <c r="AB49" s="798"/>
      <c r="AC49" s="798"/>
    </row>
    <row r="50" spans="1:29" ht="21" thickBot="1">
      <c r="A50" s="567" t="s">
        <v>2189</v>
      </c>
      <c r="B50" s="568"/>
      <c r="C50" s="569">
        <f>R50</f>
        <v>61011</v>
      </c>
      <c r="D50" s="569"/>
      <c r="E50" s="569"/>
      <c r="F50" s="569"/>
      <c r="G50" s="569"/>
      <c r="H50" s="569"/>
      <c r="I50" s="569"/>
      <c r="J50" s="569"/>
      <c r="K50" s="1133"/>
      <c r="L50" s="1749"/>
      <c r="M50" s="1738"/>
      <c r="N50" s="1738"/>
      <c r="O50" s="1740"/>
      <c r="P50" s="3748" t="str">
        <f>A50</f>
        <v>估价对象XX用房的比较价格（楼面单价，元/平方米）</v>
      </c>
      <c r="Q50" s="3749"/>
      <c r="R50" s="3709">
        <f>ROUND(IF(D49="简单平均",AVERAGE(R49:W49),R49*F49+T49*H49+V49*J49),0)</f>
        <v>61011</v>
      </c>
      <c r="S50" s="3709"/>
      <c r="T50" s="3709"/>
      <c r="U50" s="3709"/>
      <c r="V50" s="3709"/>
      <c r="W50" s="3709"/>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2.1326195821101734E-2</v>
      </c>
      <c r="F53" s="573" t="str">
        <f>IF(OR(E53&gt;=0.3,E53&lt;=-0.3),"超过30%","")</f>
        <v/>
      </c>
      <c r="G53" s="572">
        <f>IF(G48&lt;G49,G49/G48-1,G48/G49-1)</f>
        <v>1.0714735913273765E-2</v>
      </c>
      <c r="H53" s="573" t="str">
        <f>IF(OR(G53&gt;=0.3,G53&lt;=-0.3),"超过30%","")</f>
        <v/>
      </c>
      <c r="I53" s="572">
        <f>IF(I48&lt;I49,I49/I48-1,I48/I49-1)</f>
        <v>2.1124955135107371E-2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8.4521092230957828E-2</v>
      </c>
      <c r="F54" s="573" t="str">
        <f>IF(OR(E54&gt;=0.2,E54&lt;=-0.2),"超过20%","")</f>
        <v/>
      </c>
      <c r="G54" s="572">
        <f>IF(G49&lt;I49,I49/G49-1,G49/I49-1)</f>
        <v>7.3629592434513391E-2</v>
      </c>
      <c r="H54" s="573" t="str">
        <f>IF(OR(G54&gt;=0.2,G54&lt;=-0.2),"超过20%","")</f>
        <v/>
      </c>
      <c r="I54" s="572">
        <f>IF(I49&lt;E49,E49/I49-1,I49/E49-1)</f>
        <v>1.0144559979710976E-2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37" t="s">
        <v>1639</v>
      </c>
      <c r="H57" s="3738"/>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61011</v>
      </c>
      <c r="C58" s="581">
        <v>1</v>
      </c>
      <c r="D58" s="1820">
        <v>1</v>
      </c>
      <c r="E58" s="581">
        <f>'数据-汇总表'!E8+'数据-汇总表'!E9</f>
        <v>47723.86</v>
      </c>
      <c r="F58" s="582">
        <f t="shared" ref="F58:F66" si="14">ROUND(B58*E58/10000,0)</f>
        <v>291168</v>
      </c>
      <c r="G58" s="3739"/>
      <c r="H58" s="3740"/>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9152</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4576</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3813</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3813</v>
      </c>
      <c r="C62" s="347">
        <f t="shared" si="15"/>
        <v>0.25</v>
      </c>
      <c r="D62" s="1821">
        <v>0.25</v>
      </c>
      <c r="E62" s="587">
        <f>'数据-汇总表'!E11</f>
        <v>50.46</v>
      </c>
      <c r="F62" s="582">
        <f t="shared" si="14"/>
        <v>19</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3813</v>
      </c>
      <c r="C63" s="347">
        <f t="shared" si="15"/>
        <v>0.25</v>
      </c>
      <c r="D63" s="1821">
        <v>0.25</v>
      </c>
      <c r="E63" s="587">
        <f>'数据-汇总表'!E12</f>
        <v>3496.29</v>
      </c>
      <c r="F63" s="582">
        <f t="shared" si="14"/>
        <v>1333</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2288</v>
      </c>
      <c r="C64" s="347">
        <f t="shared" si="15"/>
        <v>0.15</v>
      </c>
      <c r="D64" s="1821">
        <v>0.25</v>
      </c>
      <c r="E64" s="587">
        <f>'数据-汇总表'!E13</f>
        <v>15515.510000000002</v>
      </c>
      <c r="F64" s="582">
        <f t="shared" si="14"/>
        <v>3550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2288</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2288</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296070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f>B15</f>
        <v>111</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3" t="str">
        <f>项目基本情况!B1</f>
        <v>北京市海淀区西北旺镇永丰产业基地出让国有建设用地使用权抵押价格预评估</v>
      </c>
      <c r="C37" s="3533"/>
      <c r="D37" s="3533"/>
      <c r="E37" s="3533"/>
      <c r="F37" s="3533"/>
      <c r="G37" s="3533"/>
      <c r="H37" s="3533"/>
      <c r="I37" s="3533"/>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2"/>
  <sheetViews>
    <sheetView topLeftCell="D1"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267208</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36796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122448</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8163</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425346</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3735</v>
      </c>
      <c r="E7" s="405" t="s">
        <v>3746</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85478</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407076</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6380</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2022</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2022</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22280</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76285</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76285</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8317</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8317</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267208</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0" t="s">
        <v>1394</v>
      </c>
      <c r="B24" s="3751"/>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0" t="s">
        <v>2285</v>
      </c>
      <c r="B25" s="3751"/>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0" t="s">
        <v>2286</v>
      </c>
      <c r="B26" s="3751"/>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2" t="s">
        <v>2284</v>
      </c>
      <c r="B27" s="3753"/>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16" t="s">
        <v>471</v>
      </c>
      <c r="D6" s="3717"/>
      <c r="E6" s="3756" t="s">
        <v>472</v>
      </c>
      <c r="F6" s="3757"/>
      <c r="G6" s="3716" t="s">
        <v>473</v>
      </c>
      <c r="H6" s="3717"/>
      <c r="I6" s="3716" t="s">
        <v>474</v>
      </c>
      <c r="J6" s="3717"/>
      <c r="K6" s="464" t="s">
        <v>475</v>
      </c>
      <c r="L6" s="1739"/>
      <c r="M6" s="1740"/>
      <c r="N6" s="1740"/>
      <c r="O6" s="1740"/>
      <c r="P6" s="3718" t="s">
        <v>476</v>
      </c>
      <c r="Q6" s="3719"/>
      <c r="R6" s="3724" t="s">
        <v>472</v>
      </c>
      <c r="S6" s="3725"/>
      <c r="T6" s="3724" t="s">
        <v>473</v>
      </c>
      <c r="U6" s="3725"/>
      <c r="V6" s="3711" t="s">
        <v>474</v>
      </c>
      <c r="W6" s="3711"/>
      <c r="X6" s="1300"/>
      <c r="Y6" s="3724" t="s">
        <v>476</v>
      </c>
      <c r="Z6" s="3725"/>
      <c r="AA6" s="3713" t="s">
        <v>472</v>
      </c>
      <c r="AB6" s="3714" t="s">
        <v>473</v>
      </c>
      <c r="AC6" s="3713" t="s">
        <v>474</v>
      </c>
    </row>
    <row r="7" spans="1:29" ht="15">
      <c r="A7" s="465"/>
      <c r="B7" s="466"/>
      <c r="C7" s="3732" t="s">
        <v>2183</v>
      </c>
      <c r="D7" s="3733"/>
      <c r="E7" s="3758" t="s">
        <v>2184</v>
      </c>
      <c r="F7" s="3759"/>
      <c r="G7" s="3732" t="s">
        <v>2185</v>
      </c>
      <c r="H7" s="3733"/>
      <c r="I7" s="3732" t="s">
        <v>2186</v>
      </c>
      <c r="J7" s="3733"/>
      <c r="K7" s="464"/>
      <c r="L7" s="1739"/>
      <c r="M7" s="1740"/>
      <c r="N7" s="1740"/>
      <c r="O7" s="1740"/>
      <c r="P7" s="3720"/>
      <c r="Q7" s="3721"/>
      <c r="R7" s="3726"/>
      <c r="S7" s="3727"/>
      <c r="T7" s="3726"/>
      <c r="U7" s="3727"/>
      <c r="V7" s="3711"/>
      <c r="W7" s="3711"/>
      <c r="X7" s="1300"/>
      <c r="Y7" s="3726"/>
      <c r="Z7" s="3727"/>
      <c r="AA7" s="3714"/>
      <c r="AB7" s="3714"/>
      <c r="AC7" s="3714"/>
    </row>
    <row r="8" spans="1:29" ht="15.75" thickBot="1">
      <c r="A8" s="467"/>
      <c r="B8" s="468"/>
      <c r="C8" s="3730" t="s">
        <v>2187</v>
      </c>
      <c r="D8" s="3731"/>
      <c r="E8" s="3754" t="s">
        <v>2187</v>
      </c>
      <c r="F8" s="3755"/>
      <c r="G8" s="3730" t="s">
        <v>2187</v>
      </c>
      <c r="H8" s="3731"/>
      <c r="I8" s="3730" t="s">
        <v>2187</v>
      </c>
      <c r="J8" s="3731"/>
      <c r="K8" s="464" t="s">
        <v>477</v>
      </c>
      <c r="L8" s="1739"/>
      <c r="M8" s="1740"/>
      <c r="N8" s="1740"/>
      <c r="O8" s="1740"/>
      <c r="P8" s="3722"/>
      <c r="Q8" s="3723"/>
      <c r="R8" s="3726"/>
      <c r="S8" s="3727"/>
      <c r="T8" s="3728"/>
      <c r="U8" s="3729"/>
      <c r="V8" s="3711"/>
      <c r="W8" s="3711"/>
      <c r="X8" s="1300"/>
      <c r="Y8" s="3728"/>
      <c r="Z8" s="3729"/>
      <c r="AA8" s="3715"/>
      <c r="AB8" s="3715"/>
      <c r="AC8" s="3715"/>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41" t="s">
        <v>479</v>
      </c>
      <c r="Q9" s="3743"/>
      <c r="R9" s="1301" t="s">
        <v>5</v>
      </c>
      <c r="S9" s="1302">
        <f t="shared" ref="S9:S17" si="0">F9</f>
        <v>0</v>
      </c>
      <c r="T9" s="1301" t="s">
        <v>5</v>
      </c>
      <c r="U9" s="1302">
        <f t="shared" ref="U9:U17" si="1">H9</f>
        <v>0</v>
      </c>
      <c r="V9" s="1301" t="s">
        <v>5</v>
      </c>
      <c r="W9" s="1302">
        <f t="shared" ref="W9:W17" si="2">J9</f>
        <v>0</v>
      </c>
      <c r="X9" s="1303"/>
      <c r="Y9" s="3741" t="s">
        <v>479</v>
      </c>
      <c r="Z9" s="3742"/>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41" t="s">
        <v>482</v>
      </c>
      <c r="Q10" s="3742"/>
      <c r="R10" s="1301" t="s">
        <v>5</v>
      </c>
      <c r="S10" s="1302">
        <f t="shared" si="0"/>
        <v>0</v>
      </c>
      <c r="T10" s="1301" t="s">
        <v>5</v>
      </c>
      <c r="U10" s="1302">
        <f t="shared" si="1"/>
        <v>0</v>
      </c>
      <c r="V10" s="1301" t="s">
        <v>5</v>
      </c>
      <c r="W10" s="1302">
        <f t="shared" si="2"/>
        <v>0</v>
      </c>
      <c r="X10" s="1303"/>
      <c r="Y10" s="3741" t="s">
        <v>482</v>
      </c>
      <c r="Z10" s="3742"/>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10" t="s">
        <v>484</v>
      </c>
      <c r="Q11" s="815" t="str">
        <f t="shared" ref="Q11:Q17" si="6">B11</f>
        <v>用途</v>
      </c>
      <c r="R11" s="1301" t="s">
        <v>5</v>
      </c>
      <c r="S11" s="1302">
        <f t="shared" si="0"/>
        <v>100</v>
      </c>
      <c r="T11" s="1301" t="s">
        <v>5</v>
      </c>
      <c r="U11" s="1302">
        <f t="shared" si="1"/>
        <v>100</v>
      </c>
      <c r="V11" s="1301" t="s">
        <v>5</v>
      </c>
      <c r="W11" s="1302">
        <f t="shared" si="2"/>
        <v>100</v>
      </c>
      <c r="X11" s="1303"/>
      <c r="Y11" s="3658"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10"/>
      <c r="Q12" s="815" t="str">
        <f t="shared" si="6"/>
        <v>土地使用年限（年）</v>
      </c>
      <c r="R12" s="1301" t="s">
        <v>5</v>
      </c>
      <c r="S12" s="1302">
        <f t="shared" si="0"/>
        <v>100</v>
      </c>
      <c r="T12" s="1301" t="s">
        <v>5</v>
      </c>
      <c r="U12" s="1302">
        <f t="shared" si="1"/>
        <v>100</v>
      </c>
      <c r="V12" s="1301" t="s">
        <v>5</v>
      </c>
      <c r="W12" s="1302">
        <f t="shared" si="2"/>
        <v>100</v>
      </c>
      <c r="X12" s="1303"/>
      <c r="Y12" s="3658"/>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10"/>
      <c r="Q13" s="815" t="str">
        <f t="shared" si="6"/>
        <v>容积率</v>
      </c>
      <c r="R13" s="1301" t="s">
        <v>5</v>
      </c>
      <c r="S13" s="1302" t="e">
        <f t="shared" si="0"/>
        <v>#N/A</v>
      </c>
      <c r="T13" s="1301" t="s">
        <v>5</v>
      </c>
      <c r="U13" s="1302" t="e">
        <f t="shared" si="1"/>
        <v>#N/A</v>
      </c>
      <c r="V13" s="1301" t="s">
        <v>5</v>
      </c>
      <c r="W13" s="1302" t="e">
        <f t="shared" si="2"/>
        <v>#N/A</v>
      </c>
      <c r="X13" s="1303"/>
      <c r="Y13" s="3658"/>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10"/>
      <c r="Q14" s="815">
        <f t="shared" si="6"/>
        <v>111</v>
      </c>
      <c r="R14" s="1301" t="s">
        <v>5</v>
      </c>
      <c r="S14" s="1302">
        <f t="shared" si="0"/>
        <v>100</v>
      </c>
      <c r="T14" s="1301" t="s">
        <v>5</v>
      </c>
      <c r="U14" s="1302">
        <f t="shared" si="1"/>
        <v>100</v>
      </c>
      <c r="V14" s="1301" t="s">
        <v>5</v>
      </c>
      <c r="W14" s="1302">
        <f t="shared" si="2"/>
        <v>100</v>
      </c>
      <c r="X14" s="1303"/>
      <c r="Y14" s="3658"/>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10"/>
      <c r="Q15" s="815">
        <f t="shared" si="6"/>
        <v>111</v>
      </c>
      <c r="R15" s="1301" t="s">
        <v>5</v>
      </c>
      <c r="S15" s="1302">
        <f t="shared" si="0"/>
        <v>100</v>
      </c>
      <c r="T15" s="1301" t="s">
        <v>5</v>
      </c>
      <c r="U15" s="1302">
        <f t="shared" si="1"/>
        <v>100</v>
      </c>
      <c r="V15" s="1301" t="s">
        <v>5</v>
      </c>
      <c r="W15" s="1302">
        <f t="shared" si="2"/>
        <v>100</v>
      </c>
      <c r="X15" s="1303"/>
      <c r="Y15" s="3658"/>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10"/>
      <c r="Q16" s="815">
        <f t="shared" si="6"/>
        <v>111</v>
      </c>
      <c r="R16" s="1301" t="s">
        <v>5</v>
      </c>
      <c r="S16" s="1302">
        <f t="shared" si="0"/>
        <v>100</v>
      </c>
      <c r="T16" s="1301" t="s">
        <v>5</v>
      </c>
      <c r="U16" s="1302">
        <f t="shared" si="1"/>
        <v>100</v>
      </c>
      <c r="V16" s="1301" t="s">
        <v>5</v>
      </c>
      <c r="W16" s="1302">
        <f t="shared" si="2"/>
        <v>100</v>
      </c>
      <c r="X16" s="1303"/>
      <c r="Y16" s="3658"/>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44" t="s">
        <v>489</v>
      </c>
      <c r="Q17" s="1304" t="str">
        <f t="shared" si="6"/>
        <v>产业集聚程度</v>
      </c>
      <c r="R17" s="1305" t="s">
        <v>5</v>
      </c>
      <c r="S17" s="1306">
        <f t="shared" si="0"/>
        <v>100</v>
      </c>
      <c r="T17" s="1305" t="s">
        <v>5</v>
      </c>
      <c r="U17" s="1306">
        <f t="shared" si="1"/>
        <v>100</v>
      </c>
      <c r="V17" s="1305" t="s">
        <v>5</v>
      </c>
      <c r="W17" s="1306">
        <f t="shared" si="2"/>
        <v>100</v>
      </c>
      <c r="X17" s="1300"/>
      <c r="Y17" s="3744"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45"/>
      <c r="Q18" s="1304"/>
      <c r="R18" s="1305"/>
      <c r="S18" s="1306"/>
      <c r="T18" s="1305"/>
      <c r="U18" s="1306"/>
      <c r="V18" s="1305"/>
      <c r="W18" s="1306"/>
      <c r="X18" s="1300"/>
      <c r="Y18" s="3745"/>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45"/>
      <c r="Q19" s="1304" t="str">
        <f>B19</f>
        <v>交通便捷度</v>
      </c>
      <c r="R19" s="1305" t="s">
        <v>5</v>
      </c>
      <c r="S19" s="1306">
        <f>F19</f>
        <v>100</v>
      </c>
      <c r="T19" s="1305" t="s">
        <v>5</v>
      </c>
      <c r="U19" s="1306">
        <f>H19</f>
        <v>100</v>
      </c>
      <c r="V19" s="1305" t="s">
        <v>5</v>
      </c>
      <c r="W19" s="1306">
        <f>J19</f>
        <v>100</v>
      </c>
      <c r="X19" s="1300"/>
      <c r="Y19" s="3745"/>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45"/>
      <c r="Q20" s="1304"/>
      <c r="R20" s="1305"/>
      <c r="S20" s="1306"/>
      <c r="T20" s="1305"/>
      <c r="U20" s="1306"/>
      <c r="V20" s="1305"/>
      <c r="W20" s="1306"/>
      <c r="X20" s="1300"/>
      <c r="Y20" s="3745"/>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45"/>
      <c r="Q21" s="1304" t="str">
        <f t="shared" ref="Q21:Q35" si="8">B21</f>
        <v>区域土地利用方向</v>
      </c>
      <c r="R21" s="1305" t="s">
        <v>5</v>
      </c>
      <c r="S21" s="1306">
        <f>F21</f>
        <v>100</v>
      </c>
      <c r="T21" s="1305" t="s">
        <v>5</v>
      </c>
      <c r="U21" s="1306">
        <f>H21</f>
        <v>100</v>
      </c>
      <c r="V21" s="1305" t="s">
        <v>5</v>
      </c>
      <c r="W21" s="1306">
        <f>J21</f>
        <v>100</v>
      </c>
      <c r="X21" s="1300"/>
      <c r="Y21" s="3745"/>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45"/>
      <c r="Q22" s="1304"/>
      <c r="R22" s="1305"/>
      <c r="S22" s="1306"/>
      <c r="T22" s="1305"/>
      <c r="U22" s="1306"/>
      <c r="V22" s="1305"/>
      <c r="W22" s="1306"/>
      <c r="X22" s="1300"/>
      <c r="Y22" s="3745"/>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45"/>
      <c r="Q23" s="1304" t="str">
        <f t="shared" si="8"/>
        <v>环境状况</v>
      </c>
      <c r="R23" s="1305" t="s">
        <v>5</v>
      </c>
      <c r="S23" s="1306">
        <f>F23</f>
        <v>100</v>
      </c>
      <c r="T23" s="1305" t="s">
        <v>5</v>
      </c>
      <c r="U23" s="1306">
        <f>H23</f>
        <v>100</v>
      </c>
      <c r="V23" s="1305" t="s">
        <v>5</v>
      </c>
      <c r="W23" s="1306">
        <f>J23</f>
        <v>100</v>
      </c>
      <c r="X23" s="1300"/>
      <c r="Y23" s="3745"/>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45"/>
      <c r="Q24" s="1304"/>
      <c r="R24" s="1305"/>
      <c r="S24" s="1306"/>
      <c r="T24" s="1305"/>
      <c r="U24" s="1306"/>
      <c r="V24" s="1305"/>
      <c r="W24" s="1306"/>
      <c r="X24" s="1300"/>
      <c r="Y24" s="3745"/>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45"/>
      <c r="Q25" s="815" t="str">
        <f t="shared" si="8"/>
        <v>公共配套设施</v>
      </c>
      <c r="R25" s="1301" t="s">
        <v>5</v>
      </c>
      <c r="S25" s="1302">
        <f>F25</f>
        <v>100</v>
      </c>
      <c r="T25" s="1301" t="s">
        <v>5</v>
      </c>
      <c r="U25" s="1302">
        <f>H25</f>
        <v>100</v>
      </c>
      <c r="V25" s="1301" t="s">
        <v>5</v>
      </c>
      <c r="W25" s="1302">
        <f>J25</f>
        <v>100</v>
      </c>
      <c r="X25" s="1303"/>
      <c r="Y25" s="3745"/>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45"/>
      <c r="Q26" s="815"/>
      <c r="R26" s="1301"/>
      <c r="S26" s="1302"/>
      <c r="T26" s="1301"/>
      <c r="U26" s="1302"/>
      <c r="V26" s="1301"/>
      <c r="W26" s="1302"/>
      <c r="X26" s="1303"/>
      <c r="Y26" s="3745"/>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45"/>
      <c r="Q27" s="815" t="str">
        <f>B27</f>
        <v>基础设施水平</v>
      </c>
      <c r="R27" s="1301" t="s">
        <v>5</v>
      </c>
      <c r="S27" s="1302">
        <f>F27</f>
        <v>100</v>
      </c>
      <c r="T27" s="1301" t="s">
        <v>5</v>
      </c>
      <c r="U27" s="1302">
        <f>H27</f>
        <v>100</v>
      </c>
      <c r="V27" s="1301" t="s">
        <v>5</v>
      </c>
      <c r="W27" s="1302">
        <f>J27</f>
        <v>100</v>
      </c>
      <c r="X27" s="1303"/>
      <c r="Y27" s="3745"/>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45"/>
      <c r="Q28" s="815"/>
      <c r="R28" s="1301"/>
      <c r="S28" s="1302"/>
      <c r="T28" s="1301"/>
      <c r="U28" s="1302"/>
      <c r="V28" s="1301"/>
      <c r="W28" s="1302"/>
      <c r="X28" s="1303"/>
      <c r="Y28" s="3745"/>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45"/>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45"/>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45"/>
      <c r="Q30" s="1304" t="str">
        <f t="shared" si="8"/>
        <v>毗邻道路的类型与等级</v>
      </c>
      <c r="R30" s="1305" t="s">
        <v>5</v>
      </c>
      <c r="S30" s="1306">
        <f t="shared" si="9"/>
        <v>100</v>
      </c>
      <c r="T30" s="1305" t="s">
        <v>5</v>
      </c>
      <c r="U30" s="1306">
        <f t="shared" si="10"/>
        <v>100</v>
      </c>
      <c r="V30" s="1305" t="s">
        <v>5</v>
      </c>
      <c r="W30" s="1306">
        <f t="shared" si="11"/>
        <v>100</v>
      </c>
      <c r="X30" s="1300"/>
      <c r="Y30" s="3745"/>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45"/>
      <c r="Q31" s="1304"/>
      <c r="R31" s="1305"/>
      <c r="S31" s="1306"/>
      <c r="T31" s="1305"/>
      <c r="U31" s="1306"/>
      <c r="V31" s="1305"/>
      <c r="W31" s="1306"/>
      <c r="X31" s="1300"/>
      <c r="Y31" s="3745"/>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45"/>
      <c r="Q32" s="1304" t="str">
        <f t="shared" si="8"/>
        <v>土地级别</v>
      </c>
      <c r="R32" s="1305" t="s">
        <v>5</v>
      </c>
      <c r="S32" s="1306">
        <f t="shared" si="9"/>
        <v>100</v>
      </c>
      <c r="T32" s="1305" t="s">
        <v>5</v>
      </c>
      <c r="U32" s="1306">
        <f t="shared" si="10"/>
        <v>100</v>
      </c>
      <c r="V32" s="1305" t="s">
        <v>5</v>
      </c>
      <c r="W32" s="1306">
        <f t="shared" si="11"/>
        <v>100</v>
      </c>
      <c r="X32" s="1300"/>
      <c r="Y32" s="3745"/>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45"/>
      <c r="Q33" s="1304">
        <f t="shared" si="8"/>
        <v>111</v>
      </c>
      <c r="R33" s="1305" t="s">
        <v>5</v>
      </c>
      <c r="S33" s="1306">
        <f t="shared" si="9"/>
        <v>100</v>
      </c>
      <c r="T33" s="1305" t="s">
        <v>5</v>
      </c>
      <c r="U33" s="1306">
        <f t="shared" si="10"/>
        <v>100</v>
      </c>
      <c r="V33" s="1305" t="s">
        <v>5</v>
      </c>
      <c r="W33" s="1306">
        <f t="shared" si="11"/>
        <v>100</v>
      </c>
      <c r="X33" s="1300"/>
      <c r="Y33" s="3745"/>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46" t="s">
        <v>499</v>
      </c>
      <c r="Q34" s="1304">
        <f t="shared" si="8"/>
        <v>111</v>
      </c>
      <c r="R34" s="1305" t="s">
        <v>5</v>
      </c>
      <c r="S34" s="1306">
        <f t="shared" si="9"/>
        <v>100</v>
      </c>
      <c r="T34" s="1305" t="s">
        <v>5</v>
      </c>
      <c r="U34" s="1306">
        <f t="shared" si="10"/>
        <v>100</v>
      </c>
      <c r="V34" s="1305" t="s">
        <v>5</v>
      </c>
      <c r="W34" s="1306">
        <f t="shared" si="11"/>
        <v>100</v>
      </c>
      <c r="X34" s="1300"/>
      <c r="Y34" s="3747"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47"/>
      <c r="Q35" s="1304">
        <f t="shared" si="8"/>
        <v>111</v>
      </c>
      <c r="R35" s="1308" t="s">
        <v>5</v>
      </c>
      <c r="S35" s="1309">
        <f t="shared" si="9"/>
        <v>100</v>
      </c>
      <c r="T35" s="1308" t="s">
        <v>5</v>
      </c>
      <c r="U35" s="1309">
        <f t="shared" si="10"/>
        <v>100</v>
      </c>
      <c r="V35" s="1308" t="s">
        <v>5</v>
      </c>
      <c r="W35" s="1309">
        <f t="shared" si="11"/>
        <v>100</v>
      </c>
      <c r="X35" s="1310"/>
      <c r="Y35" s="3747"/>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47"/>
      <c r="Q36" s="1304" t="str">
        <f>B36</f>
        <v>宗地面积</v>
      </c>
      <c r="R36" s="1305" t="s">
        <v>5</v>
      </c>
      <c r="S36" s="1306" t="e">
        <f t="shared" si="9"/>
        <v>#N/A</v>
      </c>
      <c r="T36" s="1305" t="s">
        <v>5</v>
      </c>
      <c r="U36" s="1306" t="e">
        <f t="shared" si="10"/>
        <v>#N/A</v>
      </c>
      <c r="V36" s="1305" t="s">
        <v>5</v>
      </c>
      <c r="W36" s="1306" t="e">
        <f t="shared" si="11"/>
        <v>#N/A</v>
      </c>
      <c r="X36" s="1300"/>
      <c r="Y36" s="3747"/>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47"/>
      <c r="Q37" s="1304" t="str">
        <f t="shared" ref="Q37:Q42" si="13">B37</f>
        <v>宗地形状</v>
      </c>
      <c r="R37" s="1305" t="s">
        <v>5</v>
      </c>
      <c r="S37" s="1306">
        <f t="shared" si="9"/>
        <v>100</v>
      </c>
      <c r="T37" s="1305" t="s">
        <v>5</v>
      </c>
      <c r="U37" s="1306">
        <f t="shared" si="10"/>
        <v>100</v>
      </c>
      <c r="V37" s="1305" t="s">
        <v>5</v>
      </c>
      <c r="W37" s="1306">
        <f t="shared" si="11"/>
        <v>100</v>
      </c>
      <c r="X37" s="1300"/>
      <c r="Y37" s="3747"/>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47"/>
      <c r="Q38" s="1304" t="str">
        <f t="shared" si="13"/>
        <v>宗地开发程度</v>
      </c>
      <c r="R38" s="1301" t="s">
        <v>5</v>
      </c>
      <c r="S38" s="1302">
        <f t="shared" si="9"/>
        <v>100</v>
      </c>
      <c r="T38" s="1301" t="s">
        <v>5</v>
      </c>
      <c r="U38" s="1302">
        <f t="shared" si="10"/>
        <v>100</v>
      </c>
      <c r="V38" s="1301" t="s">
        <v>5</v>
      </c>
      <c r="W38" s="1302">
        <f t="shared" si="11"/>
        <v>100</v>
      </c>
      <c r="X38" s="1303"/>
      <c r="Y38" s="3747"/>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47" t="s">
        <v>549</v>
      </c>
      <c r="Q39" s="1304" t="str">
        <f t="shared" si="13"/>
        <v>工程地质条件</v>
      </c>
      <c r="R39" s="1305" t="s">
        <v>5</v>
      </c>
      <c r="S39" s="1306">
        <f t="shared" si="9"/>
        <v>100</v>
      </c>
      <c r="T39" s="1305" t="s">
        <v>5</v>
      </c>
      <c r="U39" s="1306">
        <f t="shared" si="10"/>
        <v>100</v>
      </c>
      <c r="V39" s="1305" t="s">
        <v>5</v>
      </c>
      <c r="W39" s="1306">
        <f t="shared" si="11"/>
        <v>100</v>
      </c>
      <c r="X39" s="1300"/>
      <c r="Y39" s="3747"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47"/>
      <c r="Q40" s="1304">
        <f t="shared" si="13"/>
        <v>111</v>
      </c>
      <c r="R40" s="1305" t="s">
        <v>5</v>
      </c>
      <c r="S40" s="1306">
        <f t="shared" si="9"/>
        <v>100</v>
      </c>
      <c r="T40" s="1305" t="s">
        <v>5</v>
      </c>
      <c r="U40" s="1306">
        <f t="shared" si="10"/>
        <v>100</v>
      </c>
      <c r="V40" s="1305" t="s">
        <v>5</v>
      </c>
      <c r="W40" s="1306">
        <f t="shared" si="11"/>
        <v>100</v>
      </c>
      <c r="X40" s="1300"/>
      <c r="Y40" s="3747"/>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47"/>
      <c r="Q41" s="1304">
        <f t="shared" si="13"/>
        <v>111</v>
      </c>
      <c r="R41" s="1305" t="s">
        <v>5</v>
      </c>
      <c r="S41" s="1306">
        <f t="shared" si="9"/>
        <v>100</v>
      </c>
      <c r="T41" s="1305" t="s">
        <v>5</v>
      </c>
      <c r="U41" s="1306">
        <f t="shared" si="10"/>
        <v>100</v>
      </c>
      <c r="V41" s="1305" t="s">
        <v>5</v>
      </c>
      <c r="W41" s="1306">
        <f t="shared" si="11"/>
        <v>100</v>
      </c>
      <c r="X41" s="1300"/>
      <c r="Y41" s="3747"/>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47"/>
      <c r="Q42" s="1304">
        <f t="shared" si="13"/>
        <v>111</v>
      </c>
      <c r="R42" s="1308" t="s">
        <v>5</v>
      </c>
      <c r="S42" s="1309">
        <f t="shared" si="9"/>
        <v>100</v>
      </c>
      <c r="T42" s="1308" t="s">
        <v>5</v>
      </c>
      <c r="U42" s="1309">
        <f t="shared" si="10"/>
        <v>100</v>
      </c>
      <c r="V42" s="1308" t="s">
        <v>5</v>
      </c>
      <c r="W42" s="1309">
        <f t="shared" si="11"/>
        <v>100</v>
      </c>
      <c r="X42" s="1310"/>
      <c r="Y42" s="3747"/>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10" t="str">
        <f>A43</f>
        <v>成交单价</v>
      </c>
      <c r="Q43" s="3710"/>
      <c r="R43" s="3711">
        <f>E43</f>
        <v>0</v>
      </c>
      <c r="S43" s="3711"/>
      <c r="T43" s="3711">
        <f>G43</f>
        <v>0</v>
      </c>
      <c r="U43" s="3711"/>
      <c r="V43" s="3711">
        <f>I43</f>
        <v>0</v>
      </c>
      <c r="W43" s="3711"/>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10" t="str">
        <f>A44</f>
        <v>比较价格（元/平方米）</v>
      </c>
      <c r="Q44" s="3710"/>
      <c r="R44" s="3712" t="e">
        <f>ROUND(PRODUCT(R43,AA9:AA42),0)</f>
        <v>#DIV/0!</v>
      </c>
      <c r="S44" s="3712"/>
      <c r="T44" s="3712" t="e">
        <f>ROUND(PRODUCT(T43,AB9:AB42),0)</f>
        <v>#DIV/0!</v>
      </c>
      <c r="U44" s="3712"/>
      <c r="V44" s="3712" t="e">
        <f>ROUND(PRODUCT(V43,AC9:AC42),0)</f>
        <v>#DIV/0!</v>
      </c>
      <c r="W44" s="3712"/>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48" t="str">
        <f>A45</f>
        <v>估价对象XX用房的比较价格（楼面单价，元/平方米）</v>
      </c>
      <c r="Q45" s="3749"/>
      <c r="R45" s="3764" t="e">
        <f>ROUND(IF(D44="简单平均",AVERAGE(R44:W44),R44*F44+T44*H44+V44*J44),0)</f>
        <v>#DIV/0!</v>
      </c>
      <c r="S45" s="3764"/>
      <c r="T45" s="3764"/>
      <c r="U45" s="3764"/>
      <c r="V45" s="3764"/>
      <c r="W45" s="3764"/>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60" t="s">
        <v>1642</v>
      </c>
      <c r="H52" s="3761"/>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62"/>
      <c r="H53" s="3763"/>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66" t="s">
        <v>2060</v>
      </c>
      <c r="X8" s="3767"/>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65"/>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65"/>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76" t="s">
        <v>1370</v>
      </c>
      <c r="B20" s="1203" t="s">
        <v>875</v>
      </c>
      <c r="C20" s="945" t="e">
        <f>ROUND(IF(F21="与级别开发程度一致",0,(G21-E21)/C21),0)</f>
        <v>#DIV/0!</v>
      </c>
      <c r="D20" s="3771" t="s">
        <v>879</v>
      </c>
      <c r="E20" s="3772"/>
      <c r="F20" s="3771" t="s">
        <v>876</v>
      </c>
      <c r="G20" s="3772"/>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77"/>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3"/>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3"/>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4"/>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4"/>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4"/>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4"/>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78" t="s">
        <v>1172</v>
      </c>
      <c r="B104" s="3778"/>
      <c r="C104" s="3778"/>
      <c r="D104" s="3778"/>
      <c r="E104" s="3778"/>
      <c r="F104" s="3778"/>
      <c r="G104" s="3778"/>
      <c r="H104" s="3778"/>
      <c r="I104" s="3778"/>
      <c r="J104" s="3778"/>
      <c r="K104" s="998"/>
      <c r="L104" s="998"/>
      <c r="M104" s="998"/>
      <c r="N104" s="998"/>
    </row>
    <row r="105" spans="1:36">
      <c r="A105" s="3779" t="s">
        <v>1161</v>
      </c>
      <c r="B105" s="3779" t="s">
        <v>1173</v>
      </c>
      <c r="C105" s="986" t="s">
        <v>1174</v>
      </c>
      <c r="D105" s="987"/>
      <c r="E105" s="987"/>
      <c r="F105" s="987"/>
      <c r="G105" s="987"/>
      <c r="H105" s="987"/>
      <c r="I105" s="987"/>
      <c r="J105" s="988"/>
      <c r="K105" s="981"/>
      <c r="L105" s="981"/>
      <c r="M105" s="981"/>
      <c r="N105" s="981"/>
    </row>
    <row r="106" spans="1:36">
      <c r="A106" s="3779"/>
      <c r="B106" s="3779"/>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68"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69"/>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69"/>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69"/>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69"/>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69"/>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70"/>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75" t="s">
        <v>1175</v>
      </c>
      <c r="B114" s="3775"/>
      <c r="C114" s="3775"/>
      <c r="D114" s="3775"/>
      <c r="E114" s="3775"/>
      <c r="F114" s="3775"/>
      <c r="G114" s="3775"/>
      <c r="H114" s="3775"/>
      <c r="I114" s="3775"/>
      <c r="J114" s="3775"/>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80" t="s">
        <v>2441</v>
      </c>
      <c r="B20" s="3783" t="s">
        <v>2451</v>
      </c>
      <c r="C20" s="3006" t="s">
        <v>2452</v>
      </c>
      <c r="D20" s="3007"/>
      <c r="E20" s="3008">
        <v>1</v>
      </c>
      <c r="F20" s="3009" t="s">
        <v>2453</v>
      </c>
      <c r="G20" s="981"/>
    </row>
    <row r="21" spans="1:13">
      <c r="A21" s="3781"/>
      <c r="B21" s="3784"/>
      <c r="C21" s="3010" t="s">
        <v>2454</v>
      </c>
      <c r="D21" s="3011"/>
      <c r="E21" s="3012">
        <v>1</v>
      </c>
      <c r="F21" s="3009" t="s">
        <v>2455</v>
      </c>
      <c r="G21" s="981"/>
    </row>
    <row r="22" spans="1:13">
      <c r="A22" s="3781"/>
      <c r="B22" s="3784"/>
      <c r="C22" s="3010" t="s">
        <v>2456</v>
      </c>
      <c r="D22" s="3011"/>
      <c r="E22" s="3012">
        <v>0.9</v>
      </c>
      <c r="F22" s="3009" t="s">
        <v>2457</v>
      </c>
      <c r="G22" s="981"/>
    </row>
    <row r="23" spans="1:13">
      <c r="A23" s="3781"/>
      <c r="B23" s="3784"/>
      <c r="C23" s="3010" t="s">
        <v>2458</v>
      </c>
      <c r="D23" s="3011"/>
      <c r="E23" s="3012">
        <v>0.9</v>
      </c>
      <c r="F23" s="3009" t="s">
        <v>2459</v>
      </c>
      <c r="G23" s="981"/>
    </row>
    <row r="24" spans="1:13">
      <c r="A24" s="3781"/>
      <c r="B24" s="3784"/>
      <c r="C24" s="3010" t="s">
        <v>2460</v>
      </c>
      <c r="D24" s="3011"/>
      <c r="E24" s="3012">
        <v>0.8</v>
      </c>
      <c r="F24" s="3009" t="s">
        <v>2461</v>
      </c>
      <c r="G24" s="981"/>
    </row>
    <row r="25" spans="1:13" ht="14.25" thickBot="1">
      <c r="A25" s="3782"/>
      <c r="B25" s="3785"/>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86" t="s">
        <v>2446</v>
      </c>
      <c r="B27" s="3783" t="s">
        <v>2446</v>
      </c>
      <c r="C27" s="3006" t="s">
        <v>2466</v>
      </c>
      <c r="D27" s="3007"/>
      <c r="E27" s="3008">
        <v>1</v>
      </c>
      <c r="F27" s="3009" t="s">
        <v>2467</v>
      </c>
      <c r="G27" s="981"/>
    </row>
    <row r="28" spans="1:13">
      <c r="A28" s="3787"/>
      <c r="B28" s="3784"/>
      <c r="C28" s="3010" t="s">
        <v>2468</v>
      </c>
      <c r="D28" s="3011"/>
      <c r="E28" s="3012">
        <v>1</v>
      </c>
      <c r="F28" s="3009" t="s">
        <v>2469</v>
      </c>
      <c r="G28" s="981"/>
    </row>
    <row r="29" spans="1:13">
      <c r="A29" s="3787"/>
      <c r="B29" s="3784"/>
      <c r="C29" s="3010" t="s">
        <v>2470</v>
      </c>
      <c r="D29" s="3011"/>
      <c r="E29" s="3012">
        <v>0.8</v>
      </c>
      <c r="F29" s="3009" t="s">
        <v>2471</v>
      </c>
      <c r="G29" s="981"/>
    </row>
    <row r="30" spans="1:13">
      <c r="A30" s="3787"/>
      <c r="B30" s="3784"/>
      <c r="C30" s="3010" t="s">
        <v>2472</v>
      </c>
      <c r="D30" s="3011"/>
      <c r="E30" s="3012">
        <v>0.8</v>
      </c>
      <c r="F30" s="3009" t="s">
        <v>2473</v>
      </c>
      <c r="G30" s="981"/>
    </row>
    <row r="31" spans="1:13">
      <c r="A31" s="3787"/>
      <c r="B31" s="3784"/>
      <c r="C31" s="3010" t="s">
        <v>2474</v>
      </c>
      <c r="D31" s="3011"/>
      <c r="E31" s="3012">
        <v>0.8</v>
      </c>
      <c r="F31" s="3009" t="s">
        <v>2475</v>
      </c>
      <c r="G31" s="981"/>
    </row>
    <row r="32" spans="1:13">
      <c r="A32" s="3787"/>
      <c r="B32" s="3784"/>
      <c r="C32" s="3010" t="s">
        <v>2476</v>
      </c>
      <c r="D32" s="3011"/>
      <c r="E32" s="3012">
        <v>0.7</v>
      </c>
      <c r="F32" s="3009" t="s">
        <v>2477</v>
      </c>
      <c r="G32" s="981"/>
    </row>
    <row r="33" spans="1:7">
      <c r="A33" s="3787"/>
      <c r="B33" s="3784"/>
      <c r="C33" s="3010" t="s">
        <v>2478</v>
      </c>
      <c r="D33" s="3011"/>
      <c r="E33" s="3012">
        <v>0.8</v>
      </c>
      <c r="F33" s="3009" t="s">
        <v>2479</v>
      </c>
      <c r="G33" s="981"/>
    </row>
    <row r="34" spans="1:7">
      <c r="A34" s="3787"/>
      <c r="B34" s="3784"/>
      <c r="C34" s="3010" t="s">
        <v>2480</v>
      </c>
      <c r="D34" s="3011"/>
      <c r="E34" s="3012">
        <v>0.6</v>
      </c>
      <c r="F34" s="3009" t="s">
        <v>2481</v>
      </c>
      <c r="G34" s="981"/>
    </row>
    <row r="35" spans="1:7">
      <c r="A35" s="3787"/>
      <c r="B35" s="3784"/>
      <c r="C35" s="3010" t="s">
        <v>2482</v>
      </c>
      <c r="D35" s="3011"/>
      <c r="E35" s="3012">
        <v>0.2</v>
      </c>
      <c r="F35" s="3009" t="s">
        <v>2483</v>
      </c>
      <c r="G35" s="981"/>
    </row>
    <row r="36" spans="1:7">
      <c r="A36" s="3787"/>
      <c r="B36" s="3784"/>
      <c r="C36" s="3010" t="s">
        <v>2484</v>
      </c>
      <c r="D36" s="3011"/>
      <c r="E36" s="3012">
        <v>0.2</v>
      </c>
      <c r="F36" s="3009" t="s">
        <v>2485</v>
      </c>
      <c r="G36" s="981"/>
    </row>
    <row r="37" spans="1:7">
      <c r="A37" s="3787"/>
      <c r="B37" s="3789" t="s">
        <v>2486</v>
      </c>
      <c r="C37" s="3010" t="s">
        <v>2487</v>
      </c>
      <c r="D37" s="3011"/>
      <c r="E37" s="3012">
        <v>0.6</v>
      </c>
      <c r="F37" s="3009" t="s">
        <v>2488</v>
      </c>
      <c r="G37" s="981"/>
    </row>
    <row r="38" spans="1:7">
      <c r="A38" s="3787"/>
      <c r="B38" s="3784"/>
      <c r="C38" s="3010" t="s">
        <v>2489</v>
      </c>
      <c r="D38" s="3011"/>
      <c r="E38" s="3012">
        <v>0.6</v>
      </c>
      <c r="F38" s="3009" t="s">
        <v>2490</v>
      </c>
      <c r="G38" s="981"/>
    </row>
    <row r="39" spans="1:7" ht="14.25" thickBot="1">
      <c r="A39" s="3788"/>
      <c r="B39" s="3785"/>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80" t="s">
        <v>2444</v>
      </c>
      <c r="B41" s="3783" t="s">
        <v>2495</v>
      </c>
      <c r="C41" s="3006" t="s">
        <v>2496</v>
      </c>
      <c r="D41" s="3007"/>
      <c r="E41" s="3008">
        <v>1</v>
      </c>
      <c r="F41" s="3009" t="s">
        <v>2497</v>
      </c>
      <c r="G41" s="981"/>
    </row>
    <row r="42" spans="1:7">
      <c r="A42" s="3781"/>
      <c r="B42" s="3784"/>
      <c r="C42" s="3010" t="s">
        <v>2498</v>
      </c>
      <c r="D42" s="3011"/>
      <c r="E42" s="3012">
        <v>1</v>
      </c>
      <c r="F42" s="3009" t="s">
        <v>2499</v>
      </c>
      <c r="G42" s="981"/>
    </row>
    <row r="43" spans="1:7">
      <c r="A43" s="3781"/>
      <c r="B43" s="3790"/>
      <c r="C43" s="3010" t="s">
        <v>2500</v>
      </c>
      <c r="D43" s="3011"/>
      <c r="E43" s="3012">
        <v>1.5</v>
      </c>
      <c r="F43" s="3009" t="s">
        <v>2501</v>
      </c>
      <c r="G43" s="981"/>
    </row>
    <row r="44" spans="1:7">
      <c r="A44" s="3781"/>
      <c r="B44" s="3021" t="s">
        <v>2446</v>
      </c>
      <c r="C44" s="3010" t="s">
        <v>2445</v>
      </c>
      <c r="D44" s="3011"/>
      <c r="E44" s="3012">
        <v>2</v>
      </c>
      <c r="F44" s="3009" t="s">
        <v>2502</v>
      </c>
      <c r="G44" s="981"/>
    </row>
    <row r="45" spans="1:7">
      <c r="A45" s="3781"/>
      <c r="B45" s="3789" t="s">
        <v>2503</v>
      </c>
      <c r="C45" s="3010" t="s">
        <v>2504</v>
      </c>
      <c r="D45" s="3011"/>
      <c r="E45" s="3012">
        <v>1</v>
      </c>
      <c r="F45" s="3009" t="s">
        <v>2505</v>
      </c>
      <c r="G45" s="981"/>
    </row>
    <row r="46" spans="1:7">
      <c r="A46" s="3781"/>
      <c r="B46" s="3784"/>
      <c r="C46" s="3010" t="s">
        <v>2506</v>
      </c>
      <c r="D46" s="3011"/>
      <c r="E46" s="3012">
        <v>1</v>
      </c>
      <c r="F46" s="3009" t="s">
        <v>2507</v>
      </c>
      <c r="G46" s="981"/>
    </row>
    <row r="47" spans="1:7">
      <c r="A47" s="3781"/>
      <c r="B47" s="3784"/>
      <c r="C47" s="3010" t="s">
        <v>2508</v>
      </c>
      <c r="D47" s="3011"/>
      <c r="E47" s="3012">
        <v>1</v>
      </c>
      <c r="F47" s="3009" t="s">
        <v>2509</v>
      </c>
      <c r="G47" s="981"/>
    </row>
    <row r="48" spans="1:7">
      <c r="A48" s="3781"/>
      <c r="B48" s="3784"/>
      <c r="C48" s="3010" t="s">
        <v>2510</v>
      </c>
      <c r="D48" s="3011"/>
      <c r="E48" s="3012">
        <v>1</v>
      </c>
      <c r="F48" s="3009" t="s">
        <v>2511</v>
      </c>
      <c r="G48" s="981"/>
    </row>
    <row r="49" spans="1:9">
      <c r="A49" s="3781"/>
      <c r="B49" s="3784"/>
      <c r="C49" s="3010" t="s">
        <v>2512</v>
      </c>
      <c r="D49" s="3011"/>
      <c r="E49" s="3012">
        <v>1</v>
      </c>
      <c r="F49" s="3009" t="s">
        <v>2513</v>
      </c>
      <c r="G49" s="981"/>
    </row>
    <row r="50" spans="1:9">
      <c r="A50" s="3781"/>
      <c r="B50" s="3784"/>
      <c r="C50" s="3010" t="s">
        <v>2514</v>
      </c>
      <c r="D50" s="3011"/>
      <c r="E50" s="3012">
        <v>1</v>
      </c>
      <c r="F50" s="3009" t="s">
        <v>2515</v>
      </c>
      <c r="G50" s="981"/>
    </row>
    <row r="51" spans="1:9" ht="14.25" thickBot="1">
      <c r="A51" s="3782"/>
      <c r="B51" s="3785"/>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9" t="s">
        <v>2519</v>
      </c>
      <c r="C73" s="2999" t="s">
        <v>2520</v>
      </c>
      <c r="D73" s="2999" t="s">
        <v>2521</v>
      </c>
      <c r="E73" s="3022">
        <v>0.2</v>
      </c>
      <c r="F73" s="3021">
        <v>25</v>
      </c>
      <c r="H73" s="971">
        <f>SUMIF(C71:C139,基准地价!C8,E71:E139)</f>
        <v>0</v>
      </c>
    </row>
    <row r="74" spans="1:8" s="971" customFormat="1" ht="24">
      <c r="A74" s="3021">
        <v>2</v>
      </c>
      <c r="B74" s="3784"/>
      <c r="C74" s="2999" t="s">
        <v>2522</v>
      </c>
      <c r="D74" s="2999" t="s">
        <v>2523</v>
      </c>
      <c r="E74" s="3022">
        <v>0.2</v>
      </c>
      <c r="F74" s="3021">
        <v>25</v>
      </c>
    </row>
    <row r="75" spans="1:8" s="971" customFormat="1" ht="24">
      <c r="A75" s="3021">
        <v>3</v>
      </c>
      <c r="B75" s="3784"/>
      <c r="C75" s="2999" t="s">
        <v>2524</v>
      </c>
      <c r="D75" s="2999" t="s">
        <v>2525</v>
      </c>
      <c r="E75" s="3022">
        <v>0.2</v>
      </c>
      <c r="F75" s="3021">
        <v>25</v>
      </c>
    </row>
    <row r="76" spans="1:8" s="971" customFormat="1">
      <c r="A76" s="3021">
        <v>4</v>
      </c>
      <c r="B76" s="3784"/>
      <c r="C76" s="2999" t="s">
        <v>2526</v>
      </c>
      <c r="D76" s="2999" t="s">
        <v>2527</v>
      </c>
      <c r="E76" s="3022">
        <v>0.15</v>
      </c>
      <c r="F76" s="3021">
        <v>20</v>
      </c>
    </row>
    <row r="77" spans="1:8" s="971" customFormat="1" ht="24">
      <c r="A77" s="3021">
        <v>5</v>
      </c>
      <c r="B77" s="3784"/>
      <c r="C77" s="2999" t="s">
        <v>2528</v>
      </c>
      <c r="D77" s="2999" t="s">
        <v>2529</v>
      </c>
      <c r="E77" s="3022">
        <v>0.15</v>
      </c>
      <c r="F77" s="3021">
        <v>20</v>
      </c>
    </row>
    <row r="78" spans="1:8" s="971" customFormat="1" ht="24">
      <c r="A78" s="3021">
        <v>6</v>
      </c>
      <c r="B78" s="3784"/>
      <c r="C78" s="2999" t="s">
        <v>2530</v>
      </c>
      <c r="D78" s="2999" t="s">
        <v>2531</v>
      </c>
      <c r="E78" s="3022">
        <v>0.15</v>
      </c>
      <c r="F78" s="3021">
        <v>20</v>
      </c>
    </row>
    <row r="79" spans="1:8" s="971" customFormat="1" ht="24">
      <c r="A79" s="3021">
        <v>7</v>
      </c>
      <c r="B79" s="3784"/>
      <c r="C79" s="2999" t="s">
        <v>2532</v>
      </c>
      <c r="D79" s="2999" t="s">
        <v>2533</v>
      </c>
      <c r="E79" s="3022">
        <v>0.15</v>
      </c>
      <c r="F79" s="3021">
        <v>20</v>
      </c>
    </row>
    <row r="80" spans="1:8" s="971" customFormat="1" ht="24">
      <c r="A80" s="3021">
        <v>8</v>
      </c>
      <c r="B80" s="3784"/>
      <c r="C80" s="2999" t="s">
        <v>2534</v>
      </c>
      <c r="D80" s="2999" t="s">
        <v>2535</v>
      </c>
      <c r="E80" s="3022">
        <v>0.1</v>
      </c>
      <c r="F80" s="3021">
        <v>15</v>
      </c>
    </row>
    <row r="81" spans="1:6" s="971" customFormat="1" ht="24">
      <c r="A81" s="3021">
        <v>9</v>
      </c>
      <c r="B81" s="3784"/>
      <c r="C81" s="2999" t="s">
        <v>2536</v>
      </c>
      <c r="D81" s="2999" t="s">
        <v>2537</v>
      </c>
      <c r="E81" s="3022">
        <v>0.1</v>
      </c>
      <c r="F81" s="3021">
        <v>15</v>
      </c>
    </row>
    <row r="82" spans="1:6" s="971" customFormat="1" ht="24">
      <c r="A82" s="3021">
        <v>10</v>
      </c>
      <c r="B82" s="3784"/>
      <c r="C82" s="2999" t="s">
        <v>2538</v>
      </c>
      <c r="D82" s="2999" t="s">
        <v>2539</v>
      </c>
      <c r="E82" s="3022">
        <v>0.1</v>
      </c>
      <c r="F82" s="3021">
        <v>15</v>
      </c>
    </row>
    <row r="83" spans="1:6" s="971" customFormat="1" ht="24">
      <c r="A83" s="3021">
        <v>11</v>
      </c>
      <c r="B83" s="3784"/>
      <c r="C83" s="2999" t="s">
        <v>2540</v>
      </c>
      <c r="D83" s="2999" t="s">
        <v>2541</v>
      </c>
      <c r="E83" s="3022">
        <v>0.1</v>
      </c>
      <c r="F83" s="3021">
        <v>15</v>
      </c>
    </row>
    <row r="84" spans="1:6" s="971" customFormat="1" ht="24">
      <c r="A84" s="3021">
        <v>12</v>
      </c>
      <c r="B84" s="3784"/>
      <c r="C84" s="2999" t="s">
        <v>2542</v>
      </c>
      <c r="D84" s="2999" t="s">
        <v>2543</v>
      </c>
      <c r="E84" s="3022">
        <v>0.1</v>
      </c>
      <c r="F84" s="3021">
        <v>15</v>
      </c>
    </row>
    <row r="85" spans="1:6" s="971" customFormat="1">
      <c r="A85" s="3021">
        <v>13</v>
      </c>
      <c r="B85" s="3784"/>
      <c r="C85" s="2999" t="s">
        <v>2544</v>
      </c>
      <c r="D85" s="2999" t="s">
        <v>2545</v>
      </c>
      <c r="E85" s="3022">
        <v>0.1</v>
      </c>
      <c r="F85" s="3021">
        <v>15</v>
      </c>
    </row>
    <row r="86" spans="1:6" s="971" customFormat="1">
      <c r="A86" s="3021">
        <v>14</v>
      </c>
      <c r="B86" s="3784"/>
      <c r="C86" s="2999" t="s">
        <v>2546</v>
      </c>
      <c r="D86" s="2999" t="s">
        <v>2547</v>
      </c>
      <c r="E86" s="3022">
        <v>0.1</v>
      </c>
      <c r="F86" s="3021">
        <v>15</v>
      </c>
    </row>
    <row r="87" spans="1:6" s="971" customFormat="1">
      <c r="A87" s="3021">
        <v>15</v>
      </c>
      <c r="B87" s="3784"/>
      <c r="C87" s="2999" t="s">
        <v>2548</v>
      </c>
      <c r="D87" s="2999" t="s">
        <v>2549</v>
      </c>
      <c r="E87" s="3022">
        <v>0.1</v>
      </c>
      <c r="F87" s="3021">
        <v>15</v>
      </c>
    </row>
    <row r="88" spans="1:6" s="971" customFormat="1" ht="24">
      <c r="A88" s="3021">
        <v>16</v>
      </c>
      <c r="B88" s="3784"/>
      <c r="C88" s="2999" t="s">
        <v>2550</v>
      </c>
      <c r="D88" s="2999" t="s">
        <v>2551</v>
      </c>
      <c r="E88" s="3022">
        <v>0.1</v>
      </c>
      <c r="F88" s="3021">
        <v>15</v>
      </c>
    </row>
    <row r="89" spans="1:6" s="971" customFormat="1" ht="24">
      <c r="A89" s="3021">
        <v>17</v>
      </c>
      <c r="B89" s="3790"/>
      <c r="C89" s="2999" t="s">
        <v>2552</v>
      </c>
      <c r="D89" s="2999" t="s">
        <v>2553</v>
      </c>
      <c r="E89" s="3022">
        <v>0.1</v>
      </c>
      <c r="F89" s="3021">
        <v>15</v>
      </c>
    </row>
    <row r="90" spans="1:6" s="971" customFormat="1">
      <c r="A90" s="3021">
        <v>18</v>
      </c>
      <c r="B90" s="3789" t="s">
        <v>2554</v>
      </c>
      <c r="C90" s="2999" t="s">
        <v>2555</v>
      </c>
      <c r="D90" s="2999" t="s">
        <v>2556</v>
      </c>
      <c r="E90" s="3022">
        <v>0.2</v>
      </c>
      <c r="F90" s="3021">
        <v>25</v>
      </c>
    </row>
    <row r="91" spans="1:6" s="971" customFormat="1" ht="24">
      <c r="A91" s="3021">
        <v>19</v>
      </c>
      <c r="B91" s="3784"/>
      <c r="C91" s="2999" t="s">
        <v>2557</v>
      </c>
      <c r="D91" s="2999" t="s">
        <v>2558</v>
      </c>
      <c r="E91" s="3022">
        <v>0.2</v>
      </c>
      <c r="F91" s="3021">
        <v>25</v>
      </c>
    </row>
    <row r="92" spans="1:6" s="971" customFormat="1">
      <c r="A92" s="3021">
        <v>20</v>
      </c>
      <c r="B92" s="3784"/>
      <c r="C92" s="2999" t="s">
        <v>2559</v>
      </c>
      <c r="D92" s="2999" t="s">
        <v>2560</v>
      </c>
      <c r="E92" s="3022">
        <v>0.15</v>
      </c>
      <c r="F92" s="3021">
        <v>20</v>
      </c>
    </row>
    <row r="93" spans="1:6" s="971" customFormat="1" ht="24">
      <c r="A93" s="3021">
        <v>21</v>
      </c>
      <c r="B93" s="3784"/>
      <c r="C93" s="2999" t="s">
        <v>2561</v>
      </c>
      <c r="D93" s="2999" t="s">
        <v>2562</v>
      </c>
      <c r="E93" s="3022">
        <v>0.15</v>
      </c>
      <c r="F93" s="3021">
        <v>20</v>
      </c>
    </row>
    <row r="94" spans="1:6" s="971" customFormat="1" ht="24">
      <c r="A94" s="3021">
        <v>22</v>
      </c>
      <c r="B94" s="3784"/>
      <c r="C94" s="2999" t="s">
        <v>2563</v>
      </c>
      <c r="D94" s="2999" t="s">
        <v>2564</v>
      </c>
      <c r="E94" s="3022">
        <v>0.15</v>
      </c>
      <c r="F94" s="3021">
        <v>20</v>
      </c>
    </row>
    <row r="95" spans="1:6" s="971" customFormat="1" ht="36">
      <c r="A95" s="3021">
        <v>23</v>
      </c>
      <c r="B95" s="3784"/>
      <c r="C95" s="2999" t="s">
        <v>2565</v>
      </c>
      <c r="D95" s="2999" t="s">
        <v>2566</v>
      </c>
      <c r="E95" s="3022">
        <v>0.15</v>
      </c>
      <c r="F95" s="3021">
        <v>20</v>
      </c>
    </row>
    <row r="96" spans="1:6" s="971" customFormat="1">
      <c r="A96" s="3021">
        <v>24</v>
      </c>
      <c r="B96" s="3784"/>
      <c r="C96" s="2999" t="s">
        <v>2567</v>
      </c>
      <c r="D96" s="2999" t="s">
        <v>2568</v>
      </c>
      <c r="E96" s="3022">
        <v>0.1</v>
      </c>
      <c r="F96" s="3021">
        <v>15</v>
      </c>
    </row>
    <row r="97" spans="1:6" s="971" customFormat="1" ht="24">
      <c r="A97" s="3021">
        <v>25</v>
      </c>
      <c r="B97" s="3784"/>
      <c r="C97" s="2999" t="s">
        <v>2569</v>
      </c>
      <c r="D97" s="2999" t="s">
        <v>2570</v>
      </c>
      <c r="E97" s="3022">
        <v>0.1</v>
      </c>
      <c r="F97" s="3021">
        <v>15</v>
      </c>
    </row>
    <row r="98" spans="1:6" s="971" customFormat="1" ht="24">
      <c r="A98" s="3021">
        <v>26</v>
      </c>
      <c r="B98" s="3784"/>
      <c r="C98" s="2999" t="s">
        <v>2571</v>
      </c>
      <c r="D98" s="2999" t="s">
        <v>2572</v>
      </c>
      <c r="E98" s="3022">
        <v>0.1</v>
      </c>
      <c r="F98" s="3021">
        <v>15</v>
      </c>
    </row>
    <row r="99" spans="1:6" s="971" customFormat="1" ht="24">
      <c r="A99" s="3021">
        <v>27</v>
      </c>
      <c r="B99" s="3784"/>
      <c r="C99" s="2999" t="s">
        <v>2573</v>
      </c>
      <c r="D99" s="2999" t="s">
        <v>2574</v>
      </c>
      <c r="E99" s="3022">
        <v>0.1</v>
      </c>
      <c r="F99" s="3021">
        <v>15</v>
      </c>
    </row>
    <row r="100" spans="1:6" s="971" customFormat="1" ht="24">
      <c r="A100" s="3021">
        <v>28</v>
      </c>
      <c r="B100" s="3784"/>
      <c r="C100" s="2999" t="s">
        <v>2575</v>
      </c>
      <c r="D100" s="2999" t="s">
        <v>2576</v>
      </c>
      <c r="E100" s="3022">
        <v>0.1</v>
      </c>
      <c r="F100" s="3021">
        <v>15</v>
      </c>
    </row>
    <row r="101" spans="1:6" s="971" customFormat="1" ht="24">
      <c r="A101" s="3021">
        <v>29</v>
      </c>
      <c r="B101" s="3784"/>
      <c r="C101" s="2999" t="s">
        <v>2577</v>
      </c>
      <c r="D101" s="2999" t="s">
        <v>2578</v>
      </c>
      <c r="E101" s="3022">
        <v>0.1</v>
      </c>
      <c r="F101" s="3021">
        <v>15</v>
      </c>
    </row>
    <row r="102" spans="1:6" s="971" customFormat="1" ht="24">
      <c r="A102" s="3021">
        <v>30</v>
      </c>
      <c r="B102" s="3784"/>
      <c r="C102" s="2999" t="s">
        <v>2579</v>
      </c>
      <c r="D102" s="2999" t="s">
        <v>2580</v>
      </c>
      <c r="E102" s="3022">
        <v>0.1</v>
      </c>
      <c r="F102" s="3021">
        <v>15</v>
      </c>
    </row>
    <row r="103" spans="1:6" s="971" customFormat="1" ht="24">
      <c r="A103" s="3021">
        <v>31</v>
      </c>
      <c r="B103" s="3784"/>
      <c r="C103" s="2999" t="s">
        <v>2581</v>
      </c>
      <c r="D103" s="2999" t="s">
        <v>2582</v>
      </c>
      <c r="E103" s="3022">
        <v>0.1</v>
      </c>
      <c r="F103" s="3021">
        <v>15</v>
      </c>
    </row>
    <row r="104" spans="1:6" s="971" customFormat="1" ht="24">
      <c r="A104" s="3021">
        <v>32</v>
      </c>
      <c r="B104" s="3784"/>
      <c r="C104" s="2999" t="s">
        <v>2583</v>
      </c>
      <c r="D104" s="2999" t="s">
        <v>2584</v>
      </c>
      <c r="E104" s="3022">
        <v>0.1</v>
      </c>
      <c r="F104" s="3021">
        <v>15</v>
      </c>
    </row>
    <row r="105" spans="1:6" s="971" customFormat="1" ht="24">
      <c r="A105" s="3021">
        <v>33</v>
      </c>
      <c r="B105" s="3784"/>
      <c r="C105" s="2999" t="s">
        <v>2585</v>
      </c>
      <c r="D105" s="2999" t="s">
        <v>2586</v>
      </c>
      <c r="E105" s="3022">
        <v>0.1</v>
      </c>
      <c r="F105" s="3021">
        <v>15</v>
      </c>
    </row>
    <row r="106" spans="1:6" s="971" customFormat="1" ht="24">
      <c r="A106" s="3021">
        <v>34</v>
      </c>
      <c r="B106" s="3790"/>
      <c r="C106" s="2999" t="s">
        <v>2587</v>
      </c>
      <c r="D106" s="2999" t="s">
        <v>2588</v>
      </c>
      <c r="E106" s="3022">
        <v>0.1</v>
      </c>
      <c r="F106" s="3021">
        <v>15</v>
      </c>
    </row>
    <row r="107" spans="1:6" s="971" customFormat="1" ht="24">
      <c r="A107" s="3021">
        <v>35</v>
      </c>
      <c r="B107" s="3789" t="s">
        <v>2589</v>
      </c>
      <c r="C107" s="3021" t="s">
        <v>2590</v>
      </c>
      <c r="D107" s="2999" t="s">
        <v>2591</v>
      </c>
      <c r="E107" s="3022">
        <v>0.15</v>
      </c>
      <c r="F107" s="3021">
        <v>20</v>
      </c>
    </row>
    <row r="108" spans="1:6" s="971" customFormat="1" ht="24">
      <c r="A108" s="3021">
        <v>36</v>
      </c>
      <c r="B108" s="3784"/>
      <c r="C108" s="3021" t="s">
        <v>2592</v>
      </c>
      <c r="D108" s="2999" t="s">
        <v>2593</v>
      </c>
      <c r="E108" s="3022">
        <v>0.15</v>
      </c>
      <c r="F108" s="3021">
        <v>20</v>
      </c>
    </row>
    <row r="109" spans="1:6" s="971" customFormat="1" ht="24">
      <c r="A109" s="3021">
        <v>37</v>
      </c>
      <c r="B109" s="3784"/>
      <c r="C109" s="3021" t="s">
        <v>2594</v>
      </c>
      <c r="D109" s="2999" t="s">
        <v>2595</v>
      </c>
      <c r="E109" s="3022">
        <v>0.15</v>
      </c>
      <c r="F109" s="3021">
        <v>20</v>
      </c>
    </row>
    <row r="110" spans="1:6" s="971" customFormat="1">
      <c r="A110" s="3021">
        <v>38</v>
      </c>
      <c r="B110" s="3784"/>
      <c r="C110" s="3021" t="s">
        <v>2596</v>
      </c>
      <c r="D110" s="2999" t="s">
        <v>2597</v>
      </c>
      <c r="E110" s="3022">
        <v>0.1</v>
      </c>
      <c r="F110" s="3021">
        <v>15</v>
      </c>
    </row>
    <row r="111" spans="1:6" s="971" customFormat="1" ht="24">
      <c r="A111" s="3021">
        <v>39</v>
      </c>
      <c r="B111" s="3784"/>
      <c r="C111" s="3021" t="s">
        <v>2598</v>
      </c>
      <c r="D111" s="2999" t="s">
        <v>2599</v>
      </c>
      <c r="E111" s="3022">
        <v>0.1</v>
      </c>
      <c r="F111" s="3021">
        <v>15</v>
      </c>
    </row>
    <row r="112" spans="1:6" s="971" customFormat="1" ht="24">
      <c r="A112" s="3021">
        <v>40</v>
      </c>
      <c r="B112" s="3790"/>
      <c r="C112" s="3021" t="s">
        <v>2600</v>
      </c>
      <c r="D112" s="2999" t="s">
        <v>2601</v>
      </c>
      <c r="E112" s="3022">
        <v>0.1</v>
      </c>
      <c r="F112" s="3021">
        <v>15</v>
      </c>
    </row>
    <row r="113" spans="1:6" s="971" customFormat="1" ht="24">
      <c r="A113" s="3021">
        <v>41</v>
      </c>
      <c r="B113" s="3791" t="s">
        <v>2602</v>
      </c>
      <c r="C113" s="3021" t="s">
        <v>2603</v>
      </c>
      <c r="D113" s="2999" t="s">
        <v>2604</v>
      </c>
      <c r="E113" s="3022">
        <v>0.1</v>
      </c>
      <c r="F113" s="3021">
        <v>15</v>
      </c>
    </row>
    <row r="114" spans="1:6" s="971" customFormat="1">
      <c r="A114" s="3021">
        <v>42</v>
      </c>
      <c r="B114" s="3791"/>
      <c r="C114" s="3021" t="s">
        <v>2605</v>
      </c>
      <c r="D114" s="2999" t="s">
        <v>2606</v>
      </c>
      <c r="E114" s="3022">
        <v>0.1</v>
      </c>
      <c r="F114" s="3021">
        <v>15</v>
      </c>
    </row>
    <row r="115" spans="1:6" s="971" customFormat="1" ht="24">
      <c r="A115" s="3021">
        <v>43</v>
      </c>
      <c r="B115" s="3791"/>
      <c r="C115" s="3021" t="s">
        <v>2607</v>
      </c>
      <c r="D115" s="2999" t="s">
        <v>2608</v>
      </c>
      <c r="E115" s="3022">
        <v>0.1</v>
      </c>
      <c r="F115" s="3021">
        <v>15</v>
      </c>
    </row>
    <row r="116" spans="1:6" s="971" customFormat="1" ht="24">
      <c r="A116" s="3021">
        <v>44</v>
      </c>
      <c r="B116" s="3789" t="s">
        <v>2609</v>
      </c>
      <c r="C116" s="3021" t="s">
        <v>2610</v>
      </c>
      <c r="D116" s="2999" t="s">
        <v>2611</v>
      </c>
      <c r="E116" s="3022">
        <v>0.1</v>
      </c>
      <c r="F116" s="3021">
        <v>15</v>
      </c>
    </row>
    <row r="117" spans="1:6" s="971" customFormat="1" ht="24">
      <c r="A117" s="3021">
        <v>45</v>
      </c>
      <c r="B117" s="3790"/>
      <c r="C117" s="2999" t="s">
        <v>2612</v>
      </c>
      <c r="D117" s="2999" t="s">
        <v>2613</v>
      </c>
      <c r="E117" s="3022">
        <v>0.1</v>
      </c>
      <c r="F117" s="3021">
        <v>15</v>
      </c>
    </row>
    <row r="118" spans="1:6" s="971" customFormat="1" ht="24">
      <c r="A118" s="3021">
        <v>46</v>
      </c>
      <c r="B118" s="3789" t="s">
        <v>2614</v>
      </c>
      <c r="C118" s="3021" t="s">
        <v>2615</v>
      </c>
      <c r="D118" s="2999" t="s">
        <v>2616</v>
      </c>
      <c r="E118" s="3022">
        <v>0.1</v>
      </c>
      <c r="F118" s="3021">
        <v>15</v>
      </c>
    </row>
    <row r="119" spans="1:6" s="971" customFormat="1" ht="24">
      <c r="A119" s="3021">
        <v>47</v>
      </c>
      <c r="B119" s="3790"/>
      <c r="C119" s="3021" t="s">
        <v>2617</v>
      </c>
      <c r="D119" s="2999" t="s">
        <v>2618</v>
      </c>
      <c r="E119" s="3022">
        <v>0.1</v>
      </c>
      <c r="F119" s="3021">
        <v>15</v>
      </c>
    </row>
    <row r="120" spans="1:6" s="971" customFormat="1" ht="24">
      <c r="A120" s="3021">
        <v>48</v>
      </c>
      <c r="B120" s="3789" t="s">
        <v>2619</v>
      </c>
      <c r="C120" s="3021" t="s">
        <v>2620</v>
      </c>
      <c r="D120" s="2999" t="s">
        <v>2621</v>
      </c>
      <c r="E120" s="3022">
        <v>0.1</v>
      </c>
      <c r="F120" s="3021">
        <v>15</v>
      </c>
    </row>
    <row r="121" spans="1:6" s="971" customFormat="1">
      <c r="A121" s="3021">
        <v>49</v>
      </c>
      <c r="B121" s="3790"/>
      <c r="C121" s="3021" t="s">
        <v>2622</v>
      </c>
      <c r="D121" s="2999" t="s">
        <v>2623</v>
      </c>
      <c r="E121" s="3022">
        <v>0.1</v>
      </c>
      <c r="F121" s="3021">
        <v>15</v>
      </c>
    </row>
    <row r="122" spans="1:6" s="971" customFormat="1" ht="24">
      <c r="A122" s="3021">
        <v>50</v>
      </c>
      <c r="B122" s="3791" t="s">
        <v>2624</v>
      </c>
      <c r="C122" s="3021" t="s">
        <v>2625</v>
      </c>
      <c r="D122" s="2999" t="s">
        <v>2626</v>
      </c>
      <c r="E122" s="3022">
        <v>0.1</v>
      </c>
      <c r="F122" s="3021">
        <v>15</v>
      </c>
    </row>
    <row r="123" spans="1:6" s="971" customFormat="1" ht="24">
      <c r="A123" s="3021">
        <v>51</v>
      </c>
      <c r="B123" s="3791"/>
      <c r="C123" s="3021" t="s">
        <v>2627</v>
      </c>
      <c r="D123" s="2999" t="s">
        <v>2628</v>
      </c>
      <c r="E123" s="3022">
        <v>0.1</v>
      </c>
      <c r="F123" s="3021">
        <v>15</v>
      </c>
    </row>
    <row r="124" spans="1:6" s="971" customFormat="1" ht="24">
      <c r="A124" s="3021">
        <v>52</v>
      </c>
      <c r="B124" s="3791" t="s">
        <v>2629</v>
      </c>
      <c r="C124" s="3021" t="s">
        <v>2630</v>
      </c>
      <c r="D124" s="2999" t="s">
        <v>2631</v>
      </c>
      <c r="E124" s="3022">
        <v>0.1</v>
      </c>
      <c r="F124" s="3021">
        <v>15</v>
      </c>
    </row>
    <row r="125" spans="1:6" s="971" customFormat="1" ht="24">
      <c r="A125" s="3021">
        <v>53</v>
      </c>
      <c r="B125" s="3791"/>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91" t="s">
        <v>2637</v>
      </c>
      <c r="C127" s="3021" t="s">
        <v>2638</v>
      </c>
      <c r="D127" s="2999" t="s">
        <v>2639</v>
      </c>
      <c r="E127" s="3022">
        <v>0.1</v>
      </c>
      <c r="F127" s="3021">
        <v>15</v>
      </c>
    </row>
    <row r="128" spans="1:6">
      <c r="A128" s="3021">
        <v>56</v>
      </c>
      <c r="B128" s="3791"/>
      <c r="C128" s="3021" t="s">
        <v>2640</v>
      </c>
      <c r="D128" s="2999" t="s">
        <v>2641</v>
      </c>
      <c r="E128" s="3022">
        <v>0.1</v>
      </c>
      <c r="F128" s="3021">
        <v>15</v>
      </c>
    </row>
    <row r="129" spans="1:14" ht="24">
      <c r="A129" s="3021">
        <v>57</v>
      </c>
      <c r="B129" s="3791"/>
      <c r="C129" s="3021" t="s">
        <v>2642</v>
      </c>
      <c r="D129" s="2999" t="s">
        <v>2643</v>
      </c>
      <c r="E129" s="3022">
        <v>0.1</v>
      </c>
      <c r="F129" s="3021">
        <v>15</v>
      </c>
    </row>
    <row r="130" spans="1:14" ht="24">
      <c r="A130" s="3021">
        <v>58</v>
      </c>
      <c r="B130" s="3791" t="s">
        <v>2644</v>
      </c>
      <c r="C130" s="3021" t="s">
        <v>2645</v>
      </c>
      <c r="D130" s="2999" t="s">
        <v>2646</v>
      </c>
      <c r="E130" s="3022">
        <v>0.1</v>
      </c>
      <c r="F130" s="3021">
        <v>15</v>
      </c>
    </row>
    <row r="131" spans="1:14" ht="24">
      <c r="A131" s="3021">
        <v>59</v>
      </c>
      <c r="B131" s="3791"/>
      <c r="C131" s="3021" t="s">
        <v>2647</v>
      </c>
      <c r="D131" s="2999" t="s">
        <v>2648</v>
      </c>
      <c r="E131" s="3022">
        <v>0.1</v>
      </c>
      <c r="F131" s="3021">
        <v>15</v>
      </c>
    </row>
    <row r="132" spans="1:14" ht="24">
      <c r="A132" s="3021">
        <v>60</v>
      </c>
      <c r="B132" s="3789" t="s">
        <v>2649</v>
      </c>
      <c r="C132" s="3021" t="s">
        <v>2650</v>
      </c>
      <c r="D132" s="2999" t="s">
        <v>2651</v>
      </c>
      <c r="E132" s="3022">
        <v>0.1</v>
      </c>
      <c r="F132" s="3021">
        <v>15</v>
      </c>
    </row>
    <row r="133" spans="1:14" ht="24">
      <c r="A133" s="3021">
        <v>61</v>
      </c>
      <c r="B133" s="3790"/>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91" t="s">
        <v>2657</v>
      </c>
      <c r="C135" s="3021" t="s">
        <v>2658</v>
      </c>
      <c r="D135" s="2999" t="s">
        <v>2659</v>
      </c>
      <c r="E135" s="3022">
        <v>0.1</v>
      </c>
      <c r="F135" s="3021">
        <v>15</v>
      </c>
    </row>
    <row r="136" spans="1:14">
      <c r="A136" s="3021">
        <v>64</v>
      </c>
      <c r="B136" s="3791"/>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2" t="s">
        <v>2803</v>
      </c>
      <c r="B1" s="3792"/>
      <c r="C1" s="3792"/>
      <c r="D1" s="3792"/>
      <c r="E1" s="3792"/>
      <c r="F1" s="3792"/>
      <c r="G1" s="3793"/>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4"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5"/>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96" t="s">
        <v>3178</v>
      </c>
      <c r="B1" s="3796"/>
      <c r="C1" s="3796"/>
      <c r="D1" s="3796"/>
      <c r="E1" s="3796"/>
      <c r="F1" s="3797"/>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SUMPRODUCT((A95:A184=ROUNDDOWN([8]基准地价修正!G3,1))*(B94:M94=[8]基准地价修正!G2)*(B95:M184))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SUMPRODUCT((A371:A460=ROUNDDOWN([8]基准地价修正!G3,1))*(B370:M370=[8]基准地价修正!G2)*(B371:M460))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798" t="s">
        <v>3016</v>
      </c>
      <c r="B1" s="3798"/>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6" t="s">
        <v>1858</v>
      </c>
      <c r="C1" s="3806"/>
      <c r="D1" s="3806"/>
      <c r="E1" s="3806"/>
      <c r="F1" s="3806"/>
      <c r="G1" s="3805" t="s">
        <v>1859</v>
      </c>
      <c r="H1" s="3805"/>
      <c r="I1" s="3805"/>
      <c r="J1" s="3805"/>
      <c r="K1" s="3805"/>
      <c r="L1" s="3805"/>
      <c r="N1" s="3805" t="s">
        <v>1860</v>
      </c>
      <c r="O1" s="3805"/>
      <c r="P1" s="3805"/>
      <c r="Q1" s="3805"/>
      <c r="S1" s="3805" t="s">
        <v>1861</v>
      </c>
      <c r="T1" s="3805"/>
      <c r="U1" s="3805"/>
      <c r="V1" s="3805"/>
      <c r="X1" s="3804" t="s">
        <v>1921</v>
      </c>
      <c r="Y1" s="3805"/>
      <c r="Z1" s="3805"/>
      <c r="AA1" s="3805"/>
      <c r="AB1" s="3805"/>
      <c r="AD1" s="3804" t="s">
        <v>1925</v>
      </c>
      <c r="AE1" s="3805"/>
      <c r="AF1" s="3805"/>
      <c r="AG1" s="3805"/>
      <c r="AH1" s="3805"/>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800">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800"/>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800"/>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01"/>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799">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800"/>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800"/>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01"/>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799">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800"/>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800"/>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3"/>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2">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800"/>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800"/>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3"/>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2">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800"/>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800"/>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3"/>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7">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08"/>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08"/>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09"/>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2">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800"/>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800"/>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3"/>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2">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800">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800">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3">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2">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800">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800">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3">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2">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800">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800">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3">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2">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800">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800">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3">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2">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800">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800">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3">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2">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800">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800">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3">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2">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800">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800">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3">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2">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800">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800">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3">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2">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800">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800">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3">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2">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800">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800">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3">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10" t="s">
        <v>2789</v>
      </c>
      <c r="S1" s="3811"/>
      <c r="T1" s="3811"/>
      <c r="U1" s="3811"/>
      <c r="V1" s="3811"/>
      <c r="W1" s="3811"/>
      <c r="X1" s="3088"/>
      <c r="Y1" s="3810" t="s">
        <v>2800</v>
      </c>
      <c r="Z1" s="3811"/>
      <c r="AA1" s="3811"/>
      <c r="AB1" s="3811"/>
      <c r="AC1" s="3811"/>
      <c r="AD1" s="3811"/>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10" t="s">
        <v>2796</v>
      </c>
      <c r="S26" s="3811"/>
      <c r="T26" s="3811"/>
      <c r="U26" s="3811"/>
      <c r="V26" s="3811"/>
      <c r="W26" s="3811"/>
      <c r="X26" s="3088"/>
      <c r="Y26" s="3810" t="s">
        <v>1925</v>
      </c>
      <c r="Z26" s="3811"/>
      <c r="AA26" s="3811"/>
      <c r="AB26" s="3811"/>
      <c r="AC26" s="3811"/>
      <c r="AD26" s="3811"/>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Normal="60" zoomScaleSheetLayoutView="100" workbookViewId="0">
      <selection activeCell="D3" sqref="D3"/>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3732</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407076</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85478</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16" t="s">
        <v>471</v>
      </c>
      <c r="D4" s="3717"/>
      <c r="E4" s="3756" t="s">
        <v>472</v>
      </c>
      <c r="F4" s="3757"/>
      <c r="G4" s="3716" t="s">
        <v>473</v>
      </c>
      <c r="H4" s="3717"/>
      <c r="I4" s="3716" t="s">
        <v>474</v>
      </c>
      <c r="J4" s="3717"/>
      <c r="K4" s="786" t="s">
        <v>475</v>
      </c>
      <c r="L4" s="1739"/>
      <c r="M4" s="1740"/>
      <c r="N4" s="1740"/>
      <c r="O4" s="1740"/>
      <c r="P4" s="3718" t="s">
        <v>476</v>
      </c>
      <c r="Q4" s="3719"/>
      <c r="R4" s="3724" t="s">
        <v>472</v>
      </c>
      <c r="S4" s="3725"/>
      <c r="T4" s="3724" t="s">
        <v>473</v>
      </c>
      <c r="U4" s="3725"/>
      <c r="V4" s="3711" t="s">
        <v>474</v>
      </c>
      <c r="W4" s="3711"/>
      <c r="X4" s="1300"/>
      <c r="Y4" s="3724" t="s">
        <v>476</v>
      </c>
      <c r="Z4" s="3725"/>
      <c r="AA4" s="3713" t="s">
        <v>472</v>
      </c>
      <c r="AB4" s="3713" t="s">
        <v>473</v>
      </c>
      <c r="AC4" s="3713" t="s">
        <v>474</v>
      </c>
    </row>
    <row r="5" spans="1:29" ht="15">
      <c r="A5" s="465"/>
      <c r="B5" s="466"/>
      <c r="C5" s="3732" t="s">
        <v>2183</v>
      </c>
      <c r="D5" s="3733"/>
      <c r="E5" s="3814" t="s">
        <v>3713</v>
      </c>
      <c r="F5" s="3733"/>
      <c r="G5" s="3814" t="s">
        <v>3722</v>
      </c>
      <c r="H5" s="3733"/>
      <c r="I5" s="3814" t="s">
        <v>3723</v>
      </c>
      <c r="J5" s="3733"/>
      <c r="K5" s="787"/>
      <c r="L5" s="1739"/>
      <c r="M5" s="1740"/>
      <c r="N5" s="1740"/>
      <c r="O5" s="1740"/>
      <c r="P5" s="3720"/>
      <c r="Q5" s="3721"/>
      <c r="R5" s="3726"/>
      <c r="S5" s="3727"/>
      <c r="T5" s="3726"/>
      <c r="U5" s="3727"/>
      <c r="V5" s="3711"/>
      <c r="W5" s="3711"/>
      <c r="X5" s="1300"/>
      <c r="Y5" s="3726"/>
      <c r="Z5" s="3727"/>
      <c r="AA5" s="3714"/>
      <c r="AB5" s="3714"/>
      <c r="AC5" s="3714"/>
    </row>
    <row r="6" spans="1:29" ht="15.75" thickBot="1">
      <c r="A6" s="467"/>
      <c r="B6" s="468"/>
      <c r="C6" s="3730" t="s">
        <v>2187</v>
      </c>
      <c r="D6" s="3731"/>
      <c r="E6" s="3730" t="s">
        <v>3714</v>
      </c>
      <c r="F6" s="3731"/>
      <c r="G6" s="3730" t="s">
        <v>3714</v>
      </c>
      <c r="H6" s="3731"/>
      <c r="I6" s="3730" t="s">
        <v>2187</v>
      </c>
      <c r="J6" s="3731"/>
      <c r="K6" s="787" t="s">
        <v>477</v>
      </c>
      <c r="L6" s="1739"/>
      <c r="M6" s="1740"/>
      <c r="N6" s="1740"/>
      <c r="O6" s="1740"/>
      <c r="P6" s="3722"/>
      <c r="Q6" s="3723"/>
      <c r="R6" s="3726"/>
      <c r="S6" s="3727"/>
      <c r="T6" s="3728"/>
      <c r="U6" s="3729"/>
      <c r="V6" s="3711"/>
      <c r="W6" s="3711"/>
      <c r="X6" s="1300"/>
      <c r="Y6" s="3728"/>
      <c r="Z6" s="3729"/>
      <c r="AA6" s="3715"/>
      <c r="AB6" s="3715"/>
      <c r="AC6" s="3715"/>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41" t="s">
        <v>479</v>
      </c>
      <c r="Q7" s="3743"/>
      <c r="R7" s="1301" t="s">
        <v>10</v>
      </c>
      <c r="S7" s="1302">
        <f t="shared" ref="S7:S15" si="0">F7</f>
        <v>100</v>
      </c>
      <c r="T7" s="1301" t="s">
        <v>10</v>
      </c>
      <c r="U7" s="1302">
        <f t="shared" ref="U7:U15" si="1">H7</f>
        <v>100</v>
      </c>
      <c r="V7" s="1301" t="s">
        <v>10</v>
      </c>
      <c r="W7" s="1302">
        <f t="shared" ref="W7:W15" si="2">J7</f>
        <v>100</v>
      </c>
      <c r="X7" s="1303"/>
      <c r="Y7" s="3741" t="s">
        <v>479</v>
      </c>
      <c r="Z7" s="3742"/>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41" t="s">
        <v>482</v>
      </c>
      <c r="Q8" s="3742"/>
      <c r="R8" s="1301" t="s">
        <v>10</v>
      </c>
      <c r="S8" s="1302">
        <f t="shared" si="0"/>
        <v>100</v>
      </c>
      <c r="T8" s="1301" t="s">
        <v>10</v>
      </c>
      <c r="U8" s="1302">
        <f t="shared" si="1"/>
        <v>100</v>
      </c>
      <c r="V8" s="1301" t="s">
        <v>10</v>
      </c>
      <c r="W8" s="1302">
        <f t="shared" si="2"/>
        <v>100</v>
      </c>
      <c r="X8" s="1303"/>
      <c r="Y8" s="3741" t="s">
        <v>482</v>
      </c>
      <c r="Z8" s="3742"/>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10" t="s">
        <v>484</v>
      </c>
      <c r="Q9" s="815" t="str">
        <f t="shared" ref="Q9:Q15" si="6">B9</f>
        <v>用途</v>
      </c>
      <c r="R9" s="1301" t="s">
        <v>5</v>
      </c>
      <c r="S9" s="1302">
        <f t="shared" si="0"/>
        <v>100</v>
      </c>
      <c r="T9" s="1301" t="s">
        <v>5</v>
      </c>
      <c r="U9" s="1302">
        <f t="shared" si="1"/>
        <v>100</v>
      </c>
      <c r="V9" s="1301" t="s">
        <v>5</v>
      </c>
      <c r="W9" s="1302">
        <f t="shared" si="2"/>
        <v>100</v>
      </c>
      <c r="X9" s="1303"/>
      <c r="Y9" s="3658"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1.6</v>
      </c>
      <c r="J11" s="234">
        <f>LOOKUP(I11,68:68,69:69)-LOOKUP(C11,68:68,69:69)+100</f>
        <v>102</v>
      </c>
      <c r="K11" s="793">
        <v>2</v>
      </c>
      <c r="L11" s="1745"/>
      <c r="M11" s="1740"/>
      <c r="N11" s="1740"/>
      <c r="O11" s="1746"/>
      <c r="P11" s="3710"/>
      <c r="Q11" s="815" t="str">
        <f t="shared" si="6"/>
        <v>容积率</v>
      </c>
      <c r="R11" s="1301" t="s">
        <v>8</v>
      </c>
      <c r="S11" s="1302">
        <f t="shared" si="0"/>
        <v>100</v>
      </c>
      <c r="T11" s="1301" t="s">
        <v>8</v>
      </c>
      <c r="U11" s="1302">
        <f t="shared" si="1"/>
        <v>100</v>
      </c>
      <c r="V11" s="1301" t="s">
        <v>8</v>
      </c>
      <c r="W11" s="1302">
        <f t="shared" si="2"/>
        <v>102</v>
      </c>
      <c r="X11" s="1303"/>
      <c r="Y11" s="3658"/>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10"/>
      <c r="Q12" s="815">
        <f t="shared" si="6"/>
        <v>111</v>
      </c>
      <c r="R12" s="1301" t="s">
        <v>8</v>
      </c>
      <c r="S12" s="1302">
        <f t="shared" si="0"/>
        <v>100</v>
      </c>
      <c r="T12" s="1301" t="s">
        <v>8</v>
      </c>
      <c r="U12" s="1302">
        <f t="shared" si="1"/>
        <v>100</v>
      </c>
      <c r="V12" s="1301" t="s">
        <v>8</v>
      </c>
      <c r="W12" s="1302">
        <f t="shared" si="2"/>
        <v>100</v>
      </c>
      <c r="X12" s="1303"/>
      <c r="Y12" s="3658"/>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10"/>
      <c r="Q13" s="815">
        <f t="shared" si="6"/>
        <v>111</v>
      </c>
      <c r="R13" s="1301" t="s">
        <v>8</v>
      </c>
      <c r="S13" s="1302">
        <f t="shared" si="0"/>
        <v>100</v>
      </c>
      <c r="T13" s="1301" t="s">
        <v>8</v>
      </c>
      <c r="U13" s="1302">
        <f t="shared" si="1"/>
        <v>100</v>
      </c>
      <c r="V13" s="1301" t="s">
        <v>8</v>
      </c>
      <c r="W13" s="1302">
        <f t="shared" si="2"/>
        <v>100</v>
      </c>
      <c r="X13" s="1303"/>
      <c r="Y13" s="3658"/>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10"/>
      <c r="Q14" s="815">
        <f t="shared" si="6"/>
        <v>111</v>
      </c>
      <c r="R14" s="1301" t="s">
        <v>8</v>
      </c>
      <c r="S14" s="1302">
        <f t="shared" si="0"/>
        <v>100</v>
      </c>
      <c r="T14" s="1301" t="s">
        <v>8</v>
      </c>
      <c r="U14" s="1302">
        <f t="shared" si="1"/>
        <v>100</v>
      </c>
      <c r="V14" s="1301" t="s">
        <v>8</v>
      </c>
      <c r="W14" s="1302">
        <f t="shared" si="2"/>
        <v>100</v>
      </c>
      <c r="X14" s="1303"/>
      <c r="Y14" s="3658"/>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102</v>
      </c>
      <c r="K15" s="797">
        <v>2</v>
      </c>
      <c r="L15" s="1747"/>
      <c r="M15" s="1740"/>
      <c r="N15" s="1740"/>
      <c r="O15" s="1746"/>
      <c r="P15" s="3744" t="s">
        <v>489</v>
      </c>
      <c r="Q15" s="1304" t="str">
        <f t="shared" si="6"/>
        <v>居住社区成熟度</v>
      </c>
      <c r="R15" s="1305" t="s">
        <v>8</v>
      </c>
      <c r="S15" s="1306">
        <f t="shared" si="0"/>
        <v>100</v>
      </c>
      <c r="T15" s="1305" t="s">
        <v>8</v>
      </c>
      <c r="U15" s="1306">
        <f t="shared" si="1"/>
        <v>100</v>
      </c>
      <c r="V15" s="1305" t="s">
        <v>8</v>
      </c>
      <c r="W15" s="1306">
        <f t="shared" si="2"/>
        <v>102</v>
      </c>
      <c r="X15" s="1300"/>
      <c r="Y15" s="3744" t="s">
        <v>489</v>
      </c>
      <c r="Z15" s="1307" t="str">
        <f t="shared" si="7"/>
        <v>居住社区成熟度</v>
      </c>
      <c r="AA15" s="1307">
        <f t="shared" si="3"/>
        <v>1</v>
      </c>
      <c r="AB15" s="1307">
        <f t="shared" si="4"/>
        <v>1</v>
      </c>
      <c r="AC15" s="1307">
        <f t="shared" si="5"/>
        <v>0.98039215686274506</v>
      </c>
    </row>
    <row r="16" spans="1:29" ht="15">
      <c r="A16" s="481"/>
      <c r="B16" s="798"/>
      <c r="C16" s="525" t="s">
        <v>3686</v>
      </c>
      <c r="D16" s="504"/>
      <c r="E16" s="525" t="s">
        <v>3686</v>
      </c>
      <c r="F16" s="506"/>
      <c r="G16" s="525" t="s">
        <v>3686</v>
      </c>
      <c r="H16" s="508"/>
      <c r="I16" s="525" t="s">
        <v>3685</v>
      </c>
      <c r="J16" s="504"/>
      <c r="K16" s="799"/>
      <c r="L16" s="1747"/>
      <c r="M16" s="1740"/>
      <c r="N16" s="1740"/>
      <c r="O16" s="1746"/>
      <c r="P16" s="3745"/>
      <c r="Q16" s="1304"/>
      <c r="R16" s="1305"/>
      <c r="S16" s="1306"/>
      <c r="T16" s="1305"/>
      <c r="U16" s="1306"/>
      <c r="V16" s="1305"/>
      <c r="W16" s="1306"/>
      <c r="X16" s="1300"/>
      <c r="Y16" s="3745"/>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45"/>
      <c r="Q17" s="1304" t="str">
        <f>B17</f>
        <v>交通便捷度</v>
      </c>
      <c r="R17" s="1305" t="s">
        <v>8</v>
      </c>
      <c r="S17" s="1306">
        <f>F17</f>
        <v>97</v>
      </c>
      <c r="T17" s="1305" t="s">
        <v>8</v>
      </c>
      <c r="U17" s="1306">
        <f>H17</f>
        <v>97</v>
      </c>
      <c r="V17" s="1305" t="s">
        <v>8</v>
      </c>
      <c r="W17" s="1306">
        <f>J17</f>
        <v>97</v>
      </c>
      <c r="X17" s="1300"/>
      <c r="Y17" s="3745"/>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45"/>
      <c r="Q18" s="1304"/>
      <c r="R18" s="1305"/>
      <c r="S18" s="1306"/>
      <c r="T18" s="1305"/>
      <c r="U18" s="1306"/>
      <c r="V18" s="1305"/>
      <c r="W18" s="1306"/>
      <c r="X18" s="1300"/>
      <c r="Y18" s="3745"/>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102</v>
      </c>
      <c r="K19" s="797">
        <f>'比较法-住宅、综合'!K29</f>
        <v>2</v>
      </c>
      <c r="L19" s="1747"/>
      <c r="M19" s="1740"/>
      <c r="N19" s="1740"/>
      <c r="O19" s="1746"/>
      <c r="P19" s="3745"/>
      <c r="Q19" s="1304" t="str">
        <f>B19</f>
        <v>公共配套设施</v>
      </c>
      <c r="R19" s="1305" t="s">
        <v>8</v>
      </c>
      <c r="S19" s="1306">
        <f>F19</f>
        <v>100</v>
      </c>
      <c r="T19" s="1305" t="s">
        <v>8</v>
      </c>
      <c r="U19" s="1306">
        <f>H19</f>
        <v>100</v>
      </c>
      <c r="V19" s="1305" t="s">
        <v>8</v>
      </c>
      <c r="W19" s="1306">
        <f>J19</f>
        <v>102</v>
      </c>
      <c r="X19" s="1300"/>
      <c r="Y19" s="3745"/>
      <c r="Z19" s="1307" t="str">
        <f>Q19</f>
        <v>公共配套设施</v>
      </c>
      <c r="AA19" s="1307">
        <f t="shared" si="3"/>
        <v>1</v>
      </c>
      <c r="AB19" s="1307">
        <f t="shared" si="4"/>
        <v>1</v>
      </c>
      <c r="AC19" s="1307">
        <f t="shared" si="5"/>
        <v>0.98039215686274506</v>
      </c>
    </row>
    <row r="20" spans="1:29" ht="15">
      <c r="A20" s="481"/>
      <c r="B20" s="543"/>
      <c r="C20" s="525" t="s">
        <v>3686</v>
      </c>
      <c r="D20" s="504"/>
      <c r="E20" s="525" t="s">
        <v>3686</v>
      </c>
      <c r="F20" s="506"/>
      <c r="G20" s="525" t="s">
        <v>3686</v>
      </c>
      <c r="H20" s="504"/>
      <c r="I20" s="505" t="s">
        <v>3685</v>
      </c>
      <c r="J20" s="504"/>
      <c r="K20" s="799"/>
      <c r="L20" s="1747"/>
      <c r="M20" s="1740"/>
      <c r="N20" s="1740"/>
      <c r="O20" s="1746"/>
      <c r="P20" s="3745"/>
      <c r="Q20" s="1304"/>
      <c r="R20" s="1305"/>
      <c r="S20" s="1306"/>
      <c r="T20" s="1305"/>
      <c r="U20" s="1306"/>
      <c r="V20" s="1305"/>
      <c r="W20" s="1306"/>
      <c r="X20" s="1300"/>
      <c r="Y20" s="3745"/>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45"/>
      <c r="Q21" s="1304" t="str">
        <f>B21</f>
        <v>基础设施水平</v>
      </c>
      <c r="R21" s="1305" t="s">
        <v>8</v>
      </c>
      <c r="S21" s="1306">
        <f>F21</f>
        <v>100</v>
      </c>
      <c r="T21" s="1305" t="s">
        <v>8</v>
      </c>
      <c r="U21" s="1306">
        <f>H21</f>
        <v>100</v>
      </c>
      <c r="V21" s="1305" t="s">
        <v>8</v>
      </c>
      <c r="W21" s="1306">
        <f>J21</f>
        <v>100</v>
      </c>
      <c r="X21" s="1300"/>
      <c r="Y21" s="3745"/>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45"/>
      <c r="Q22" s="1304"/>
      <c r="R22" s="1305"/>
      <c r="S22" s="1306"/>
      <c r="T22" s="1305"/>
      <c r="U22" s="1306"/>
      <c r="V22" s="1305"/>
      <c r="W22" s="1306"/>
      <c r="X22" s="1300"/>
      <c r="Y22" s="3745"/>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102</v>
      </c>
      <c r="K23" s="797">
        <f>'比较法-住宅、综合'!K27</f>
        <v>2</v>
      </c>
      <c r="L23" s="1747"/>
      <c r="M23" s="1740"/>
      <c r="N23" s="1740"/>
      <c r="O23" s="1746"/>
      <c r="P23" s="3745"/>
      <c r="Q23" s="1304" t="str">
        <f>B23</f>
        <v>自然及人文环境</v>
      </c>
      <c r="R23" s="1305" t="s">
        <v>8</v>
      </c>
      <c r="S23" s="1306">
        <f>F23</f>
        <v>100</v>
      </c>
      <c r="T23" s="1305" t="s">
        <v>8</v>
      </c>
      <c r="U23" s="1306">
        <f>H23</f>
        <v>100</v>
      </c>
      <c r="V23" s="1305" t="s">
        <v>8</v>
      </c>
      <c r="W23" s="1306">
        <f>J23</f>
        <v>102</v>
      </c>
      <c r="X23" s="1300"/>
      <c r="Y23" s="3745"/>
      <c r="Z23" s="1307" t="str">
        <f>Q23</f>
        <v>自然及人文环境</v>
      </c>
      <c r="AA23" s="1307">
        <f t="shared" si="3"/>
        <v>1</v>
      </c>
      <c r="AB23" s="1307">
        <f t="shared" si="4"/>
        <v>1</v>
      </c>
      <c r="AC23" s="1307">
        <f t="shared" si="5"/>
        <v>0.98039215686274506</v>
      </c>
    </row>
    <row r="24" spans="1:29" ht="15">
      <c r="A24" s="481"/>
      <c r="B24" s="543"/>
      <c r="C24" s="525" t="s">
        <v>3686</v>
      </c>
      <c r="D24" s="504"/>
      <c r="E24" s="525" t="s">
        <v>3686</v>
      </c>
      <c r="F24" s="506"/>
      <c r="G24" s="525" t="s">
        <v>3686</v>
      </c>
      <c r="H24" s="504"/>
      <c r="I24" s="505" t="s">
        <v>3685</v>
      </c>
      <c r="J24" s="504"/>
      <c r="K24" s="799"/>
      <c r="L24" s="1747"/>
      <c r="M24" s="1740"/>
      <c r="N24" s="1740"/>
      <c r="O24" s="1746"/>
      <c r="P24" s="3745"/>
      <c r="Q24" s="1304"/>
      <c r="R24" s="1305"/>
      <c r="S24" s="1306"/>
      <c r="T24" s="1305"/>
      <c r="U24" s="1306"/>
      <c r="V24" s="1305"/>
      <c r="W24" s="1306"/>
      <c r="X24" s="1300"/>
      <c r="Y24" s="3745"/>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45"/>
      <c r="Q25" s="1304" t="str">
        <f t="shared" ref="Q25:Q46" si="8">B25</f>
        <v>楼层-1</v>
      </c>
      <c r="R25" s="1305" t="s">
        <v>8</v>
      </c>
      <c r="S25" s="1306">
        <f>F25</f>
        <v>100</v>
      </c>
      <c r="T25" s="1305" t="s">
        <v>8</v>
      </c>
      <c r="U25" s="1306">
        <f>H25</f>
        <v>100</v>
      </c>
      <c r="V25" s="1305" t="s">
        <v>8</v>
      </c>
      <c r="W25" s="1306">
        <f>J25</f>
        <v>100</v>
      </c>
      <c r="X25" s="1300"/>
      <c r="Y25" s="3745"/>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45"/>
      <c r="Q26" s="1304" t="str">
        <f t="shared" si="8"/>
        <v>朝向</v>
      </c>
      <c r="R26" s="1305" t="s">
        <v>8</v>
      </c>
      <c r="S26" s="1306">
        <f>F26</f>
        <v>100</v>
      </c>
      <c r="T26" s="1305" t="s">
        <v>8</v>
      </c>
      <c r="U26" s="1306">
        <f>H26</f>
        <v>100</v>
      </c>
      <c r="V26" s="1305" t="s">
        <v>8</v>
      </c>
      <c r="W26" s="1306">
        <f>J26</f>
        <v>100</v>
      </c>
      <c r="X26" s="1300"/>
      <c r="Y26" s="3745"/>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45"/>
      <c r="Q27" s="815" t="str">
        <f t="shared" si="8"/>
        <v>道路级别</v>
      </c>
      <c r="R27" s="1301" t="s">
        <v>8</v>
      </c>
      <c r="S27" s="1302">
        <f>F27</f>
        <v>100</v>
      </c>
      <c r="T27" s="1301" t="s">
        <v>8</v>
      </c>
      <c r="U27" s="1302">
        <f>H27</f>
        <v>100</v>
      </c>
      <c r="V27" s="1301" t="s">
        <v>8</v>
      </c>
      <c r="W27" s="1302">
        <f>J27</f>
        <v>100</v>
      </c>
      <c r="X27" s="1303"/>
      <c r="Y27" s="3745"/>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45"/>
      <c r="Q28" s="1304">
        <f t="shared" si="8"/>
        <v>111</v>
      </c>
      <c r="R28" s="1305" t="s">
        <v>8</v>
      </c>
      <c r="S28" s="1306">
        <f t="shared" ref="S28:S46" si="9">F28</f>
        <v>100</v>
      </c>
      <c r="T28" s="1305" t="s">
        <v>8</v>
      </c>
      <c r="U28" s="1306">
        <f t="shared" ref="U28:U46" si="10">H28</f>
        <v>100</v>
      </c>
      <c r="V28" s="1305" t="s">
        <v>8</v>
      </c>
      <c r="W28" s="1306">
        <f t="shared" ref="W28:W46" si="11">J28</f>
        <v>100</v>
      </c>
      <c r="X28" s="1300"/>
      <c r="Y28" s="3745"/>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45"/>
      <c r="Q29" s="1304">
        <f t="shared" si="8"/>
        <v>111</v>
      </c>
      <c r="R29" s="1305" t="s">
        <v>8</v>
      </c>
      <c r="S29" s="1306">
        <f t="shared" si="9"/>
        <v>100</v>
      </c>
      <c r="T29" s="1305" t="s">
        <v>8</v>
      </c>
      <c r="U29" s="1306">
        <f t="shared" si="10"/>
        <v>100</v>
      </c>
      <c r="V29" s="1305" t="s">
        <v>8</v>
      </c>
      <c r="W29" s="1306">
        <f t="shared" si="11"/>
        <v>100</v>
      </c>
      <c r="X29" s="1300"/>
      <c r="Y29" s="3745"/>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45"/>
      <c r="Q30" s="1304">
        <f t="shared" si="8"/>
        <v>111</v>
      </c>
      <c r="R30" s="1305" t="s">
        <v>8</v>
      </c>
      <c r="S30" s="1306">
        <f t="shared" si="9"/>
        <v>100</v>
      </c>
      <c r="T30" s="1305" t="s">
        <v>8</v>
      </c>
      <c r="U30" s="1306">
        <f t="shared" si="10"/>
        <v>100</v>
      </c>
      <c r="V30" s="1305" t="s">
        <v>8</v>
      </c>
      <c r="W30" s="1306">
        <f t="shared" si="11"/>
        <v>100</v>
      </c>
      <c r="X30" s="1300"/>
      <c r="Y30" s="3745"/>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45"/>
      <c r="Q31" s="1304">
        <f t="shared" si="8"/>
        <v>111</v>
      </c>
      <c r="R31" s="1305" t="s">
        <v>8</v>
      </c>
      <c r="S31" s="1306">
        <f t="shared" si="9"/>
        <v>100</v>
      </c>
      <c r="T31" s="1305" t="s">
        <v>8</v>
      </c>
      <c r="U31" s="1306">
        <f t="shared" si="10"/>
        <v>100</v>
      </c>
      <c r="V31" s="1305" t="s">
        <v>8</v>
      </c>
      <c r="W31" s="1306">
        <f t="shared" si="11"/>
        <v>100</v>
      </c>
      <c r="X31" s="1300"/>
      <c r="Y31" s="3745"/>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3724</v>
      </c>
      <c r="J32" s="489">
        <f>SUMIF(100:100,I32,101:101)-SUMIF(100:100,C32,101:101)+100</f>
        <v>102</v>
      </c>
      <c r="K32" s="793">
        <v>2</v>
      </c>
      <c r="L32" s="1747"/>
      <c r="M32" s="1740"/>
      <c r="N32" s="1740"/>
      <c r="O32" s="1746"/>
      <c r="P32" s="3746" t="s">
        <v>499</v>
      </c>
      <c r="Q32" s="1304" t="str">
        <f t="shared" si="8"/>
        <v>建筑类型</v>
      </c>
      <c r="R32" s="1305" t="s">
        <v>8</v>
      </c>
      <c r="S32" s="1306">
        <f t="shared" si="9"/>
        <v>100</v>
      </c>
      <c r="T32" s="1305" t="s">
        <v>8</v>
      </c>
      <c r="U32" s="1306">
        <f t="shared" si="10"/>
        <v>100</v>
      </c>
      <c r="V32" s="1305" t="s">
        <v>8</v>
      </c>
      <c r="W32" s="1306">
        <f t="shared" si="11"/>
        <v>102</v>
      </c>
      <c r="X32" s="1300"/>
      <c r="Y32" s="3747" t="s">
        <v>499</v>
      </c>
      <c r="Z32" s="1307" t="str">
        <f t="shared" si="12"/>
        <v>建筑类型</v>
      </c>
      <c r="AA32" s="1307">
        <f t="shared" si="3"/>
        <v>1</v>
      </c>
      <c r="AB32" s="1307">
        <f t="shared" si="4"/>
        <v>1</v>
      </c>
      <c r="AC32" s="1307">
        <f t="shared" si="5"/>
        <v>0.98039215686274506</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175531</v>
      </c>
      <c r="J33" s="234">
        <f>LOOKUP(I33,103:103,104:104)-LOOKUP(C33,103:103,104:104)+100</f>
        <v>100</v>
      </c>
      <c r="K33" s="794"/>
      <c r="L33" s="1745"/>
      <c r="M33" s="1769"/>
      <c r="N33" s="1769"/>
      <c r="O33" s="1748"/>
      <c r="P33" s="3747"/>
      <c r="Q33" s="816" t="str">
        <f t="shared" si="8"/>
        <v>项目建筑规模</v>
      </c>
      <c r="R33" s="1308" t="s">
        <v>8</v>
      </c>
      <c r="S33" s="1309">
        <f t="shared" si="9"/>
        <v>100</v>
      </c>
      <c r="T33" s="1308" t="s">
        <v>8</v>
      </c>
      <c r="U33" s="1309">
        <f t="shared" si="10"/>
        <v>100</v>
      </c>
      <c r="V33" s="1308" t="s">
        <v>8</v>
      </c>
      <c r="W33" s="1309">
        <f t="shared" si="11"/>
        <v>100</v>
      </c>
      <c r="X33" s="1310"/>
      <c r="Y33" s="3747"/>
      <c r="Z33" s="1311" t="str">
        <f t="shared" si="12"/>
        <v>项目建筑规模</v>
      </c>
      <c r="AA33" s="1307">
        <f t="shared" si="3"/>
        <v>1</v>
      </c>
      <c r="AB33" s="1307">
        <f t="shared" si="4"/>
        <v>1</v>
      </c>
      <c r="AC33" s="1307">
        <f t="shared" si="5"/>
        <v>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47"/>
      <c r="Q34" s="1304" t="str">
        <f t="shared" si="8"/>
        <v>建筑结构</v>
      </c>
      <c r="R34" s="1305" t="s">
        <v>8</v>
      </c>
      <c r="S34" s="1306">
        <f t="shared" si="9"/>
        <v>100</v>
      </c>
      <c r="T34" s="1305" t="s">
        <v>8</v>
      </c>
      <c r="U34" s="1306">
        <f t="shared" si="10"/>
        <v>100</v>
      </c>
      <c r="V34" s="1305" t="s">
        <v>8</v>
      </c>
      <c r="W34" s="1306">
        <f t="shared" si="11"/>
        <v>100</v>
      </c>
      <c r="X34" s="1300"/>
      <c r="Y34" s="3747"/>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47"/>
      <c r="Q35" s="1304" t="str">
        <f t="shared" si="8"/>
        <v>建筑品质</v>
      </c>
      <c r="R35" s="1305" t="s">
        <v>8</v>
      </c>
      <c r="S35" s="1306">
        <f t="shared" si="9"/>
        <v>100</v>
      </c>
      <c r="T35" s="1305" t="s">
        <v>8</v>
      </c>
      <c r="U35" s="1306">
        <f t="shared" si="10"/>
        <v>100</v>
      </c>
      <c r="V35" s="1305" t="s">
        <v>8</v>
      </c>
      <c r="W35" s="1306">
        <f t="shared" si="11"/>
        <v>100</v>
      </c>
      <c r="X35" s="1300"/>
      <c r="Y35" s="3747"/>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47"/>
      <c r="Q36" s="1304" t="str">
        <f t="shared" si="8"/>
        <v>公共部分装修</v>
      </c>
      <c r="R36" s="1305" t="s">
        <v>8</v>
      </c>
      <c r="S36" s="1306">
        <f t="shared" si="9"/>
        <v>100</v>
      </c>
      <c r="T36" s="1305" t="s">
        <v>8</v>
      </c>
      <c r="U36" s="1306">
        <f t="shared" si="10"/>
        <v>100</v>
      </c>
      <c r="V36" s="1305" t="s">
        <v>8</v>
      </c>
      <c r="W36" s="1306">
        <f t="shared" si="11"/>
        <v>100</v>
      </c>
      <c r="X36" s="1300"/>
      <c r="Y36" s="3747"/>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47"/>
      <c r="Q37" s="815" t="str">
        <f t="shared" si="8"/>
        <v>成新度</v>
      </c>
      <c r="R37" s="1301" t="s">
        <v>8</v>
      </c>
      <c r="S37" s="1302">
        <f t="shared" si="9"/>
        <v>100</v>
      </c>
      <c r="T37" s="1301" t="s">
        <v>8</v>
      </c>
      <c r="U37" s="1302">
        <f t="shared" si="10"/>
        <v>100</v>
      </c>
      <c r="V37" s="1301" t="s">
        <v>8</v>
      </c>
      <c r="W37" s="1302">
        <f t="shared" si="11"/>
        <v>100</v>
      </c>
      <c r="X37" s="1303"/>
      <c r="Y37" s="3747"/>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47" t="s">
        <v>499</v>
      </c>
      <c r="Q38" s="1304" t="str">
        <f t="shared" si="8"/>
        <v>物业管理</v>
      </c>
      <c r="R38" s="1305" t="s">
        <v>8</v>
      </c>
      <c r="S38" s="1306">
        <f t="shared" si="9"/>
        <v>100</v>
      </c>
      <c r="T38" s="1305" t="s">
        <v>8</v>
      </c>
      <c r="U38" s="1306">
        <f t="shared" si="10"/>
        <v>100</v>
      </c>
      <c r="V38" s="1305" t="s">
        <v>8</v>
      </c>
      <c r="W38" s="1306">
        <f t="shared" si="11"/>
        <v>100</v>
      </c>
      <c r="X38" s="1300"/>
      <c r="Y38" s="3747"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47"/>
      <c r="Q39" s="1304" t="str">
        <f t="shared" si="8"/>
        <v>市政基础设施</v>
      </c>
      <c r="R39" s="1305" t="s">
        <v>8</v>
      </c>
      <c r="S39" s="1306">
        <f t="shared" si="9"/>
        <v>100</v>
      </c>
      <c r="T39" s="1305" t="s">
        <v>8</v>
      </c>
      <c r="U39" s="1306">
        <f t="shared" si="10"/>
        <v>100</v>
      </c>
      <c r="V39" s="1305" t="s">
        <v>8</v>
      </c>
      <c r="W39" s="1306">
        <f t="shared" si="11"/>
        <v>100</v>
      </c>
      <c r="X39" s="1300"/>
      <c r="Y39" s="3747"/>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47"/>
      <c r="Q40" s="1304" t="str">
        <f t="shared" si="8"/>
        <v>房型</v>
      </c>
      <c r="R40" s="1305" t="s">
        <v>8</v>
      </c>
      <c r="S40" s="1306">
        <f t="shared" si="9"/>
        <v>100</v>
      </c>
      <c r="T40" s="1305" t="s">
        <v>8</v>
      </c>
      <c r="U40" s="1306">
        <f t="shared" si="10"/>
        <v>100</v>
      </c>
      <c r="V40" s="1305" t="s">
        <v>8</v>
      </c>
      <c r="W40" s="1306">
        <f t="shared" si="11"/>
        <v>100</v>
      </c>
      <c r="X40" s="1300"/>
      <c r="Y40" s="3747"/>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47"/>
      <c r="Q41" s="816" t="str">
        <f t="shared" si="8"/>
        <v>单套/主力户型建筑面积</v>
      </c>
      <c r="R41" s="1308" t="s">
        <v>8</v>
      </c>
      <c r="S41" s="1309">
        <f t="shared" si="9"/>
        <v>100</v>
      </c>
      <c r="T41" s="1308" t="s">
        <v>8</v>
      </c>
      <c r="U41" s="1309">
        <f t="shared" si="10"/>
        <v>100</v>
      </c>
      <c r="V41" s="1308" t="s">
        <v>8</v>
      </c>
      <c r="W41" s="1309">
        <f t="shared" si="11"/>
        <v>100</v>
      </c>
      <c r="X41" s="1310"/>
      <c r="Y41" s="3747"/>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3730</v>
      </c>
      <c r="J42" s="489">
        <f>SUMIF(122:122,I42,123:123)-SUMIF(122:122,C42,123:123)+100</f>
        <v>97</v>
      </c>
      <c r="K42" s="793">
        <v>1</v>
      </c>
      <c r="L42" s="1747"/>
      <c r="M42" s="1740"/>
      <c r="N42" s="1740"/>
      <c r="O42" s="1746"/>
      <c r="P42" s="3747"/>
      <c r="Q42" s="1304" t="str">
        <f t="shared" si="8"/>
        <v>内部装修</v>
      </c>
      <c r="R42" s="1305" t="s">
        <v>8</v>
      </c>
      <c r="S42" s="1306">
        <f t="shared" si="9"/>
        <v>100</v>
      </c>
      <c r="T42" s="1305" t="s">
        <v>8</v>
      </c>
      <c r="U42" s="1306">
        <f t="shared" si="10"/>
        <v>100</v>
      </c>
      <c r="V42" s="1305" t="s">
        <v>8</v>
      </c>
      <c r="W42" s="1306">
        <f t="shared" si="11"/>
        <v>97</v>
      </c>
      <c r="X42" s="1300"/>
      <c r="Y42" s="3747"/>
      <c r="Z42" s="1307" t="str">
        <f t="shared" si="12"/>
        <v>内部装修</v>
      </c>
      <c r="AA42" s="1307">
        <f t="shared" si="3"/>
        <v>1</v>
      </c>
      <c r="AB42" s="1307">
        <f t="shared" si="4"/>
        <v>1</v>
      </c>
      <c r="AC42" s="1307">
        <f t="shared" si="5"/>
        <v>1.0309278350515463</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3734</v>
      </c>
      <c r="N43" s="1740"/>
      <c r="O43" s="1746"/>
      <c r="P43" s="3747"/>
      <c r="Q43" s="1304" t="str">
        <f t="shared" si="8"/>
        <v>内部装修维护情况</v>
      </c>
      <c r="R43" s="1305" t="s">
        <v>8</v>
      </c>
      <c r="S43" s="1306">
        <f t="shared" si="9"/>
        <v>100</v>
      </c>
      <c r="T43" s="1305" t="s">
        <v>8</v>
      </c>
      <c r="U43" s="1306">
        <f t="shared" si="10"/>
        <v>100</v>
      </c>
      <c r="V43" s="1305" t="s">
        <v>8</v>
      </c>
      <c r="W43" s="1306">
        <f t="shared" si="11"/>
        <v>100</v>
      </c>
      <c r="X43" s="1300"/>
      <c r="Y43" s="3747"/>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47"/>
      <c r="Q44" s="815">
        <f t="shared" si="8"/>
        <v>0</v>
      </c>
      <c r="R44" s="1301" t="s">
        <v>8</v>
      </c>
      <c r="S44" s="1302">
        <f t="shared" si="9"/>
        <v>100</v>
      </c>
      <c r="T44" s="1301" t="s">
        <v>8</v>
      </c>
      <c r="U44" s="1302">
        <f t="shared" si="10"/>
        <v>100</v>
      </c>
      <c r="V44" s="1301" t="s">
        <v>8</v>
      </c>
      <c r="W44" s="1302">
        <f t="shared" si="11"/>
        <v>100</v>
      </c>
      <c r="X44" s="1303"/>
      <c r="Y44" s="3747"/>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47"/>
      <c r="Q45" s="1304">
        <f t="shared" si="8"/>
        <v>0</v>
      </c>
      <c r="R45" s="1305" t="s">
        <v>8</v>
      </c>
      <c r="S45" s="1306">
        <f t="shared" si="9"/>
        <v>100</v>
      </c>
      <c r="T45" s="1305" t="s">
        <v>8</v>
      </c>
      <c r="U45" s="1306">
        <f t="shared" si="10"/>
        <v>100</v>
      </c>
      <c r="V45" s="1305" t="s">
        <v>8</v>
      </c>
      <c r="W45" s="1306">
        <f t="shared" si="11"/>
        <v>100</v>
      </c>
      <c r="X45" s="1300"/>
      <c r="Y45" s="3747"/>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3"/>
      <c r="Q46" s="1304">
        <f t="shared" si="8"/>
        <v>0</v>
      </c>
      <c r="R46" s="1305" t="s">
        <v>7</v>
      </c>
      <c r="S46" s="1306">
        <f t="shared" si="9"/>
        <v>100</v>
      </c>
      <c r="T46" s="1305" t="s">
        <v>7</v>
      </c>
      <c r="U46" s="1306">
        <f t="shared" si="10"/>
        <v>100</v>
      </c>
      <c r="V46" s="1305" t="s">
        <v>7</v>
      </c>
      <c r="W46" s="1306">
        <f t="shared" si="11"/>
        <v>100</v>
      </c>
      <c r="X46" s="1300"/>
      <c r="Y46" s="3813"/>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89980</v>
      </c>
      <c r="J47" s="562"/>
      <c r="K47" s="1329"/>
      <c r="L47" s="1749"/>
      <c r="M47" s="1740"/>
      <c r="N47" s="1740"/>
      <c r="O47" s="1740"/>
      <c r="P47" s="3710" t="str">
        <f>A47</f>
        <v>成交单价（元/平方米）</v>
      </c>
      <c r="Q47" s="3710"/>
      <c r="R47" s="3711">
        <f>E47</f>
        <v>81245</v>
      </c>
      <c r="S47" s="3711"/>
      <c r="T47" s="3711">
        <f>G47</f>
        <v>83476</v>
      </c>
      <c r="U47" s="3711"/>
      <c r="V47" s="3711">
        <f>I47</f>
        <v>89980</v>
      </c>
      <c r="W47" s="3711"/>
      <c r="X47" s="798"/>
      <c r="Y47" s="1312"/>
      <c r="Z47" s="798"/>
      <c r="AA47" s="798"/>
      <c r="AB47" s="798"/>
      <c r="AC47" s="798"/>
    </row>
    <row r="48" spans="1:29" ht="15.75" thickBot="1">
      <c r="A48" s="563" t="s">
        <v>2042</v>
      </c>
      <c r="B48" s="810"/>
      <c r="C48" s="2080">
        <f>R49</f>
        <v>85478</v>
      </c>
      <c r="D48" s="2548" t="s">
        <v>2252</v>
      </c>
      <c r="E48" s="2081">
        <f>R48</f>
        <v>83758</v>
      </c>
      <c r="F48" s="2549"/>
      <c r="G48" s="2080">
        <f>T48</f>
        <v>86058</v>
      </c>
      <c r="H48" s="2549"/>
      <c r="I48" s="2081">
        <f>V48</f>
        <v>86617</v>
      </c>
      <c r="J48" s="2549"/>
      <c r="K48" s="2556">
        <f>F48+H48+J48</f>
        <v>0</v>
      </c>
      <c r="L48" s="1749"/>
      <c r="M48" s="1740"/>
      <c r="N48" s="1740"/>
      <c r="O48" s="1740"/>
      <c r="P48" s="3710" t="str">
        <f>A48</f>
        <v>比较价格（元/平方米）</v>
      </c>
      <c r="Q48" s="3710"/>
      <c r="R48" s="3711">
        <f>IF(F1="售价",ROUND(PRODUCT(R47,AA7:AA46),0),ROUND(PRODUCT(R47,AA7:AA46),1))</f>
        <v>83758</v>
      </c>
      <c r="S48" s="3711"/>
      <c r="T48" s="3711">
        <f>IF(F1="售价",ROUND(PRODUCT(T47,AB7:AB46),0),ROUND(PRODUCT(T47,AB7:AB46),1))</f>
        <v>86058</v>
      </c>
      <c r="U48" s="3711"/>
      <c r="V48" s="3711">
        <f>IF(F1="售价",ROUND(PRODUCT(V47,AC7:AC46),0),ROUND(PRODUCT(V47,AC7:AC46),1))</f>
        <v>86617</v>
      </c>
      <c r="W48" s="3711"/>
      <c r="X48" s="798"/>
      <c r="Y48" s="798"/>
      <c r="Z48" s="798"/>
      <c r="AA48" s="798"/>
      <c r="AB48" s="798"/>
      <c r="AC48" s="798"/>
    </row>
    <row r="49" spans="1:29" ht="15.75" thickBot="1">
      <c r="A49" s="567" t="s">
        <v>2189</v>
      </c>
      <c r="B49" s="568"/>
      <c r="C49" s="468">
        <f>R49</f>
        <v>85478</v>
      </c>
      <c r="D49" s="468"/>
      <c r="E49" s="468"/>
      <c r="F49" s="468"/>
      <c r="G49" s="468"/>
      <c r="H49" s="468"/>
      <c r="I49" s="468"/>
      <c r="J49" s="468"/>
      <c r="K49" s="1330"/>
      <c r="L49" s="1749"/>
      <c r="M49" s="1740"/>
      <c r="N49" s="1740"/>
      <c r="O49" s="1740"/>
      <c r="P49" s="3748" t="str">
        <f>A49</f>
        <v>估价对象XX用房的比较价格（楼面单价，元/平方米）</v>
      </c>
      <c r="Q49" s="3749"/>
      <c r="R49" s="3812">
        <f>IF(F1="售价",ROUND(IF(D48="简单平均",AVERAGE(R48:V48),R48*F48+T48*H48+V48*J48),0),ROUND(IF(D48="简单平均",AVERAGE(R48:V48),R48*F48+T48*H48+V48*J48),1))</f>
        <v>85478</v>
      </c>
      <c r="S49" s="3812"/>
      <c r="T49" s="3812"/>
      <c r="U49" s="3812"/>
      <c r="V49" s="3812"/>
      <c r="W49" s="3812"/>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3.8826096493759898E-2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6.4956192335401397E-3</v>
      </c>
      <c r="H53" s="573" t="str">
        <f>IF(OR(G53&gt;=0.2,G53&lt;=-0.2),"超过20%","")</f>
        <v/>
      </c>
      <c r="I53" s="572">
        <f>IF(I48&lt;E48,E48/I48-1,I48/E48-1)</f>
        <v>3.413405286659188E-2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7.7914610187359346E-2</v>
      </c>
      <c r="H54" s="573" t="str">
        <f>IF(OR(G54&gt;=0.3,G54&lt;=-0.3),"超过30%","")</f>
        <v/>
      </c>
      <c r="I54" s="572">
        <f>IF(I47&lt;E47,E47/I47-1,I47/E47-1)</f>
        <v>0.10751430857283517</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3725</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C104+1</f>
        <v>101</v>
      </c>
      <c r="E104" s="612">
        <f t="shared" ref="E104:F104" si="20">D104+1</f>
        <v>102</v>
      </c>
      <c r="F104" s="612">
        <f t="shared" si="20"/>
        <v>103</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3728</v>
      </c>
      <c r="E122" s="3513" t="s">
        <v>3729</v>
      </c>
      <c r="F122" s="3501" t="s">
        <v>3731</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3727</v>
      </c>
      <c r="D126" s="3513" t="s">
        <v>3726</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D48" xr:uid="{00000000-0002-0000-20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16" t="s">
        <v>1807</v>
      </c>
      <c r="C8" s="1514">
        <f ca="1">ROUND(F8*F10*F9*(1-F11)/10000,0)</f>
        <v>0</v>
      </c>
      <c r="D8" s="316" t="s">
        <v>1817</v>
      </c>
      <c r="E8" s="56" t="s">
        <v>585</v>
      </c>
      <c r="F8" s="719">
        <f ca="1">INDIRECT("'数据-取费表'!u"&amp;$G$1)</f>
        <v>0</v>
      </c>
      <c r="G8" s="1142"/>
      <c r="H8" s="2007" t="s">
        <v>1353</v>
      </c>
      <c r="I8" s="3816" t="s">
        <v>1807</v>
      </c>
      <c r="J8" s="717">
        <f ca="1">ROUND(M8*M10*M9*(1-M11)/10000,0)</f>
        <v>0</v>
      </c>
      <c r="K8" s="314" t="s">
        <v>1817</v>
      </c>
      <c r="L8" s="718" t="s">
        <v>1267</v>
      </c>
      <c r="M8" s="719">
        <f ca="1">INDIRECT("'数据-取费表'!z"&amp;$G$1)</f>
        <v>0</v>
      </c>
    </row>
    <row r="9" spans="1:25" ht="18" customHeight="1">
      <c r="A9" s="2003"/>
      <c r="B9" s="3817"/>
      <c r="C9" s="1515"/>
      <c r="D9" s="329"/>
      <c r="E9" s="56" t="s">
        <v>586</v>
      </c>
      <c r="F9" s="719">
        <f ca="1">IF(INDIRECT("'数据-取费表'!ah"&amp;$G$1)="",INDIRECT("'数据-取费表'!k"&amp;$G$1),INDIRECT("'数据-取费表'!ah"&amp;$G$1))</f>
        <v>0</v>
      </c>
      <c r="G9" s="1142"/>
      <c r="H9" s="1992"/>
      <c r="I9" s="3817"/>
      <c r="J9" s="722"/>
      <c r="K9" s="723"/>
      <c r="L9" s="718" t="s">
        <v>1268</v>
      </c>
      <c r="M9" s="719">
        <f ca="1">F9</f>
        <v>0</v>
      </c>
    </row>
    <row r="10" spans="1:25" ht="18" customHeight="1">
      <c r="A10" s="1996"/>
      <c r="B10" s="3818"/>
      <c r="C10" s="1515"/>
      <c r="D10" s="329"/>
      <c r="E10" s="56" t="s">
        <v>587</v>
      </c>
      <c r="F10" s="719">
        <f ca="1">INDIRECT("'数据-取费表'!ai"&amp;$G$1)</f>
        <v>0</v>
      </c>
      <c r="G10" s="1142"/>
      <c r="H10" s="1992"/>
      <c r="I10" s="3818"/>
      <c r="J10" s="722"/>
      <c r="K10" s="723"/>
      <c r="L10" s="718" t="s">
        <v>1269</v>
      </c>
      <c r="M10" s="719">
        <f ca="1">INDIRECT("'数据-取费表'!ai"&amp;$G$1)</f>
        <v>0</v>
      </c>
    </row>
    <row r="11" spans="1:25" ht="18" customHeight="1">
      <c r="A11" s="720"/>
      <c r="B11" s="3819"/>
      <c r="C11" s="1515"/>
      <c r="D11" s="329"/>
      <c r="E11" s="56" t="s">
        <v>588</v>
      </c>
      <c r="F11" s="728">
        <f ca="1">INDIRECT("'数据-取费表'!w"&amp;$G$1)</f>
        <v>0</v>
      </c>
      <c r="G11" s="1142"/>
      <c r="H11" s="2008"/>
      <c r="I11" s="3818"/>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5"/>
      <c r="J36" s="1688"/>
      <c r="K36" s="1689"/>
      <c r="L36" s="1688"/>
      <c r="M36" s="1688"/>
    </row>
    <row r="37" spans="1:18" ht="18" customHeight="1">
      <c r="A37" s="748"/>
      <c r="B37" s="727"/>
      <c r="C37" s="64"/>
      <c r="D37" s="749"/>
      <c r="E37" s="718" t="s">
        <v>621</v>
      </c>
      <c r="F37" s="719">
        <f ca="1">INDIRECT("'数据-取费表'!r"&amp;$G$1)</f>
        <v>0</v>
      </c>
      <c r="G37" s="1666"/>
      <c r="H37" s="1675"/>
      <c r="I37" s="3815"/>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20"/>
      <c r="L54" s="3821"/>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16" t="s">
        <v>1807</v>
      </c>
      <c r="C6" s="717">
        <f ca="1">ROUND(F6*F8*F7*(1-F9)/10000,0)</f>
        <v>0</v>
      </c>
      <c r="D6" s="2000" t="s">
        <v>1806</v>
      </c>
      <c r="E6" s="718" t="s">
        <v>1267</v>
      </c>
      <c r="F6" s="719">
        <f ca="1">INDIRECT("'数据-取费表'!u"&amp;$G$1)</f>
        <v>0</v>
      </c>
      <c r="G6" s="1666"/>
      <c r="H6" s="2007" t="s">
        <v>1812</v>
      </c>
      <c r="I6" s="3816" t="s">
        <v>1807</v>
      </c>
      <c r="J6" s="717">
        <f ca="1">ROUND(M6*M8*M7*(1-M9)/10000,0)</f>
        <v>0</v>
      </c>
      <c r="K6" s="314" t="s">
        <v>1266</v>
      </c>
      <c r="L6" s="718" t="s">
        <v>1267</v>
      </c>
      <c r="M6" s="719">
        <f ca="1">INDIRECT("'数据-取费表'!z"&amp;$G$1)</f>
        <v>0</v>
      </c>
    </row>
    <row r="7" spans="1:33" ht="18" customHeight="1">
      <c r="A7" s="2003"/>
      <c r="B7" s="3817"/>
      <c r="C7" s="722"/>
      <c r="D7" s="723"/>
      <c r="E7" s="718" t="s">
        <v>1268</v>
      </c>
      <c r="F7" s="719">
        <f ca="1">IF(INDIRECT("'数据-取费表'!ah"&amp;$G$1)="",INDIRECT("'数据-取费表'!k"&amp;$G$1),INDIRECT("'数据-取费表'!ah"&amp;$G$1))</f>
        <v>47623.45</v>
      </c>
      <c r="G7" s="1666"/>
      <c r="H7" s="1992"/>
      <c r="I7" s="3817"/>
      <c r="J7" s="722"/>
      <c r="K7" s="723"/>
      <c r="L7" s="718" t="s">
        <v>1268</v>
      </c>
      <c r="M7" s="719">
        <f ca="1">F7</f>
        <v>47623.45</v>
      </c>
    </row>
    <row r="8" spans="1:33" ht="18" customHeight="1">
      <c r="A8" s="1996"/>
      <c r="B8" s="3818"/>
      <c r="C8" s="722"/>
      <c r="D8" s="723"/>
      <c r="E8" s="718" t="s">
        <v>1269</v>
      </c>
      <c r="F8" s="719">
        <f ca="1">INDIRECT("'数据-取费表'!ai"&amp;$G$1)</f>
        <v>0</v>
      </c>
      <c r="G8" s="1666"/>
      <c r="H8" s="1992"/>
      <c r="I8" s="3818"/>
      <c r="J8" s="722"/>
      <c r="K8" s="723"/>
      <c r="L8" s="718" t="s">
        <v>1269</v>
      </c>
      <c r="M8" s="719">
        <f ca="1">INDIRECT("'数据-取费表'!ai"&amp;$G$1)</f>
        <v>0</v>
      </c>
    </row>
    <row r="9" spans="1:33" ht="18" customHeight="1">
      <c r="A9" s="720"/>
      <c r="B9" s="3819"/>
      <c r="C9" s="722"/>
      <c r="D9" s="723"/>
      <c r="E9" s="718" t="s">
        <v>1270</v>
      </c>
      <c r="F9" s="728">
        <f ca="1">INDIRECT("'数据-取费表'!w"&amp;$G$1)</f>
        <v>0</v>
      </c>
      <c r="G9" s="1666"/>
      <c r="H9" s="2008"/>
      <c r="I9" s="3818"/>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2" t="s">
        <v>2217</v>
      </c>
      <c r="L53" s="3823"/>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估价范围判定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24" t="s">
        <v>2292</v>
      </c>
      <c r="K2" s="3825"/>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26" t="s">
        <v>2302</v>
      </c>
      <c r="K3" s="3827"/>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26" t="s">
        <v>2304</v>
      </c>
      <c r="K4" s="3827"/>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28" t="s">
        <v>2308</v>
      </c>
      <c r="B6" s="3829"/>
      <c r="C6" s="3830"/>
      <c r="D6" s="2851"/>
      <c r="E6" s="2852"/>
      <c r="F6" s="2853"/>
      <c r="G6" s="2854"/>
      <c r="H6" s="2829"/>
      <c r="I6" s="2830"/>
      <c r="J6" s="3831">
        <v>1</v>
      </c>
      <c r="K6" s="3832"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31"/>
      <c r="K7" s="3833"/>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35" t="s">
        <v>2322</v>
      </c>
      <c r="C8" s="3836"/>
      <c r="D8" s="2870" t="s">
        <v>2323</v>
      </c>
      <c r="E8" s="2871" t="s">
        <v>2324</v>
      </c>
      <c r="F8" s="2872" t="s">
        <v>2325</v>
      </c>
      <c r="G8" s="2873"/>
      <c r="H8" s="2829"/>
      <c r="I8" s="2830"/>
      <c r="J8" s="3831"/>
      <c r="K8" s="3833"/>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35" t="s">
        <v>2328</v>
      </c>
      <c r="C9" s="3836"/>
      <c r="D9" s="2870">
        <f>ROUND(D6*E9,0)</f>
        <v>0</v>
      </c>
      <c r="E9" s="2874"/>
      <c r="F9" s="2875" t="s">
        <v>2329</v>
      </c>
      <c r="G9" s="2854"/>
      <c r="H9" s="2829"/>
      <c r="I9" s="2830"/>
      <c r="J9" s="3831"/>
      <c r="K9" s="3833"/>
      <c r="L9" s="2864" t="s">
        <v>2330</v>
      </c>
      <c r="M9" s="2865"/>
      <c r="N9" s="2841"/>
      <c r="O9" s="2866"/>
      <c r="P9" s="2866"/>
      <c r="Q9" s="2867">
        <v>365</v>
      </c>
      <c r="R9" s="2868">
        <f t="shared" si="0"/>
        <v>0</v>
      </c>
      <c r="S9" s="2821"/>
      <c r="T9" s="2821"/>
      <c r="U9" s="2821"/>
      <c r="V9" s="2830"/>
    </row>
    <row r="10" spans="1:22" s="2834" customFormat="1" ht="13.15" customHeight="1">
      <c r="A10" s="2869">
        <v>2</v>
      </c>
      <c r="B10" s="3835" t="s">
        <v>2331</v>
      </c>
      <c r="C10" s="3836"/>
      <c r="D10" s="2870">
        <f>ROUND(D6*E10,0)</f>
        <v>0</v>
      </c>
      <c r="E10" s="2874"/>
      <c r="F10" s="2875" t="s">
        <v>2332</v>
      </c>
      <c r="G10" s="2854"/>
      <c r="H10" s="2829"/>
      <c r="I10" s="2830"/>
      <c r="J10" s="3831"/>
      <c r="K10" s="3833"/>
      <c r="L10" s="2864" t="s">
        <v>2333</v>
      </c>
      <c r="M10" s="2865"/>
      <c r="N10" s="2841"/>
      <c r="O10" s="2866"/>
      <c r="P10" s="2866"/>
      <c r="Q10" s="2867">
        <v>365</v>
      </c>
      <c r="R10" s="2868">
        <f t="shared" si="0"/>
        <v>0</v>
      </c>
      <c r="S10" s="2821"/>
      <c r="T10" s="2821"/>
      <c r="U10" s="2821"/>
      <c r="V10" s="2830"/>
    </row>
    <row r="11" spans="1:22" s="2834" customFormat="1" ht="13.15" customHeight="1">
      <c r="A11" s="2869">
        <v>3</v>
      </c>
      <c r="B11" s="3835" t="s">
        <v>2334</v>
      </c>
      <c r="C11" s="3836"/>
      <c r="D11" s="2870">
        <f>D12+D14+D15+D16</f>
        <v>0</v>
      </c>
      <c r="E11" s="2876" t="e">
        <f>D11/D6</f>
        <v>#DIV/0!</v>
      </c>
      <c r="F11" s="2872"/>
      <c r="G11" s="2873"/>
      <c r="H11" s="2829"/>
      <c r="I11" s="2830"/>
      <c r="J11" s="3831"/>
      <c r="K11" s="3833"/>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7" t="s">
        <v>2337</v>
      </c>
      <c r="C12" s="3838"/>
      <c r="D12" s="2878">
        <f>ROUND(D13*1.2%*(1-30%),0)</f>
        <v>0</v>
      </c>
      <c r="E12" s="2879">
        <v>1.2E-2</v>
      </c>
      <c r="F12" s="2872" t="s">
        <v>2338</v>
      </c>
      <c r="G12" s="2873"/>
      <c r="H12" s="2829"/>
      <c r="I12" s="2830"/>
      <c r="J12" s="3831"/>
      <c r="K12" s="3833"/>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31"/>
      <c r="K13" s="3833"/>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7" t="s">
        <v>2343</v>
      </c>
      <c r="C14" s="3838"/>
      <c r="D14" s="2878">
        <f>ROUND(E14*B5/10000,0)</f>
        <v>0</v>
      </c>
      <c r="E14" s="2867"/>
      <c r="F14" s="2872" t="s">
        <v>2344</v>
      </c>
      <c r="G14" s="2873"/>
      <c r="H14" s="2829"/>
      <c r="I14" s="2830"/>
      <c r="J14" s="3831"/>
      <c r="K14" s="3834"/>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7" t="s">
        <v>2347</v>
      </c>
      <c r="C15" s="3838"/>
      <c r="D15" s="2878">
        <f>ROUND(D6*E15,0)</f>
        <v>0</v>
      </c>
      <c r="E15" s="2879">
        <v>5.5E-2</v>
      </c>
      <c r="F15" s="2872" t="s">
        <v>2348</v>
      </c>
      <c r="G15" s="2854"/>
      <c r="H15" s="2829"/>
      <c r="I15" s="2830"/>
      <c r="J15" s="3831">
        <v>2</v>
      </c>
      <c r="K15" s="3832"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7" t="s">
        <v>2358</v>
      </c>
      <c r="C16" s="3838"/>
      <c r="D16" s="2889">
        <f>D6*E16</f>
        <v>0</v>
      </c>
      <c r="E16" s="2890"/>
      <c r="F16" s="2875" t="s">
        <v>2359</v>
      </c>
      <c r="G16" s="2854"/>
      <c r="H16" s="2829"/>
      <c r="I16" s="2830"/>
      <c r="J16" s="3831"/>
      <c r="K16" s="3833"/>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39" t="s">
        <v>2361</v>
      </c>
      <c r="C17" s="3840"/>
      <c r="D17" s="2892">
        <f>ROUND(D6*E17,0)</f>
        <v>0</v>
      </c>
      <c r="E17" s="2893"/>
      <c r="F17" s="2894" t="s">
        <v>2362</v>
      </c>
      <c r="G17" s="2854"/>
      <c r="H17" s="2829"/>
      <c r="I17" s="2830"/>
      <c r="J17" s="3831"/>
      <c r="K17" s="3833"/>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31"/>
      <c r="K18" s="3833"/>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31"/>
      <c r="K19" s="3834"/>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31">
        <v>3</v>
      </c>
      <c r="K20" s="3832"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31"/>
      <c r="K21" s="3833"/>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31"/>
      <c r="K22" s="3833"/>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31"/>
      <c r="K23" s="3833"/>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31"/>
      <c r="K24" s="3834"/>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41">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42"/>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24" t="s">
        <v>2404</v>
      </c>
      <c r="K32" s="3825"/>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26" t="s">
        <v>2408</v>
      </c>
      <c r="K33" s="3827"/>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26" t="s">
        <v>2410</v>
      </c>
      <c r="K34" s="3827"/>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31">
        <v>1</v>
      </c>
      <c r="K36" s="3832"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31"/>
      <c r="K37" s="3833"/>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31"/>
      <c r="K38" s="3833"/>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31"/>
      <c r="K39" s="3833"/>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31"/>
      <c r="K40" s="3834"/>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41">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42"/>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16" t="s">
        <v>471</v>
      </c>
      <c r="D4" s="3717"/>
      <c r="E4" s="3756" t="s">
        <v>472</v>
      </c>
      <c r="F4" s="3757"/>
      <c r="G4" s="3716" t="s">
        <v>473</v>
      </c>
      <c r="H4" s="3717"/>
      <c r="I4" s="3716" t="s">
        <v>474</v>
      </c>
      <c r="J4" s="3717"/>
      <c r="K4" s="464" t="s">
        <v>475</v>
      </c>
      <c r="L4" s="1739"/>
      <c r="M4" s="1740"/>
      <c r="N4" s="1740"/>
      <c r="O4" s="1740"/>
      <c r="P4" s="3718" t="s">
        <v>476</v>
      </c>
      <c r="Q4" s="3719"/>
      <c r="R4" s="3724" t="s">
        <v>472</v>
      </c>
      <c r="S4" s="3725"/>
      <c r="T4" s="3724" t="s">
        <v>473</v>
      </c>
      <c r="U4" s="3725"/>
      <c r="V4" s="3711" t="s">
        <v>474</v>
      </c>
      <c r="W4" s="3711"/>
      <c r="X4" s="1300"/>
      <c r="Y4" s="3724" t="s">
        <v>476</v>
      </c>
      <c r="Z4" s="3725"/>
      <c r="AA4" s="3713" t="s">
        <v>472</v>
      </c>
      <c r="AB4" s="3711" t="s">
        <v>473</v>
      </c>
      <c r="AC4" s="3713" t="s">
        <v>474</v>
      </c>
    </row>
    <row r="5" spans="1:29" ht="15">
      <c r="A5" s="465"/>
      <c r="B5" s="466"/>
      <c r="C5" s="3732" t="s">
        <v>2183</v>
      </c>
      <c r="D5" s="3733"/>
      <c r="E5" s="3758" t="s">
        <v>2184</v>
      </c>
      <c r="F5" s="3759"/>
      <c r="G5" s="3732" t="s">
        <v>2185</v>
      </c>
      <c r="H5" s="3733"/>
      <c r="I5" s="3732" t="s">
        <v>2186</v>
      </c>
      <c r="J5" s="3733"/>
      <c r="K5" s="464"/>
      <c r="L5" s="1739"/>
      <c r="M5" s="1740"/>
      <c r="N5" s="1740"/>
      <c r="O5" s="1740"/>
      <c r="P5" s="3720"/>
      <c r="Q5" s="3721"/>
      <c r="R5" s="3726"/>
      <c r="S5" s="3727"/>
      <c r="T5" s="3726"/>
      <c r="U5" s="3727"/>
      <c r="V5" s="3711"/>
      <c r="W5" s="3711"/>
      <c r="X5" s="1300"/>
      <c r="Y5" s="3726"/>
      <c r="Z5" s="3727"/>
      <c r="AA5" s="3714"/>
      <c r="AB5" s="3711"/>
      <c r="AC5" s="3714"/>
    </row>
    <row r="6" spans="1:29" ht="15.75" thickBot="1">
      <c r="A6" s="467"/>
      <c r="B6" s="468"/>
      <c r="C6" s="3730" t="s">
        <v>2187</v>
      </c>
      <c r="D6" s="3731"/>
      <c r="E6" s="3754" t="s">
        <v>2187</v>
      </c>
      <c r="F6" s="3755"/>
      <c r="G6" s="3730" t="s">
        <v>2187</v>
      </c>
      <c r="H6" s="3731"/>
      <c r="I6" s="3730" t="s">
        <v>2187</v>
      </c>
      <c r="J6" s="3731"/>
      <c r="K6" s="464" t="s">
        <v>477</v>
      </c>
      <c r="L6" s="1739"/>
      <c r="M6" s="1740"/>
      <c r="N6" s="1740"/>
      <c r="O6" s="1740"/>
      <c r="P6" s="3722"/>
      <c r="Q6" s="3723"/>
      <c r="R6" s="3726"/>
      <c r="S6" s="3727"/>
      <c r="T6" s="3728"/>
      <c r="U6" s="3729"/>
      <c r="V6" s="3711"/>
      <c r="W6" s="3711"/>
      <c r="X6" s="1300"/>
      <c r="Y6" s="3728"/>
      <c r="Z6" s="3729"/>
      <c r="AA6" s="3715"/>
      <c r="AB6" s="3711"/>
      <c r="AC6" s="3715"/>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41" t="s">
        <v>479</v>
      </c>
      <c r="Q7" s="3743"/>
      <c r="R7" s="1301" t="s">
        <v>5</v>
      </c>
      <c r="S7" s="1302">
        <f t="shared" ref="S7:S15" si="0">F7</f>
        <v>0</v>
      </c>
      <c r="T7" s="1301" t="s">
        <v>5</v>
      </c>
      <c r="U7" s="1302">
        <f t="shared" ref="U7:U15" si="1">H7</f>
        <v>0</v>
      </c>
      <c r="V7" s="1301" t="s">
        <v>5</v>
      </c>
      <c r="W7" s="1302">
        <f t="shared" ref="W7:W15" si="2">J7</f>
        <v>0</v>
      </c>
      <c r="X7" s="1303"/>
      <c r="Y7" s="3741" t="s">
        <v>479</v>
      </c>
      <c r="Z7" s="3742"/>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41" t="s">
        <v>482</v>
      </c>
      <c r="Q8" s="3742"/>
      <c r="R8" s="1301" t="s">
        <v>5</v>
      </c>
      <c r="S8" s="1302">
        <f t="shared" si="0"/>
        <v>0</v>
      </c>
      <c r="T8" s="1301" t="s">
        <v>5</v>
      </c>
      <c r="U8" s="1302">
        <f t="shared" si="1"/>
        <v>0</v>
      </c>
      <c r="V8" s="1301" t="s">
        <v>5</v>
      </c>
      <c r="W8" s="1302">
        <f t="shared" si="2"/>
        <v>0</v>
      </c>
      <c r="X8" s="1303"/>
      <c r="Y8" s="3741" t="s">
        <v>482</v>
      </c>
      <c r="Z8" s="3742"/>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10" t="s">
        <v>484</v>
      </c>
      <c r="Q9" s="815" t="str">
        <f t="shared" ref="Q9:Q15" si="6">B9</f>
        <v>用途</v>
      </c>
      <c r="R9" s="1301" t="s">
        <v>5</v>
      </c>
      <c r="S9" s="1302">
        <f t="shared" si="0"/>
        <v>100</v>
      </c>
      <c r="T9" s="1301" t="s">
        <v>5</v>
      </c>
      <c r="U9" s="1302">
        <f t="shared" si="1"/>
        <v>100</v>
      </c>
      <c r="V9" s="1301" t="s">
        <v>5</v>
      </c>
      <c r="W9" s="1302">
        <f t="shared" si="2"/>
        <v>100</v>
      </c>
      <c r="X9" s="1303"/>
      <c r="Y9" s="3658"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10"/>
      <c r="Q11" s="815" t="str">
        <f t="shared" si="6"/>
        <v>容积率</v>
      </c>
      <c r="R11" s="1301" t="s">
        <v>5</v>
      </c>
      <c r="S11" s="1302" t="e">
        <f t="shared" si="0"/>
        <v>#N/A</v>
      </c>
      <c r="T11" s="1301" t="s">
        <v>5</v>
      </c>
      <c r="U11" s="1302" t="e">
        <f t="shared" si="1"/>
        <v>#N/A</v>
      </c>
      <c r="V11" s="1301" t="s">
        <v>5</v>
      </c>
      <c r="W11" s="1302" t="e">
        <f t="shared" si="2"/>
        <v>#N/A</v>
      </c>
      <c r="X11" s="1303"/>
      <c r="Y11" s="3658"/>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10"/>
      <c r="Q12" s="815">
        <f t="shared" si="6"/>
        <v>111</v>
      </c>
      <c r="R12" s="1301" t="s">
        <v>5</v>
      </c>
      <c r="S12" s="1302">
        <f t="shared" si="0"/>
        <v>100</v>
      </c>
      <c r="T12" s="1301" t="s">
        <v>5</v>
      </c>
      <c r="U12" s="1302">
        <f t="shared" si="1"/>
        <v>100</v>
      </c>
      <c r="V12" s="1301" t="s">
        <v>5</v>
      </c>
      <c r="W12" s="1302">
        <f t="shared" si="2"/>
        <v>100</v>
      </c>
      <c r="X12" s="1303"/>
      <c r="Y12" s="3658"/>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10"/>
      <c r="Q13" s="815">
        <f t="shared" si="6"/>
        <v>111</v>
      </c>
      <c r="R13" s="1301" t="s">
        <v>5</v>
      </c>
      <c r="S13" s="1302">
        <f t="shared" si="0"/>
        <v>100</v>
      </c>
      <c r="T13" s="1301" t="s">
        <v>5</v>
      </c>
      <c r="U13" s="1302">
        <f t="shared" si="1"/>
        <v>100</v>
      </c>
      <c r="V13" s="1301" t="s">
        <v>5</v>
      </c>
      <c r="W13" s="1302">
        <f t="shared" si="2"/>
        <v>100</v>
      </c>
      <c r="X13" s="1303"/>
      <c r="Y13" s="3658"/>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10"/>
      <c r="Q14" s="815">
        <f t="shared" si="6"/>
        <v>111</v>
      </c>
      <c r="R14" s="1301" t="s">
        <v>5</v>
      </c>
      <c r="S14" s="1302">
        <f t="shared" si="0"/>
        <v>100</v>
      </c>
      <c r="T14" s="1301" t="s">
        <v>5</v>
      </c>
      <c r="U14" s="1302">
        <f t="shared" si="1"/>
        <v>100</v>
      </c>
      <c r="V14" s="1301" t="s">
        <v>5</v>
      </c>
      <c r="W14" s="1302">
        <f t="shared" si="2"/>
        <v>100</v>
      </c>
      <c r="X14" s="1303"/>
      <c r="Y14" s="3658"/>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44" t="s">
        <v>489</v>
      </c>
      <c r="Q15" s="1304" t="str">
        <f t="shared" si="6"/>
        <v>商业繁华度</v>
      </c>
      <c r="R15" s="1305" t="s">
        <v>5</v>
      </c>
      <c r="S15" s="1306">
        <f t="shared" si="0"/>
        <v>100</v>
      </c>
      <c r="T15" s="1305" t="s">
        <v>5</v>
      </c>
      <c r="U15" s="1306">
        <f t="shared" si="1"/>
        <v>100</v>
      </c>
      <c r="V15" s="1305" t="s">
        <v>5</v>
      </c>
      <c r="W15" s="1306">
        <f t="shared" si="2"/>
        <v>100</v>
      </c>
      <c r="X15" s="1300"/>
      <c r="Y15" s="3744"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45"/>
      <c r="Q16" s="1304"/>
      <c r="R16" s="1305"/>
      <c r="S16" s="1306"/>
      <c r="T16" s="1305"/>
      <c r="U16" s="1306"/>
      <c r="V16" s="1305"/>
      <c r="W16" s="1306"/>
      <c r="X16" s="1300"/>
      <c r="Y16" s="3745"/>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45"/>
      <c r="Q17" s="1304" t="str">
        <f>B17</f>
        <v>交通便捷度</v>
      </c>
      <c r="R17" s="1305" t="s">
        <v>5</v>
      </c>
      <c r="S17" s="1306">
        <f>F17</f>
        <v>100</v>
      </c>
      <c r="T17" s="1305" t="s">
        <v>5</v>
      </c>
      <c r="U17" s="1306">
        <f>H17</f>
        <v>100</v>
      </c>
      <c r="V17" s="1305" t="s">
        <v>5</v>
      </c>
      <c r="W17" s="1306">
        <f>J17</f>
        <v>100</v>
      </c>
      <c r="X17" s="1300"/>
      <c r="Y17" s="3745"/>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45"/>
      <c r="Q18" s="1304"/>
      <c r="R18" s="1305"/>
      <c r="S18" s="1306"/>
      <c r="T18" s="1305"/>
      <c r="U18" s="1306"/>
      <c r="V18" s="1305"/>
      <c r="W18" s="1306"/>
      <c r="X18" s="1300"/>
      <c r="Y18" s="3745"/>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45"/>
      <c r="Q19" s="1304" t="str">
        <f>B19</f>
        <v>公共配套设施</v>
      </c>
      <c r="R19" s="1305" t="s">
        <v>5</v>
      </c>
      <c r="S19" s="1306">
        <f>F19</f>
        <v>100</v>
      </c>
      <c r="T19" s="1305" t="s">
        <v>5</v>
      </c>
      <c r="U19" s="1306">
        <f>H19</f>
        <v>100</v>
      </c>
      <c r="V19" s="1305" t="s">
        <v>5</v>
      </c>
      <c r="W19" s="1306">
        <f>J19</f>
        <v>100</v>
      </c>
      <c r="X19" s="1300"/>
      <c r="Y19" s="3745"/>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45"/>
      <c r="Q20" s="1304"/>
      <c r="R20" s="1305"/>
      <c r="S20" s="1306"/>
      <c r="T20" s="1305"/>
      <c r="U20" s="1306"/>
      <c r="V20" s="1305"/>
      <c r="W20" s="1306"/>
      <c r="X20" s="1300"/>
      <c r="Y20" s="3745"/>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45"/>
      <c r="Q21" s="1304" t="str">
        <f>B21</f>
        <v>基础设施水平</v>
      </c>
      <c r="R21" s="1305" t="s">
        <v>5</v>
      </c>
      <c r="S21" s="1306">
        <f>F21</f>
        <v>100</v>
      </c>
      <c r="T21" s="1305" t="s">
        <v>5</v>
      </c>
      <c r="U21" s="1306">
        <f>H21</f>
        <v>100</v>
      </c>
      <c r="V21" s="1305" t="s">
        <v>5</v>
      </c>
      <c r="W21" s="1306">
        <f>J21</f>
        <v>100</v>
      </c>
      <c r="X21" s="1300"/>
      <c r="Y21" s="3745"/>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45"/>
      <c r="Q22" s="1304"/>
      <c r="R22" s="1305"/>
      <c r="S22" s="1306"/>
      <c r="T22" s="1305"/>
      <c r="U22" s="1306"/>
      <c r="V22" s="1305"/>
      <c r="W22" s="1306"/>
      <c r="X22" s="1300"/>
      <c r="Y22" s="3745"/>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45"/>
      <c r="Q23" s="1304" t="str">
        <f>B23</f>
        <v>自然及人文环境</v>
      </c>
      <c r="R23" s="1305" t="s">
        <v>5</v>
      </c>
      <c r="S23" s="1306">
        <f>F23</f>
        <v>100</v>
      </c>
      <c r="T23" s="1305" t="s">
        <v>5</v>
      </c>
      <c r="U23" s="1306">
        <f>H23</f>
        <v>100</v>
      </c>
      <c r="V23" s="1305" t="s">
        <v>5</v>
      </c>
      <c r="W23" s="1306">
        <f>J23</f>
        <v>100</v>
      </c>
      <c r="X23" s="1300"/>
      <c r="Y23" s="3745"/>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45"/>
      <c r="Q24" s="1304"/>
      <c r="R24" s="1305"/>
      <c r="S24" s="1306"/>
      <c r="T24" s="1305"/>
      <c r="U24" s="1306"/>
      <c r="V24" s="1305"/>
      <c r="W24" s="1306"/>
      <c r="X24" s="1300"/>
      <c r="Y24" s="3745"/>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45"/>
      <c r="Q25" s="1304" t="str">
        <f t="shared" ref="Q25:Q46" si="8">B25</f>
        <v>临街状况</v>
      </c>
      <c r="R25" s="1305" t="s">
        <v>5</v>
      </c>
      <c r="S25" s="1306">
        <f>F25</f>
        <v>100</v>
      </c>
      <c r="T25" s="1305" t="s">
        <v>5</v>
      </c>
      <c r="U25" s="1306">
        <f>H25</f>
        <v>100</v>
      </c>
      <c r="V25" s="1305" t="s">
        <v>5</v>
      </c>
      <c r="W25" s="1306">
        <f>J25</f>
        <v>100</v>
      </c>
      <c r="X25" s="1300"/>
      <c r="Y25" s="3745"/>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45"/>
      <c r="Q26" s="1304" t="str">
        <f t="shared" si="8"/>
        <v>平面位置/可视性</v>
      </c>
      <c r="R26" s="1305" t="s">
        <v>5</v>
      </c>
      <c r="S26" s="1306">
        <f>F26</f>
        <v>100</v>
      </c>
      <c r="T26" s="1305" t="s">
        <v>5</v>
      </c>
      <c r="U26" s="1306">
        <f>H26</f>
        <v>100</v>
      </c>
      <c r="V26" s="1305" t="s">
        <v>5</v>
      </c>
      <c r="W26" s="1306">
        <f>J26</f>
        <v>100</v>
      </c>
      <c r="X26" s="1300"/>
      <c r="Y26" s="3745"/>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45"/>
      <c r="Q27" s="815" t="str">
        <f t="shared" si="8"/>
        <v>人流量</v>
      </c>
      <c r="R27" s="1301" t="s">
        <v>5</v>
      </c>
      <c r="S27" s="1302">
        <f>F27</f>
        <v>100</v>
      </c>
      <c r="T27" s="1301" t="s">
        <v>5</v>
      </c>
      <c r="U27" s="1302">
        <f>H27</f>
        <v>100</v>
      </c>
      <c r="V27" s="1301" t="s">
        <v>5</v>
      </c>
      <c r="W27" s="1302">
        <f>J27</f>
        <v>100</v>
      </c>
      <c r="X27" s="1303"/>
      <c r="Y27" s="3745"/>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45"/>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45"/>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45"/>
      <c r="Q29" s="1304">
        <f t="shared" si="8"/>
        <v>111</v>
      </c>
      <c r="R29" s="1305" t="s">
        <v>5</v>
      </c>
      <c r="S29" s="1306">
        <f t="shared" si="9"/>
        <v>100</v>
      </c>
      <c r="T29" s="1305" t="s">
        <v>5</v>
      </c>
      <c r="U29" s="1306">
        <f t="shared" si="10"/>
        <v>100</v>
      </c>
      <c r="V29" s="1305" t="s">
        <v>5</v>
      </c>
      <c r="W29" s="1306">
        <f t="shared" si="11"/>
        <v>100</v>
      </c>
      <c r="X29" s="1300"/>
      <c r="Y29" s="3745"/>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45"/>
      <c r="Q30" s="1304">
        <f t="shared" si="8"/>
        <v>111</v>
      </c>
      <c r="R30" s="1305" t="s">
        <v>5</v>
      </c>
      <c r="S30" s="1306">
        <f t="shared" si="9"/>
        <v>100</v>
      </c>
      <c r="T30" s="1305" t="s">
        <v>5</v>
      </c>
      <c r="U30" s="1306">
        <f t="shared" si="10"/>
        <v>100</v>
      </c>
      <c r="V30" s="1305" t="s">
        <v>5</v>
      </c>
      <c r="W30" s="1306">
        <f t="shared" si="11"/>
        <v>100</v>
      </c>
      <c r="X30" s="1300"/>
      <c r="Y30" s="3745"/>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45"/>
      <c r="Q31" s="1304">
        <f t="shared" si="8"/>
        <v>111</v>
      </c>
      <c r="R31" s="1305" t="s">
        <v>5</v>
      </c>
      <c r="S31" s="1306">
        <f t="shared" si="9"/>
        <v>100</v>
      </c>
      <c r="T31" s="1305" t="s">
        <v>5</v>
      </c>
      <c r="U31" s="1306">
        <f t="shared" si="10"/>
        <v>100</v>
      </c>
      <c r="V31" s="1305" t="s">
        <v>5</v>
      </c>
      <c r="W31" s="1306">
        <f t="shared" si="11"/>
        <v>100</v>
      </c>
      <c r="X31" s="1300"/>
      <c r="Y31" s="3745"/>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46" t="s">
        <v>499</v>
      </c>
      <c r="Q32" s="1304" t="str">
        <f t="shared" si="8"/>
        <v>商业类型</v>
      </c>
      <c r="R32" s="1305" t="s">
        <v>5</v>
      </c>
      <c r="S32" s="1306">
        <f t="shared" si="9"/>
        <v>100</v>
      </c>
      <c r="T32" s="1305" t="s">
        <v>5</v>
      </c>
      <c r="U32" s="1306">
        <f t="shared" si="10"/>
        <v>100</v>
      </c>
      <c r="V32" s="1305" t="s">
        <v>5</v>
      </c>
      <c r="W32" s="1306">
        <f t="shared" si="11"/>
        <v>100</v>
      </c>
      <c r="X32" s="1300"/>
      <c r="Y32" s="3747"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47"/>
      <c r="Q33" s="816" t="str">
        <f t="shared" si="8"/>
        <v>项目建筑规模</v>
      </c>
      <c r="R33" s="1308" t="s">
        <v>5</v>
      </c>
      <c r="S33" s="1309" t="e">
        <f t="shared" si="9"/>
        <v>#N/A</v>
      </c>
      <c r="T33" s="1308" t="s">
        <v>5</v>
      </c>
      <c r="U33" s="1309" t="e">
        <f t="shared" si="10"/>
        <v>#N/A</v>
      </c>
      <c r="V33" s="1308" t="s">
        <v>5</v>
      </c>
      <c r="W33" s="1309" t="e">
        <f t="shared" si="11"/>
        <v>#N/A</v>
      </c>
      <c r="X33" s="1310"/>
      <c r="Y33" s="3747"/>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47"/>
      <c r="Q34" s="1304" t="str">
        <f t="shared" si="8"/>
        <v>建筑结构</v>
      </c>
      <c r="R34" s="1305" t="s">
        <v>5</v>
      </c>
      <c r="S34" s="1306">
        <f t="shared" si="9"/>
        <v>100</v>
      </c>
      <c r="T34" s="1305" t="s">
        <v>5</v>
      </c>
      <c r="U34" s="1306">
        <f t="shared" si="10"/>
        <v>100</v>
      </c>
      <c r="V34" s="1305" t="s">
        <v>5</v>
      </c>
      <c r="W34" s="1306">
        <f t="shared" si="11"/>
        <v>100</v>
      </c>
      <c r="X34" s="1300"/>
      <c r="Y34" s="3747"/>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47"/>
      <c r="Q35" s="1304" t="str">
        <f t="shared" si="8"/>
        <v>公共部分装修</v>
      </c>
      <c r="R35" s="1305" t="s">
        <v>5</v>
      </c>
      <c r="S35" s="1306">
        <f t="shared" si="9"/>
        <v>100</v>
      </c>
      <c r="T35" s="1305" t="s">
        <v>5</v>
      </c>
      <c r="U35" s="1306">
        <f t="shared" si="10"/>
        <v>100</v>
      </c>
      <c r="V35" s="1305" t="s">
        <v>5</v>
      </c>
      <c r="W35" s="1306">
        <f t="shared" si="11"/>
        <v>100</v>
      </c>
      <c r="X35" s="1300"/>
      <c r="Y35" s="3747"/>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47"/>
      <c r="Q36" s="1304" t="str">
        <f t="shared" si="8"/>
        <v>成新度</v>
      </c>
      <c r="R36" s="1305" t="s">
        <v>5</v>
      </c>
      <c r="S36" s="1306" t="e">
        <f t="shared" si="9"/>
        <v>#N/A</v>
      </c>
      <c r="T36" s="1305" t="s">
        <v>5</v>
      </c>
      <c r="U36" s="1306" t="e">
        <f t="shared" si="10"/>
        <v>#N/A</v>
      </c>
      <c r="V36" s="1305" t="s">
        <v>5</v>
      </c>
      <c r="W36" s="1306" t="e">
        <f t="shared" si="11"/>
        <v>#N/A</v>
      </c>
      <c r="X36" s="1300"/>
      <c r="Y36" s="3747"/>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47"/>
      <c r="Q37" s="815" t="str">
        <f t="shared" si="8"/>
        <v>市政基础设施</v>
      </c>
      <c r="R37" s="1301" t="s">
        <v>5</v>
      </c>
      <c r="S37" s="1302">
        <f t="shared" si="9"/>
        <v>100</v>
      </c>
      <c r="T37" s="1301" t="s">
        <v>5</v>
      </c>
      <c r="U37" s="1302">
        <f t="shared" si="10"/>
        <v>100</v>
      </c>
      <c r="V37" s="1301" t="s">
        <v>5</v>
      </c>
      <c r="W37" s="1302">
        <f t="shared" si="11"/>
        <v>100</v>
      </c>
      <c r="X37" s="1303"/>
      <c r="Y37" s="3747"/>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47" t="s">
        <v>706</v>
      </c>
      <c r="Q38" s="1304" t="str">
        <f t="shared" si="8"/>
        <v>业态</v>
      </c>
      <c r="R38" s="1305" t="s">
        <v>5</v>
      </c>
      <c r="S38" s="1306">
        <f t="shared" si="9"/>
        <v>100</v>
      </c>
      <c r="T38" s="1305" t="s">
        <v>5</v>
      </c>
      <c r="U38" s="1306">
        <f t="shared" si="10"/>
        <v>100</v>
      </c>
      <c r="V38" s="1305" t="s">
        <v>5</v>
      </c>
      <c r="W38" s="1306">
        <f t="shared" si="11"/>
        <v>100</v>
      </c>
      <c r="X38" s="1300"/>
      <c r="Y38" s="3747"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47"/>
      <c r="Q39" s="1304" t="str">
        <f t="shared" si="8"/>
        <v>层高</v>
      </c>
      <c r="R39" s="1305" t="s">
        <v>5</v>
      </c>
      <c r="S39" s="1306">
        <f t="shared" si="9"/>
        <v>100</v>
      </c>
      <c r="T39" s="1305" t="s">
        <v>5</v>
      </c>
      <c r="U39" s="1306">
        <f t="shared" si="10"/>
        <v>100</v>
      </c>
      <c r="V39" s="1305" t="s">
        <v>5</v>
      </c>
      <c r="W39" s="1306">
        <f t="shared" si="11"/>
        <v>100</v>
      </c>
      <c r="X39" s="1300"/>
      <c r="Y39" s="3747"/>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47"/>
      <c r="Q40" s="1304" t="str">
        <f t="shared" si="8"/>
        <v>单套建筑面积</v>
      </c>
      <c r="R40" s="1305" t="s">
        <v>5</v>
      </c>
      <c r="S40" s="1306">
        <f t="shared" si="9"/>
        <v>100</v>
      </c>
      <c r="T40" s="1305" t="s">
        <v>5</v>
      </c>
      <c r="U40" s="1306">
        <f t="shared" si="10"/>
        <v>100</v>
      </c>
      <c r="V40" s="1305" t="s">
        <v>5</v>
      </c>
      <c r="W40" s="1306">
        <f t="shared" si="11"/>
        <v>100</v>
      </c>
      <c r="X40" s="1300"/>
      <c r="Y40" s="3747"/>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47"/>
      <c r="Q41" s="816" t="str">
        <f t="shared" si="8"/>
        <v>进深比</v>
      </c>
      <c r="R41" s="1308" t="s">
        <v>5</v>
      </c>
      <c r="S41" s="1309">
        <f t="shared" si="9"/>
        <v>100</v>
      </c>
      <c r="T41" s="1308" t="s">
        <v>5</v>
      </c>
      <c r="U41" s="1309">
        <f t="shared" si="10"/>
        <v>100</v>
      </c>
      <c r="V41" s="1308" t="s">
        <v>5</v>
      </c>
      <c r="W41" s="1309">
        <f t="shared" si="11"/>
        <v>100</v>
      </c>
      <c r="X41" s="1310"/>
      <c r="Y41" s="3747"/>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47"/>
      <c r="Q42" s="1304" t="str">
        <f t="shared" si="8"/>
        <v>内部装修</v>
      </c>
      <c r="R42" s="1305" t="s">
        <v>5</v>
      </c>
      <c r="S42" s="1306">
        <f t="shared" si="9"/>
        <v>100</v>
      </c>
      <c r="T42" s="1305" t="s">
        <v>5</v>
      </c>
      <c r="U42" s="1306">
        <f t="shared" si="10"/>
        <v>100</v>
      </c>
      <c r="V42" s="1305" t="s">
        <v>5</v>
      </c>
      <c r="W42" s="1306">
        <f t="shared" si="11"/>
        <v>100</v>
      </c>
      <c r="X42" s="1300"/>
      <c r="Y42" s="3747"/>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47"/>
      <c r="Q43" s="1304" t="str">
        <f t="shared" si="8"/>
        <v>内部装修维护情况</v>
      </c>
      <c r="R43" s="1305" t="s">
        <v>5</v>
      </c>
      <c r="S43" s="1306">
        <f t="shared" si="9"/>
        <v>100</v>
      </c>
      <c r="T43" s="1305" t="s">
        <v>5</v>
      </c>
      <c r="U43" s="1306">
        <f t="shared" si="10"/>
        <v>100</v>
      </c>
      <c r="V43" s="1305" t="s">
        <v>5</v>
      </c>
      <c r="W43" s="1306">
        <f t="shared" si="11"/>
        <v>100</v>
      </c>
      <c r="X43" s="1300"/>
      <c r="Y43" s="3747"/>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47"/>
      <c r="Q44" s="815">
        <f t="shared" si="8"/>
        <v>111</v>
      </c>
      <c r="R44" s="1301" t="s">
        <v>5</v>
      </c>
      <c r="S44" s="1302">
        <f t="shared" si="9"/>
        <v>100</v>
      </c>
      <c r="T44" s="1301" t="s">
        <v>5</v>
      </c>
      <c r="U44" s="1302">
        <f t="shared" si="10"/>
        <v>100</v>
      </c>
      <c r="V44" s="1301" t="s">
        <v>5</v>
      </c>
      <c r="W44" s="1302">
        <f t="shared" si="11"/>
        <v>100</v>
      </c>
      <c r="X44" s="1303"/>
      <c r="Y44" s="3747"/>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47"/>
      <c r="Q45" s="1304">
        <f t="shared" si="8"/>
        <v>111</v>
      </c>
      <c r="R45" s="1305" t="s">
        <v>5</v>
      </c>
      <c r="S45" s="1306">
        <f t="shared" si="9"/>
        <v>100</v>
      </c>
      <c r="T45" s="1305" t="s">
        <v>5</v>
      </c>
      <c r="U45" s="1306">
        <f t="shared" si="10"/>
        <v>100</v>
      </c>
      <c r="V45" s="1305" t="s">
        <v>5</v>
      </c>
      <c r="W45" s="1306">
        <f t="shared" si="11"/>
        <v>100</v>
      </c>
      <c r="X45" s="1300"/>
      <c r="Y45" s="3747"/>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3"/>
      <c r="Q46" s="1304">
        <f t="shared" si="8"/>
        <v>111</v>
      </c>
      <c r="R46" s="1305" t="s">
        <v>5</v>
      </c>
      <c r="S46" s="1306">
        <f t="shared" si="9"/>
        <v>100</v>
      </c>
      <c r="T46" s="1305" t="s">
        <v>5</v>
      </c>
      <c r="U46" s="1306">
        <f t="shared" si="10"/>
        <v>100</v>
      </c>
      <c r="V46" s="1305" t="s">
        <v>5</v>
      </c>
      <c r="W46" s="1306">
        <f t="shared" si="11"/>
        <v>100</v>
      </c>
      <c r="X46" s="1300"/>
      <c r="Y46" s="3813"/>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10" t="str">
        <f>A47</f>
        <v>成交单价（元/平方米）</v>
      </c>
      <c r="Q47" s="3710"/>
      <c r="R47" s="3711">
        <f>E47</f>
        <v>0</v>
      </c>
      <c r="S47" s="3711"/>
      <c r="T47" s="3711">
        <f>G47</f>
        <v>0</v>
      </c>
      <c r="U47" s="3711"/>
      <c r="V47" s="3711">
        <f>I47</f>
        <v>0</v>
      </c>
      <c r="W47" s="3711"/>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10" t="str">
        <f>A48</f>
        <v>比较价格（元/平方米）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48" t="str">
        <f>A49</f>
        <v>估价对象XX用房的比较价格（楼面单价，元/平方米）</v>
      </c>
      <c r="Q49" s="3749"/>
      <c r="R49" s="3812" t="e">
        <f>IF(F1="售价",ROUND(IF(D48="简单平均",AVERAGE(R48:V48),R48*F48+T48*H48+V48*J48),0),ROUND(IF(D48="简单平均",AVERAGE(R48:V48),R48*F48+T48*H48+V48*J48),1))</f>
        <v>#DIV/0!</v>
      </c>
      <c r="S49" s="3812"/>
      <c r="T49" s="3812"/>
      <c r="U49" s="3812"/>
      <c r="V49" s="3812"/>
      <c r="W49" s="3812"/>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16" t="s">
        <v>471</v>
      </c>
      <c r="D4" s="3717"/>
      <c r="E4" s="3756" t="s">
        <v>472</v>
      </c>
      <c r="F4" s="3757"/>
      <c r="G4" s="3716" t="s">
        <v>473</v>
      </c>
      <c r="H4" s="3717"/>
      <c r="I4" s="3716" t="s">
        <v>474</v>
      </c>
      <c r="J4" s="3717"/>
      <c r="K4" s="464" t="s">
        <v>475</v>
      </c>
      <c r="L4" s="1739"/>
      <c r="M4" s="1740"/>
      <c r="N4" s="1740"/>
      <c r="O4" s="1740"/>
      <c r="P4" s="3844" t="s">
        <v>476</v>
      </c>
      <c r="Q4" s="3719"/>
      <c r="R4" s="3724" t="s">
        <v>472</v>
      </c>
      <c r="S4" s="3725"/>
      <c r="T4" s="3724" t="s">
        <v>473</v>
      </c>
      <c r="U4" s="3725"/>
      <c r="V4" s="3711" t="s">
        <v>474</v>
      </c>
      <c r="W4" s="3711"/>
      <c r="X4" s="1300"/>
      <c r="Y4" s="3724" t="s">
        <v>476</v>
      </c>
      <c r="Z4" s="3725"/>
      <c r="AA4" s="3713" t="s">
        <v>472</v>
      </c>
      <c r="AB4" s="3713" t="s">
        <v>473</v>
      </c>
      <c r="AC4" s="3713" t="s">
        <v>474</v>
      </c>
    </row>
    <row r="5" spans="1:29" ht="15">
      <c r="A5" s="465"/>
      <c r="B5" s="466"/>
      <c r="C5" s="3732" t="s">
        <v>2183</v>
      </c>
      <c r="D5" s="3733"/>
      <c r="E5" s="3758" t="s">
        <v>2184</v>
      </c>
      <c r="F5" s="3759"/>
      <c r="G5" s="3732" t="s">
        <v>2185</v>
      </c>
      <c r="H5" s="3733"/>
      <c r="I5" s="3732" t="s">
        <v>2186</v>
      </c>
      <c r="J5" s="3733"/>
      <c r="K5" s="464"/>
      <c r="L5" s="1739"/>
      <c r="M5" s="1740"/>
      <c r="N5" s="1740"/>
      <c r="O5" s="1740"/>
      <c r="P5" s="3845"/>
      <c r="Q5" s="3721"/>
      <c r="R5" s="3726"/>
      <c r="S5" s="3727"/>
      <c r="T5" s="3726"/>
      <c r="U5" s="3727"/>
      <c r="V5" s="3711"/>
      <c r="W5" s="3711"/>
      <c r="X5" s="1300"/>
      <c r="Y5" s="3726"/>
      <c r="Z5" s="3727"/>
      <c r="AA5" s="3714"/>
      <c r="AB5" s="3714"/>
      <c r="AC5" s="3714"/>
    </row>
    <row r="6" spans="1:29" ht="15.75" thickBot="1">
      <c r="A6" s="467"/>
      <c r="B6" s="468"/>
      <c r="C6" s="3730" t="s">
        <v>2187</v>
      </c>
      <c r="D6" s="3731"/>
      <c r="E6" s="3754" t="s">
        <v>2187</v>
      </c>
      <c r="F6" s="3755"/>
      <c r="G6" s="3730" t="s">
        <v>2187</v>
      </c>
      <c r="H6" s="3731"/>
      <c r="I6" s="3730" t="s">
        <v>2187</v>
      </c>
      <c r="J6" s="3731"/>
      <c r="K6" s="464" t="s">
        <v>477</v>
      </c>
      <c r="L6" s="1739"/>
      <c r="M6" s="1740"/>
      <c r="N6" s="1740"/>
      <c r="O6" s="1740"/>
      <c r="P6" s="3846"/>
      <c r="Q6" s="3723"/>
      <c r="R6" s="3726"/>
      <c r="S6" s="3727"/>
      <c r="T6" s="3728"/>
      <c r="U6" s="3729"/>
      <c r="V6" s="3711"/>
      <c r="W6" s="3711"/>
      <c r="X6" s="1300"/>
      <c r="Y6" s="3728"/>
      <c r="Z6" s="3729"/>
      <c r="AA6" s="3715"/>
      <c r="AB6" s="3715"/>
      <c r="AC6" s="3715"/>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43" t="s">
        <v>479</v>
      </c>
      <c r="Q7" s="3743"/>
      <c r="R7" s="1301" t="s">
        <v>5</v>
      </c>
      <c r="S7" s="1302">
        <f t="shared" ref="S7:S15" si="0">F7</f>
        <v>0</v>
      </c>
      <c r="T7" s="1301" t="s">
        <v>5</v>
      </c>
      <c r="U7" s="1302">
        <f t="shared" ref="U7:U15" si="1">H7</f>
        <v>0</v>
      </c>
      <c r="V7" s="1301" t="s">
        <v>5</v>
      </c>
      <c r="W7" s="1302">
        <f t="shared" ref="W7:W15" si="2">J7</f>
        <v>0</v>
      </c>
      <c r="X7" s="1303"/>
      <c r="Y7" s="3741" t="s">
        <v>479</v>
      </c>
      <c r="Z7" s="3742"/>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43" t="s">
        <v>482</v>
      </c>
      <c r="Q8" s="3742"/>
      <c r="R8" s="1301" t="s">
        <v>5</v>
      </c>
      <c r="S8" s="1302">
        <f t="shared" si="0"/>
        <v>0</v>
      </c>
      <c r="T8" s="1301" t="s">
        <v>5</v>
      </c>
      <c r="U8" s="1302">
        <f t="shared" si="1"/>
        <v>0</v>
      </c>
      <c r="V8" s="1301" t="s">
        <v>5</v>
      </c>
      <c r="W8" s="1302">
        <f t="shared" si="2"/>
        <v>0</v>
      </c>
      <c r="X8" s="1303"/>
      <c r="Y8" s="3741" t="s">
        <v>482</v>
      </c>
      <c r="Z8" s="3742"/>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10" t="s">
        <v>484</v>
      </c>
      <c r="Q9" s="815" t="str">
        <f t="shared" ref="Q9:Q15" si="6">B9</f>
        <v>用途</v>
      </c>
      <c r="R9" s="1301" t="s">
        <v>5</v>
      </c>
      <c r="S9" s="1302">
        <f t="shared" si="0"/>
        <v>100</v>
      </c>
      <c r="T9" s="1301" t="s">
        <v>5</v>
      </c>
      <c r="U9" s="1302">
        <f t="shared" si="1"/>
        <v>100</v>
      </c>
      <c r="V9" s="1301" t="s">
        <v>5</v>
      </c>
      <c r="W9" s="1302">
        <f t="shared" si="2"/>
        <v>100</v>
      </c>
      <c r="X9" s="1303"/>
      <c r="Y9" s="3658"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10"/>
      <c r="Q11" s="815" t="str">
        <f t="shared" si="6"/>
        <v>容积率</v>
      </c>
      <c r="R11" s="1301" t="s">
        <v>5</v>
      </c>
      <c r="S11" s="1302" t="e">
        <f t="shared" si="0"/>
        <v>#N/A</v>
      </c>
      <c r="T11" s="1301" t="s">
        <v>5</v>
      </c>
      <c r="U11" s="1302" t="e">
        <f t="shared" si="1"/>
        <v>#N/A</v>
      </c>
      <c r="V11" s="1301" t="s">
        <v>5</v>
      </c>
      <c r="W11" s="1302" t="e">
        <f t="shared" si="2"/>
        <v>#N/A</v>
      </c>
      <c r="X11" s="1303"/>
      <c r="Y11" s="3658"/>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10"/>
      <c r="Q12" s="815">
        <f t="shared" si="6"/>
        <v>111</v>
      </c>
      <c r="R12" s="1301" t="s">
        <v>5</v>
      </c>
      <c r="S12" s="1302">
        <f t="shared" si="0"/>
        <v>100</v>
      </c>
      <c r="T12" s="1301" t="s">
        <v>5</v>
      </c>
      <c r="U12" s="1302">
        <f t="shared" si="1"/>
        <v>100</v>
      </c>
      <c r="V12" s="1301" t="s">
        <v>5</v>
      </c>
      <c r="W12" s="1302">
        <f t="shared" si="2"/>
        <v>100</v>
      </c>
      <c r="X12" s="1303"/>
      <c r="Y12" s="3658"/>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10"/>
      <c r="Q13" s="815">
        <f t="shared" si="6"/>
        <v>111</v>
      </c>
      <c r="R13" s="1301" t="s">
        <v>5</v>
      </c>
      <c r="S13" s="1302">
        <f t="shared" si="0"/>
        <v>100</v>
      </c>
      <c r="T13" s="1301" t="s">
        <v>5</v>
      </c>
      <c r="U13" s="1302">
        <f t="shared" si="1"/>
        <v>100</v>
      </c>
      <c r="V13" s="1301" t="s">
        <v>5</v>
      </c>
      <c r="W13" s="1302">
        <f t="shared" si="2"/>
        <v>100</v>
      </c>
      <c r="X13" s="1303"/>
      <c r="Y13" s="3658"/>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10"/>
      <c r="Q14" s="815">
        <f t="shared" si="6"/>
        <v>111</v>
      </c>
      <c r="R14" s="1301" t="s">
        <v>5</v>
      </c>
      <c r="S14" s="1302">
        <f t="shared" si="0"/>
        <v>100</v>
      </c>
      <c r="T14" s="1301" t="s">
        <v>5</v>
      </c>
      <c r="U14" s="1302">
        <f t="shared" si="1"/>
        <v>100</v>
      </c>
      <c r="V14" s="1301" t="s">
        <v>5</v>
      </c>
      <c r="W14" s="1302">
        <f t="shared" si="2"/>
        <v>100</v>
      </c>
      <c r="X14" s="1303"/>
      <c r="Y14" s="3658"/>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44" t="s">
        <v>489</v>
      </c>
      <c r="Q15" s="1304" t="str">
        <f t="shared" si="6"/>
        <v>办公集聚程度</v>
      </c>
      <c r="R15" s="1305" t="s">
        <v>5</v>
      </c>
      <c r="S15" s="1306">
        <f t="shared" si="0"/>
        <v>100</v>
      </c>
      <c r="T15" s="1305" t="s">
        <v>5</v>
      </c>
      <c r="U15" s="1306">
        <f t="shared" si="1"/>
        <v>100</v>
      </c>
      <c r="V15" s="1305" t="s">
        <v>5</v>
      </c>
      <c r="W15" s="1306">
        <f t="shared" si="2"/>
        <v>100</v>
      </c>
      <c r="X15" s="1300"/>
      <c r="Y15" s="3744"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45"/>
      <c r="Q16" s="1304"/>
      <c r="R16" s="1305"/>
      <c r="S16" s="1306"/>
      <c r="T16" s="1305"/>
      <c r="U16" s="1306"/>
      <c r="V16" s="1305"/>
      <c r="W16" s="1306"/>
      <c r="X16" s="1300"/>
      <c r="Y16" s="3745"/>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45"/>
      <c r="Q17" s="1304" t="str">
        <f>B17</f>
        <v>交通便捷度</v>
      </c>
      <c r="R17" s="1305" t="s">
        <v>5</v>
      </c>
      <c r="S17" s="1306">
        <f>F17</f>
        <v>100</v>
      </c>
      <c r="T17" s="1305" t="s">
        <v>5</v>
      </c>
      <c r="U17" s="1306">
        <f>H17</f>
        <v>100</v>
      </c>
      <c r="V17" s="1305" t="s">
        <v>5</v>
      </c>
      <c r="W17" s="1306">
        <f>J17</f>
        <v>100</v>
      </c>
      <c r="X17" s="1300"/>
      <c r="Y17" s="3745"/>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45"/>
      <c r="Q18" s="1304"/>
      <c r="R18" s="1305"/>
      <c r="S18" s="1306"/>
      <c r="T18" s="1305"/>
      <c r="U18" s="1306"/>
      <c r="V18" s="1305"/>
      <c r="W18" s="1306"/>
      <c r="X18" s="1300"/>
      <c r="Y18" s="3745"/>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45"/>
      <c r="Q19" s="1304" t="str">
        <f>B19</f>
        <v>公共配套设施</v>
      </c>
      <c r="R19" s="1305" t="s">
        <v>5</v>
      </c>
      <c r="S19" s="1306">
        <f>F19</f>
        <v>100</v>
      </c>
      <c r="T19" s="1305" t="s">
        <v>5</v>
      </c>
      <c r="U19" s="1306">
        <f>H19</f>
        <v>100</v>
      </c>
      <c r="V19" s="1305" t="s">
        <v>5</v>
      </c>
      <c r="W19" s="1306">
        <f>J19</f>
        <v>100</v>
      </c>
      <c r="X19" s="1300"/>
      <c r="Y19" s="3745"/>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45"/>
      <c r="Q20" s="1304"/>
      <c r="R20" s="1305"/>
      <c r="S20" s="1306"/>
      <c r="T20" s="1305"/>
      <c r="U20" s="1306"/>
      <c r="V20" s="1305"/>
      <c r="W20" s="1306"/>
      <c r="X20" s="1300"/>
      <c r="Y20" s="3745"/>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45"/>
      <c r="Q21" s="1304" t="str">
        <f>B21</f>
        <v>基础设施水平</v>
      </c>
      <c r="R21" s="1305" t="s">
        <v>5</v>
      </c>
      <c r="S21" s="1306">
        <f>F21</f>
        <v>100</v>
      </c>
      <c r="T21" s="1305" t="s">
        <v>5</v>
      </c>
      <c r="U21" s="1306">
        <f>H21</f>
        <v>100</v>
      </c>
      <c r="V21" s="1305" t="s">
        <v>5</v>
      </c>
      <c r="W21" s="1306">
        <f>J21</f>
        <v>100</v>
      </c>
      <c r="X21" s="1300"/>
      <c r="Y21" s="3745"/>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45"/>
      <c r="Q22" s="1304"/>
      <c r="R22" s="1305"/>
      <c r="S22" s="1306"/>
      <c r="T22" s="1305"/>
      <c r="U22" s="1306"/>
      <c r="V22" s="1305"/>
      <c r="W22" s="1306"/>
      <c r="X22" s="1300"/>
      <c r="Y22" s="3745"/>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45"/>
      <c r="Q23" s="1304" t="str">
        <f>B23</f>
        <v>环境质量</v>
      </c>
      <c r="R23" s="1305" t="s">
        <v>5</v>
      </c>
      <c r="S23" s="1306">
        <f>F23</f>
        <v>100</v>
      </c>
      <c r="T23" s="1305" t="s">
        <v>5</v>
      </c>
      <c r="U23" s="1306">
        <f>H23</f>
        <v>100</v>
      </c>
      <c r="V23" s="1305" t="s">
        <v>5</v>
      </c>
      <c r="W23" s="1306">
        <f>J23</f>
        <v>100</v>
      </c>
      <c r="X23" s="1300"/>
      <c r="Y23" s="3745"/>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45"/>
      <c r="Q24" s="1304"/>
      <c r="R24" s="1305"/>
      <c r="S24" s="1306"/>
      <c r="T24" s="1305"/>
      <c r="U24" s="1306"/>
      <c r="V24" s="1305"/>
      <c r="W24" s="1306"/>
      <c r="X24" s="1300"/>
      <c r="Y24" s="3745"/>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45"/>
      <c r="Q25" s="1304" t="str">
        <f>B25</f>
        <v>毗邻道路的类型与等级</v>
      </c>
      <c r="R25" s="1305" t="s">
        <v>5</v>
      </c>
      <c r="S25" s="1306">
        <f>F25</f>
        <v>100</v>
      </c>
      <c r="T25" s="1305" t="s">
        <v>5</v>
      </c>
      <c r="U25" s="1306">
        <f>H25</f>
        <v>100</v>
      </c>
      <c r="V25" s="1305" t="s">
        <v>5</v>
      </c>
      <c r="W25" s="1306">
        <f>J25</f>
        <v>100</v>
      </c>
      <c r="X25" s="1300"/>
      <c r="Y25" s="3745"/>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45"/>
      <c r="Q26" s="1304"/>
      <c r="R26" s="1305"/>
      <c r="S26" s="1306"/>
      <c r="T26" s="1305"/>
      <c r="U26" s="1306"/>
      <c r="V26" s="1305"/>
      <c r="W26" s="1306"/>
      <c r="X26" s="1300"/>
      <c r="Y26" s="3745"/>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45"/>
      <c r="Q27" s="1304" t="str">
        <f t="shared" ref="Q27:Q47" si="8">B27</f>
        <v>楼层</v>
      </c>
      <c r="R27" s="1305" t="s">
        <v>5</v>
      </c>
      <c r="S27" s="1306">
        <f>F27</f>
        <v>100</v>
      </c>
      <c r="T27" s="1305" t="s">
        <v>5</v>
      </c>
      <c r="U27" s="1306">
        <f>H27</f>
        <v>100</v>
      </c>
      <c r="V27" s="1305" t="s">
        <v>5</v>
      </c>
      <c r="W27" s="1306">
        <f>J27</f>
        <v>100</v>
      </c>
      <c r="X27" s="1300"/>
      <c r="Y27" s="3745"/>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45"/>
      <c r="Q28" s="815" t="str">
        <f t="shared" si="8"/>
        <v>朝向</v>
      </c>
      <c r="R28" s="1301" t="s">
        <v>5</v>
      </c>
      <c r="S28" s="1302">
        <f>F28</f>
        <v>100</v>
      </c>
      <c r="T28" s="1301" t="s">
        <v>5</v>
      </c>
      <c r="U28" s="1302">
        <f>H28</f>
        <v>100</v>
      </c>
      <c r="V28" s="1301" t="s">
        <v>5</v>
      </c>
      <c r="W28" s="1302">
        <f>J28</f>
        <v>100</v>
      </c>
      <c r="X28" s="1303"/>
      <c r="Y28" s="3745"/>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45"/>
      <c r="Q29" s="1304">
        <f t="shared" si="8"/>
        <v>111</v>
      </c>
      <c r="R29" s="1305" t="s">
        <v>5</v>
      </c>
      <c r="S29" s="1306">
        <f t="shared" ref="S29:S47" si="9">F29</f>
        <v>100</v>
      </c>
      <c r="T29" s="1305" t="s">
        <v>5</v>
      </c>
      <c r="U29" s="1306">
        <f t="shared" ref="U29:U47" si="10">H29</f>
        <v>100</v>
      </c>
      <c r="V29" s="1305" t="s">
        <v>5</v>
      </c>
      <c r="W29" s="1306">
        <f t="shared" ref="W29:W47" si="11">J29</f>
        <v>100</v>
      </c>
      <c r="X29" s="1300"/>
      <c r="Y29" s="3745"/>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45"/>
      <c r="Q30" s="1304">
        <f t="shared" si="8"/>
        <v>111</v>
      </c>
      <c r="R30" s="1305" t="s">
        <v>5</v>
      </c>
      <c r="S30" s="1306">
        <f t="shared" si="9"/>
        <v>100</v>
      </c>
      <c r="T30" s="1305" t="s">
        <v>5</v>
      </c>
      <c r="U30" s="1306">
        <f t="shared" si="10"/>
        <v>100</v>
      </c>
      <c r="V30" s="1305" t="s">
        <v>5</v>
      </c>
      <c r="W30" s="1306">
        <f t="shared" si="11"/>
        <v>100</v>
      </c>
      <c r="X30" s="1300"/>
      <c r="Y30" s="3745"/>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45"/>
      <c r="Q31" s="1304">
        <f t="shared" si="8"/>
        <v>111</v>
      </c>
      <c r="R31" s="1305" t="s">
        <v>5</v>
      </c>
      <c r="S31" s="1306">
        <f t="shared" si="9"/>
        <v>100</v>
      </c>
      <c r="T31" s="1305" t="s">
        <v>5</v>
      </c>
      <c r="U31" s="1306">
        <f t="shared" si="10"/>
        <v>100</v>
      </c>
      <c r="V31" s="1305" t="s">
        <v>5</v>
      </c>
      <c r="W31" s="1306">
        <f t="shared" si="11"/>
        <v>100</v>
      </c>
      <c r="X31" s="1300"/>
      <c r="Y31" s="3745"/>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45"/>
      <c r="Q32" s="1304">
        <f t="shared" si="8"/>
        <v>111</v>
      </c>
      <c r="R32" s="1305" t="s">
        <v>5</v>
      </c>
      <c r="S32" s="1306">
        <f t="shared" si="9"/>
        <v>100</v>
      </c>
      <c r="T32" s="1305" t="s">
        <v>5</v>
      </c>
      <c r="U32" s="1306">
        <f t="shared" si="10"/>
        <v>100</v>
      </c>
      <c r="V32" s="1305" t="s">
        <v>5</v>
      </c>
      <c r="W32" s="1306">
        <f t="shared" si="11"/>
        <v>100</v>
      </c>
      <c r="X32" s="1300"/>
      <c r="Y32" s="3745"/>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46" t="s">
        <v>499</v>
      </c>
      <c r="Q33" s="1304" t="str">
        <f t="shared" si="8"/>
        <v>建筑类型</v>
      </c>
      <c r="R33" s="1305" t="s">
        <v>5</v>
      </c>
      <c r="S33" s="1306">
        <f t="shared" si="9"/>
        <v>100</v>
      </c>
      <c r="T33" s="1305" t="s">
        <v>5</v>
      </c>
      <c r="U33" s="1306">
        <f t="shared" si="10"/>
        <v>100</v>
      </c>
      <c r="V33" s="1305" t="s">
        <v>5</v>
      </c>
      <c r="W33" s="1306">
        <f t="shared" si="11"/>
        <v>100</v>
      </c>
      <c r="X33" s="1300"/>
      <c r="Y33" s="3747"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47"/>
      <c r="Q34" s="816" t="str">
        <f t="shared" si="8"/>
        <v>项目建筑规模</v>
      </c>
      <c r="R34" s="1308" t="s">
        <v>5</v>
      </c>
      <c r="S34" s="1309" t="e">
        <f t="shared" si="9"/>
        <v>#N/A</v>
      </c>
      <c r="T34" s="1308" t="s">
        <v>5</v>
      </c>
      <c r="U34" s="1309" t="e">
        <f t="shared" si="10"/>
        <v>#N/A</v>
      </c>
      <c r="V34" s="1308" t="s">
        <v>5</v>
      </c>
      <c r="W34" s="1309" t="e">
        <f t="shared" si="11"/>
        <v>#N/A</v>
      </c>
      <c r="X34" s="1310"/>
      <c r="Y34" s="3747"/>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47"/>
      <c r="Q35" s="1304" t="str">
        <f t="shared" si="8"/>
        <v>建筑结构</v>
      </c>
      <c r="R35" s="1305" t="s">
        <v>5</v>
      </c>
      <c r="S35" s="1306">
        <f t="shared" si="9"/>
        <v>100</v>
      </c>
      <c r="T35" s="1305" t="s">
        <v>5</v>
      </c>
      <c r="U35" s="1306">
        <f t="shared" si="10"/>
        <v>100</v>
      </c>
      <c r="V35" s="1305" t="s">
        <v>5</v>
      </c>
      <c r="W35" s="1306">
        <f t="shared" si="11"/>
        <v>100</v>
      </c>
      <c r="X35" s="1300"/>
      <c r="Y35" s="3747"/>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47"/>
      <c r="Q36" s="1304" t="str">
        <f t="shared" si="8"/>
        <v>公共部分装修</v>
      </c>
      <c r="R36" s="1305" t="s">
        <v>5</v>
      </c>
      <c r="S36" s="1306">
        <f t="shared" si="9"/>
        <v>100</v>
      </c>
      <c r="T36" s="1305" t="s">
        <v>5</v>
      </c>
      <c r="U36" s="1306">
        <f t="shared" si="10"/>
        <v>100</v>
      </c>
      <c r="V36" s="1305" t="s">
        <v>5</v>
      </c>
      <c r="W36" s="1306">
        <f t="shared" si="11"/>
        <v>100</v>
      </c>
      <c r="X36" s="1300"/>
      <c r="Y36" s="3747"/>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47"/>
      <c r="Q37" s="1304" t="str">
        <f t="shared" si="8"/>
        <v>成新度</v>
      </c>
      <c r="R37" s="1305" t="s">
        <v>5</v>
      </c>
      <c r="S37" s="1306" t="e">
        <f t="shared" si="9"/>
        <v>#N/A</v>
      </c>
      <c r="T37" s="1305" t="s">
        <v>5</v>
      </c>
      <c r="U37" s="1306" t="e">
        <f t="shared" si="10"/>
        <v>#N/A</v>
      </c>
      <c r="V37" s="1305" t="s">
        <v>5</v>
      </c>
      <c r="W37" s="1306" t="e">
        <f t="shared" si="11"/>
        <v>#N/A</v>
      </c>
      <c r="X37" s="1300"/>
      <c r="Y37" s="3747"/>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47"/>
      <c r="Q38" s="815" t="str">
        <f t="shared" si="8"/>
        <v>写字楼等级</v>
      </c>
      <c r="R38" s="1301" t="s">
        <v>5</v>
      </c>
      <c r="S38" s="1302">
        <f t="shared" si="9"/>
        <v>100</v>
      </c>
      <c r="T38" s="1301" t="s">
        <v>5</v>
      </c>
      <c r="U38" s="1302">
        <f t="shared" si="10"/>
        <v>100</v>
      </c>
      <c r="V38" s="1301" t="s">
        <v>5</v>
      </c>
      <c r="W38" s="1302">
        <f t="shared" si="11"/>
        <v>100</v>
      </c>
      <c r="X38" s="1303"/>
      <c r="Y38" s="3747"/>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47" t="s">
        <v>499</v>
      </c>
      <c r="Q39" s="1304" t="str">
        <f t="shared" si="8"/>
        <v>物业管理</v>
      </c>
      <c r="R39" s="1305" t="s">
        <v>5</v>
      </c>
      <c r="S39" s="1306">
        <f t="shared" si="9"/>
        <v>100</v>
      </c>
      <c r="T39" s="1305" t="s">
        <v>5</v>
      </c>
      <c r="U39" s="1306">
        <f t="shared" si="10"/>
        <v>100</v>
      </c>
      <c r="V39" s="1305" t="s">
        <v>5</v>
      </c>
      <c r="W39" s="1306">
        <f t="shared" si="11"/>
        <v>100</v>
      </c>
      <c r="X39" s="1300"/>
      <c r="Y39" s="3747"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47"/>
      <c r="Q40" s="1304" t="str">
        <f t="shared" si="8"/>
        <v>市政基础设施</v>
      </c>
      <c r="R40" s="1305" t="s">
        <v>5</v>
      </c>
      <c r="S40" s="1306">
        <f t="shared" si="9"/>
        <v>100</v>
      </c>
      <c r="T40" s="1305" t="s">
        <v>5</v>
      </c>
      <c r="U40" s="1306">
        <f t="shared" si="10"/>
        <v>100</v>
      </c>
      <c r="V40" s="1305" t="s">
        <v>5</v>
      </c>
      <c r="W40" s="1306">
        <f t="shared" si="11"/>
        <v>100</v>
      </c>
      <c r="X40" s="1300"/>
      <c r="Y40" s="3747"/>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47"/>
      <c r="Q41" s="1304" t="str">
        <f t="shared" si="8"/>
        <v>层高</v>
      </c>
      <c r="R41" s="1305" t="s">
        <v>5</v>
      </c>
      <c r="S41" s="1306">
        <f t="shared" si="9"/>
        <v>100</v>
      </c>
      <c r="T41" s="1305" t="s">
        <v>5</v>
      </c>
      <c r="U41" s="1306">
        <f t="shared" si="10"/>
        <v>100</v>
      </c>
      <c r="V41" s="1305" t="s">
        <v>5</v>
      </c>
      <c r="W41" s="1306">
        <f t="shared" si="11"/>
        <v>100</v>
      </c>
      <c r="X41" s="1300"/>
      <c r="Y41" s="3747"/>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47"/>
      <c r="Q42" s="816" t="str">
        <f t="shared" si="8"/>
        <v>单套建筑面积</v>
      </c>
      <c r="R42" s="1308" t="s">
        <v>5</v>
      </c>
      <c r="S42" s="1309">
        <f t="shared" si="9"/>
        <v>100</v>
      </c>
      <c r="T42" s="1308" t="s">
        <v>5</v>
      </c>
      <c r="U42" s="1309">
        <f t="shared" si="10"/>
        <v>100</v>
      </c>
      <c r="V42" s="1308" t="s">
        <v>5</v>
      </c>
      <c r="W42" s="1309">
        <f t="shared" si="11"/>
        <v>100</v>
      </c>
      <c r="X42" s="1310"/>
      <c r="Y42" s="3747"/>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47"/>
      <c r="Q43" s="1304" t="str">
        <f t="shared" si="8"/>
        <v>内部装修</v>
      </c>
      <c r="R43" s="1305" t="s">
        <v>5</v>
      </c>
      <c r="S43" s="1306">
        <f t="shared" si="9"/>
        <v>100</v>
      </c>
      <c r="T43" s="1305" t="s">
        <v>5</v>
      </c>
      <c r="U43" s="1306">
        <f t="shared" si="10"/>
        <v>100</v>
      </c>
      <c r="V43" s="1305" t="s">
        <v>5</v>
      </c>
      <c r="W43" s="1306">
        <f t="shared" si="11"/>
        <v>100</v>
      </c>
      <c r="X43" s="1300"/>
      <c r="Y43" s="3747"/>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47"/>
      <c r="Q44" s="1304" t="str">
        <f t="shared" si="8"/>
        <v>内部装修维护情况</v>
      </c>
      <c r="R44" s="1305" t="s">
        <v>5</v>
      </c>
      <c r="S44" s="1306">
        <f t="shared" si="9"/>
        <v>100</v>
      </c>
      <c r="T44" s="1305" t="s">
        <v>5</v>
      </c>
      <c r="U44" s="1306">
        <f t="shared" si="10"/>
        <v>100</v>
      </c>
      <c r="V44" s="1305" t="s">
        <v>5</v>
      </c>
      <c r="W44" s="1306">
        <f t="shared" si="11"/>
        <v>100</v>
      </c>
      <c r="X44" s="1300"/>
      <c r="Y44" s="3747"/>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47"/>
      <c r="Q45" s="815">
        <f t="shared" si="8"/>
        <v>111</v>
      </c>
      <c r="R45" s="1301" t="s">
        <v>5</v>
      </c>
      <c r="S45" s="1302">
        <f t="shared" si="9"/>
        <v>100</v>
      </c>
      <c r="T45" s="1301" t="s">
        <v>5</v>
      </c>
      <c r="U45" s="1302">
        <f t="shared" si="10"/>
        <v>100</v>
      </c>
      <c r="V45" s="1301" t="s">
        <v>5</v>
      </c>
      <c r="W45" s="1302">
        <f t="shared" si="11"/>
        <v>100</v>
      </c>
      <c r="X45" s="1303"/>
      <c r="Y45" s="3747"/>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47"/>
      <c r="Q46" s="1304">
        <f t="shared" si="8"/>
        <v>111</v>
      </c>
      <c r="R46" s="1305" t="s">
        <v>5</v>
      </c>
      <c r="S46" s="1306">
        <f t="shared" si="9"/>
        <v>100</v>
      </c>
      <c r="T46" s="1305" t="s">
        <v>5</v>
      </c>
      <c r="U46" s="1306">
        <f t="shared" si="10"/>
        <v>100</v>
      </c>
      <c r="V46" s="1305" t="s">
        <v>5</v>
      </c>
      <c r="W46" s="1306">
        <f t="shared" si="11"/>
        <v>100</v>
      </c>
      <c r="X46" s="1300"/>
      <c r="Y46" s="3747"/>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3"/>
      <c r="Q47" s="1304">
        <f t="shared" si="8"/>
        <v>111</v>
      </c>
      <c r="R47" s="1305" t="s">
        <v>5</v>
      </c>
      <c r="S47" s="1306">
        <f t="shared" si="9"/>
        <v>100</v>
      </c>
      <c r="T47" s="1305" t="s">
        <v>5</v>
      </c>
      <c r="U47" s="1306">
        <f t="shared" si="10"/>
        <v>100</v>
      </c>
      <c r="V47" s="1305" t="s">
        <v>5</v>
      </c>
      <c r="W47" s="1306">
        <f t="shared" si="11"/>
        <v>100</v>
      </c>
      <c r="X47" s="1300"/>
      <c r="Y47" s="3813"/>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49" t="str">
        <f>A48</f>
        <v>成交单价（元/平方米）</v>
      </c>
      <c r="Q48" s="3710"/>
      <c r="R48" s="3711">
        <f>E48</f>
        <v>0</v>
      </c>
      <c r="S48" s="3711"/>
      <c r="T48" s="3711">
        <f>G48</f>
        <v>0</v>
      </c>
      <c r="U48" s="3711"/>
      <c r="V48" s="3711">
        <f>I48</f>
        <v>0</v>
      </c>
      <c r="W48" s="3711"/>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49" t="str">
        <f>A49</f>
        <v>比较价格（元/平方米）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43" t="str">
        <f>A50</f>
        <v>估价对象XX用房的比较价格（楼面单价，元/平方米）</v>
      </c>
      <c r="Q50" s="3749"/>
      <c r="R50" s="3812" t="e">
        <f>IF(F1="售价",ROUND(IF(D49="简单平均",AVERAGE(R49:V49),R49*F49+T49*H49+V49*J49),0),ROUND(IF(D49="简单平均",AVERAGE(R49:V49),R49*F49+T49*H49+V49*J49),1))</f>
        <v>#DIV/0!</v>
      </c>
      <c r="S50" s="3812"/>
      <c r="T50" s="3812"/>
      <c r="U50" s="3812"/>
      <c r="V50" s="3812"/>
      <c r="W50" s="3812"/>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16" t="s">
        <v>471</v>
      </c>
      <c r="D4" s="3717"/>
      <c r="E4" s="3756" t="s">
        <v>472</v>
      </c>
      <c r="F4" s="3757"/>
      <c r="G4" s="3716" t="s">
        <v>473</v>
      </c>
      <c r="H4" s="3717"/>
      <c r="I4" s="3716" t="s">
        <v>474</v>
      </c>
      <c r="J4" s="3717"/>
      <c r="K4" s="464" t="s">
        <v>475</v>
      </c>
      <c r="L4" s="1739"/>
      <c r="M4" s="1740"/>
      <c r="N4" s="1740"/>
      <c r="O4" s="1740"/>
      <c r="P4" s="3718" t="s">
        <v>476</v>
      </c>
      <c r="Q4" s="3719"/>
      <c r="R4" s="3724" t="s">
        <v>472</v>
      </c>
      <c r="S4" s="3725"/>
      <c r="T4" s="3724" t="s">
        <v>473</v>
      </c>
      <c r="U4" s="3725"/>
      <c r="V4" s="3711" t="s">
        <v>474</v>
      </c>
      <c r="W4" s="3711"/>
      <c r="X4" s="1300"/>
      <c r="Y4" s="3724" t="s">
        <v>476</v>
      </c>
      <c r="Z4" s="3725"/>
      <c r="AA4" s="3713" t="s">
        <v>472</v>
      </c>
      <c r="AB4" s="3714" t="s">
        <v>473</v>
      </c>
      <c r="AC4" s="3713" t="s">
        <v>474</v>
      </c>
    </row>
    <row r="5" spans="1:29" ht="15">
      <c r="A5" s="465"/>
      <c r="B5" s="466"/>
      <c r="C5" s="3732" t="s">
        <v>2183</v>
      </c>
      <c r="D5" s="3733"/>
      <c r="E5" s="3758" t="s">
        <v>2184</v>
      </c>
      <c r="F5" s="3759"/>
      <c r="G5" s="3732" t="s">
        <v>2185</v>
      </c>
      <c r="H5" s="3733"/>
      <c r="I5" s="3732" t="s">
        <v>2186</v>
      </c>
      <c r="J5" s="3733"/>
      <c r="K5" s="464"/>
      <c r="L5" s="1739"/>
      <c r="M5" s="1740"/>
      <c r="N5" s="1740"/>
      <c r="O5" s="1740"/>
      <c r="P5" s="3720"/>
      <c r="Q5" s="3721"/>
      <c r="R5" s="3726"/>
      <c r="S5" s="3727"/>
      <c r="T5" s="3726"/>
      <c r="U5" s="3727"/>
      <c r="V5" s="3711"/>
      <c r="W5" s="3711"/>
      <c r="X5" s="1300"/>
      <c r="Y5" s="3726"/>
      <c r="Z5" s="3727"/>
      <c r="AA5" s="3714"/>
      <c r="AB5" s="3714"/>
      <c r="AC5" s="3714"/>
    </row>
    <row r="6" spans="1:29" ht="15.75" thickBot="1">
      <c r="A6" s="467"/>
      <c r="B6" s="468"/>
      <c r="C6" s="3730" t="s">
        <v>2187</v>
      </c>
      <c r="D6" s="3731"/>
      <c r="E6" s="3754" t="s">
        <v>2187</v>
      </c>
      <c r="F6" s="3755"/>
      <c r="G6" s="3730" t="s">
        <v>2187</v>
      </c>
      <c r="H6" s="3731"/>
      <c r="I6" s="3730" t="s">
        <v>2187</v>
      </c>
      <c r="J6" s="3731"/>
      <c r="K6" s="464" t="s">
        <v>477</v>
      </c>
      <c r="L6" s="1739"/>
      <c r="M6" s="1740"/>
      <c r="N6" s="1740"/>
      <c r="O6" s="1740"/>
      <c r="P6" s="3722"/>
      <c r="Q6" s="3723"/>
      <c r="R6" s="3726"/>
      <c r="S6" s="3727"/>
      <c r="T6" s="3728"/>
      <c r="U6" s="3729"/>
      <c r="V6" s="3711"/>
      <c r="W6" s="3711"/>
      <c r="X6" s="1300"/>
      <c r="Y6" s="3728"/>
      <c r="Z6" s="3729"/>
      <c r="AA6" s="3715"/>
      <c r="AB6" s="3715"/>
      <c r="AC6" s="3715"/>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41" t="s">
        <v>479</v>
      </c>
      <c r="Q7" s="3743"/>
      <c r="R7" s="1301" t="s">
        <v>5</v>
      </c>
      <c r="S7" s="1302">
        <f t="shared" ref="S7:S15" si="0">F7</f>
        <v>0</v>
      </c>
      <c r="T7" s="1301" t="s">
        <v>5</v>
      </c>
      <c r="U7" s="1302">
        <f t="shared" ref="U7:U15" si="1">H7</f>
        <v>0</v>
      </c>
      <c r="V7" s="1301" t="s">
        <v>5</v>
      </c>
      <c r="W7" s="1302">
        <f t="shared" ref="W7:W15" si="2">J7</f>
        <v>0</v>
      </c>
      <c r="X7" s="1303"/>
      <c r="Y7" s="3741" t="s">
        <v>479</v>
      </c>
      <c r="Z7" s="3742"/>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41" t="s">
        <v>482</v>
      </c>
      <c r="Q8" s="3742"/>
      <c r="R8" s="1301" t="s">
        <v>5</v>
      </c>
      <c r="S8" s="1302">
        <f t="shared" si="0"/>
        <v>0</v>
      </c>
      <c r="T8" s="1301" t="s">
        <v>5</v>
      </c>
      <c r="U8" s="1302">
        <f t="shared" si="1"/>
        <v>0</v>
      </c>
      <c r="V8" s="1301" t="s">
        <v>5</v>
      </c>
      <c r="W8" s="1302">
        <f t="shared" si="2"/>
        <v>0</v>
      </c>
      <c r="X8" s="1303"/>
      <c r="Y8" s="3741" t="s">
        <v>482</v>
      </c>
      <c r="Z8" s="3742"/>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10" t="s">
        <v>484</v>
      </c>
      <c r="Q9" s="815" t="str">
        <f t="shared" ref="Q9:Q15" si="6">B9</f>
        <v>用途</v>
      </c>
      <c r="R9" s="1301" t="s">
        <v>5</v>
      </c>
      <c r="S9" s="1302">
        <f t="shared" si="0"/>
        <v>100</v>
      </c>
      <c r="T9" s="1301" t="s">
        <v>5</v>
      </c>
      <c r="U9" s="1302">
        <f t="shared" si="1"/>
        <v>100</v>
      </c>
      <c r="V9" s="1301" t="s">
        <v>5</v>
      </c>
      <c r="W9" s="1302">
        <f t="shared" si="2"/>
        <v>100</v>
      </c>
      <c r="X9" s="1303"/>
      <c r="Y9" s="3658"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10"/>
      <c r="Q11" s="815" t="str">
        <f t="shared" si="6"/>
        <v>容积率</v>
      </c>
      <c r="R11" s="1301" t="s">
        <v>5</v>
      </c>
      <c r="S11" s="1302" t="e">
        <f t="shared" si="0"/>
        <v>#N/A</v>
      </c>
      <c r="T11" s="1301" t="s">
        <v>5</v>
      </c>
      <c r="U11" s="1302" t="e">
        <f t="shared" si="1"/>
        <v>#N/A</v>
      </c>
      <c r="V11" s="1301" t="s">
        <v>5</v>
      </c>
      <c r="W11" s="1302" t="e">
        <f t="shared" si="2"/>
        <v>#N/A</v>
      </c>
      <c r="X11" s="1303"/>
      <c r="Y11" s="3658"/>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10"/>
      <c r="Q12" s="815">
        <f t="shared" si="6"/>
        <v>111</v>
      </c>
      <c r="R12" s="1301" t="s">
        <v>5</v>
      </c>
      <c r="S12" s="1302">
        <f t="shared" si="0"/>
        <v>100</v>
      </c>
      <c r="T12" s="1301" t="s">
        <v>5</v>
      </c>
      <c r="U12" s="1302">
        <f t="shared" si="1"/>
        <v>100</v>
      </c>
      <c r="V12" s="1301" t="s">
        <v>5</v>
      </c>
      <c r="W12" s="1302">
        <f t="shared" si="2"/>
        <v>100</v>
      </c>
      <c r="X12" s="1303"/>
      <c r="Y12" s="3658"/>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10"/>
      <c r="Q13" s="815">
        <f t="shared" si="6"/>
        <v>111</v>
      </c>
      <c r="R13" s="1301" t="s">
        <v>5</v>
      </c>
      <c r="S13" s="1302">
        <f t="shared" si="0"/>
        <v>100</v>
      </c>
      <c r="T13" s="1301" t="s">
        <v>5</v>
      </c>
      <c r="U13" s="1302">
        <f t="shared" si="1"/>
        <v>100</v>
      </c>
      <c r="V13" s="1301" t="s">
        <v>5</v>
      </c>
      <c r="W13" s="1302">
        <f t="shared" si="2"/>
        <v>100</v>
      </c>
      <c r="X13" s="1303"/>
      <c r="Y13" s="3658"/>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10"/>
      <c r="Q14" s="815">
        <f t="shared" si="6"/>
        <v>111</v>
      </c>
      <c r="R14" s="1301" t="s">
        <v>5</v>
      </c>
      <c r="S14" s="1302">
        <f t="shared" si="0"/>
        <v>100</v>
      </c>
      <c r="T14" s="1301" t="s">
        <v>5</v>
      </c>
      <c r="U14" s="1302">
        <f t="shared" si="1"/>
        <v>100</v>
      </c>
      <c r="V14" s="1301" t="s">
        <v>5</v>
      </c>
      <c r="W14" s="1302">
        <f t="shared" si="2"/>
        <v>100</v>
      </c>
      <c r="X14" s="1303"/>
      <c r="Y14" s="3658"/>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44" t="s">
        <v>489</v>
      </c>
      <c r="Q15" s="1304" t="str">
        <f t="shared" si="6"/>
        <v>产业集聚程度</v>
      </c>
      <c r="R15" s="1305" t="s">
        <v>5</v>
      </c>
      <c r="S15" s="1306">
        <f t="shared" si="0"/>
        <v>100</v>
      </c>
      <c r="T15" s="1305" t="s">
        <v>5</v>
      </c>
      <c r="U15" s="1306">
        <f t="shared" si="1"/>
        <v>100</v>
      </c>
      <c r="V15" s="1305" t="s">
        <v>5</v>
      </c>
      <c r="W15" s="1306">
        <f t="shared" si="2"/>
        <v>100</v>
      </c>
      <c r="X15" s="1300"/>
      <c r="Y15" s="3744"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45"/>
      <c r="Q16" s="1304"/>
      <c r="R16" s="1305"/>
      <c r="S16" s="1306"/>
      <c r="T16" s="1305"/>
      <c r="U16" s="1306"/>
      <c r="V16" s="1305"/>
      <c r="W16" s="1306"/>
      <c r="X16" s="1300"/>
      <c r="Y16" s="3745"/>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45"/>
      <c r="Q17" s="1304" t="str">
        <f>B17</f>
        <v>交通便捷度</v>
      </c>
      <c r="R17" s="1305" t="s">
        <v>5</v>
      </c>
      <c r="S17" s="1306">
        <f>F17</f>
        <v>100</v>
      </c>
      <c r="T17" s="1305" t="s">
        <v>5</v>
      </c>
      <c r="U17" s="1306">
        <f>H17</f>
        <v>100</v>
      </c>
      <c r="V17" s="1305" t="s">
        <v>5</v>
      </c>
      <c r="W17" s="1306">
        <f>J17</f>
        <v>100</v>
      </c>
      <c r="X17" s="1300"/>
      <c r="Y17" s="3745"/>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45"/>
      <c r="Q18" s="1304"/>
      <c r="R18" s="1305"/>
      <c r="S18" s="1306"/>
      <c r="T18" s="1305"/>
      <c r="U18" s="1306"/>
      <c r="V18" s="1305"/>
      <c r="W18" s="1306"/>
      <c r="X18" s="1300"/>
      <c r="Y18" s="3745"/>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45"/>
      <c r="Q19" s="1304" t="str">
        <f>B19</f>
        <v>公共配套设施</v>
      </c>
      <c r="R19" s="1305" t="s">
        <v>5</v>
      </c>
      <c r="S19" s="1306">
        <f>F19</f>
        <v>100</v>
      </c>
      <c r="T19" s="1305" t="s">
        <v>5</v>
      </c>
      <c r="U19" s="1306">
        <f>H19</f>
        <v>100</v>
      </c>
      <c r="V19" s="1305" t="s">
        <v>5</v>
      </c>
      <c r="W19" s="1306">
        <f>J19</f>
        <v>100</v>
      </c>
      <c r="X19" s="1300"/>
      <c r="Y19" s="3745"/>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45"/>
      <c r="Q20" s="1304"/>
      <c r="R20" s="1305"/>
      <c r="S20" s="1306"/>
      <c r="T20" s="1305"/>
      <c r="U20" s="1306"/>
      <c r="V20" s="1305"/>
      <c r="W20" s="1306"/>
      <c r="X20" s="1300"/>
      <c r="Y20" s="3745"/>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45"/>
      <c r="Q21" s="1304" t="str">
        <f>B21</f>
        <v>基础设施水平</v>
      </c>
      <c r="R21" s="1305" t="s">
        <v>5</v>
      </c>
      <c r="S21" s="1306">
        <f>F21</f>
        <v>100</v>
      </c>
      <c r="T21" s="1305" t="s">
        <v>5</v>
      </c>
      <c r="U21" s="1306">
        <f>H21</f>
        <v>100</v>
      </c>
      <c r="V21" s="1305" t="s">
        <v>5</v>
      </c>
      <c r="W21" s="1306">
        <f>J21</f>
        <v>100</v>
      </c>
      <c r="X21" s="1300"/>
      <c r="Y21" s="3745"/>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45"/>
      <c r="Q22" s="1304"/>
      <c r="R22" s="1305"/>
      <c r="S22" s="1306"/>
      <c r="T22" s="1305"/>
      <c r="U22" s="1306"/>
      <c r="V22" s="1305"/>
      <c r="W22" s="1306"/>
      <c r="X22" s="1300"/>
      <c r="Y22" s="3745"/>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45"/>
      <c r="Q23" s="1304" t="str">
        <f>B23</f>
        <v>环境质量</v>
      </c>
      <c r="R23" s="1305" t="s">
        <v>5</v>
      </c>
      <c r="S23" s="1306">
        <f>F23</f>
        <v>100</v>
      </c>
      <c r="T23" s="1305" t="s">
        <v>5</v>
      </c>
      <c r="U23" s="1306">
        <f>H23</f>
        <v>100</v>
      </c>
      <c r="V23" s="1305" t="s">
        <v>5</v>
      </c>
      <c r="W23" s="1306">
        <f>J23</f>
        <v>100</v>
      </c>
      <c r="X23" s="1300"/>
      <c r="Y23" s="3745"/>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45"/>
      <c r="Q24" s="1304"/>
      <c r="R24" s="1305"/>
      <c r="S24" s="1306"/>
      <c r="T24" s="1305"/>
      <c r="U24" s="1306"/>
      <c r="V24" s="1305"/>
      <c r="W24" s="1306"/>
      <c r="X24" s="1300"/>
      <c r="Y24" s="3745"/>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45"/>
      <c r="Q25" s="1304">
        <f>B25</f>
        <v>111</v>
      </c>
      <c r="R25" s="1305" t="s">
        <v>5</v>
      </c>
      <c r="S25" s="1306">
        <f>F25</f>
        <v>100</v>
      </c>
      <c r="T25" s="1305" t="s">
        <v>5</v>
      </c>
      <c r="U25" s="1306">
        <f>H25</f>
        <v>100</v>
      </c>
      <c r="V25" s="1305" t="s">
        <v>5</v>
      </c>
      <c r="W25" s="1306">
        <f>J25</f>
        <v>100</v>
      </c>
      <c r="X25" s="1300"/>
      <c r="Y25" s="3745"/>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45"/>
      <c r="Q26" s="1304">
        <f t="shared" ref="Q26:Q40" si="8">B26</f>
        <v>111</v>
      </c>
      <c r="R26" s="1305" t="s">
        <v>5</v>
      </c>
      <c r="S26" s="1306">
        <f>F26</f>
        <v>100</v>
      </c>
      <c r="T26" s="1305" t="s">
        <v>5</v>
      </c>
      <c r="U26" s="1306">
        <f>H26</f>
        <v>100</v>
      </c>
      <c r="V26" s="1305" t="s">
        <v>5</v>
      </c>
      <c r="W26" s="1306">
        <f>J26</f>
        <v>100</v>
      </c>
      <c r="X26" s="1300"/>
      <c r="Y26" s="3745"/>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45"/>
      <c r="Q27" s="815">
        <f t="shared" si="8"/>
        <v>111</v>
      </c>
      <c r="R27" s="1301" t="s">
        <v>5</v>
      </c>
      <c r="S27" s="1302">
        <f>F27</f>
        <v>100</v>
      </c>
      <c r="T27" s="1301" t="s">
        <v>5</v>
      </c>
      <c r="U27" s="1302">
        <f>H27</f>
        <v>100</v>
      </c>
      <c r="V27" s="1301" t="s">
        <v>5</v>
      </c>
      <c r="W27" s="1302">
        <f>J27</f>
        <v>100</v>
      </c>
      <c r="X27" s="1303"/>
      <c r="Y27" s="3745"/>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45"/>
      <c r="Q28" s="1304">
        <f t="shared" si="8"/>
        <v>111</v>
      </c>
      <c r="R28" s="1305" t="s">
        <v>5</v>
      </c>
      <c r="S28" s="1306">
        <f t="shared" ref="S28:S40" si="9">F28</f>
        <v>100</v>
      </c>
      <c r="T28" s="1305" t="s">
        <v>5</v>
      </c>
      <c r="U28" s="1306">
        <f t="shared" ref="U28:U40" si="10">H28</f>
        <v>100</v>
      </c>
      <c r="V28" s="1305" t="s">
        <v>5</v>
      </c>
      <c r="W28" s="1306">
        <f t="shared" ref="W28:W40" si="11">J28</f>
        <v>100</v>
      </c>
      <c r="X28" s="1300"/>
      <c r="Y28" s="3745"/>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46" t="s">
        <v>499</v>
      </c>
      <c r="Q29" s="1304" t="str">
        <f t="shared" si="8"/>
        <v>建筑类型</v>
      </c>
      <c r="R29" s="1305" t="s">
        <v>5</v>
      </c>
      <c r="S29" s="1306">
        <f t="shared" si="9"/>
        <v>100</v>
      </c>
      <c r="T29" s="1305" t="s">
        <v>5</v>
      </c>
      <c r="U29" s="1306">
        <f t="shared" si="10"/>
        <v>100</v>
      </c>
      <c r="V29" s="1305" t="s">
        <v>5</v>
      </c>
      <c r="W29" s="1306">
        <f t="shared" si="11"/>
        <v>100</v>
      </c>
      <c r="X29" s="1300"/>
      <c r="Y29" s="3747"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47"/>
      <c r="Q30" s="816" t="str">
        <f t="shared" si="8"/>
        <v>项目建筑规模</v>
      </c>
      <c r="R30" s="1308" t="s">
        <v>5</v>
      </c>
      <c r="S30" s="1309" t="e">
        <f t="shared" si="9"/>
        <v>#N/A</v>
      </c>
      <c r="T30" s="1308" t="s">
        <v>5</v>
      </c>
      <c r="U30" s="1309" t="e">
        <f t="shared" si="10"/>
        <v>#N/A</v>
      </c>
      <c r="V30" s="1308" t="s">
        <v>5</v>
      </c>
      <c r="W30" s="1309" t="e">
        <f t="shared" si="11"/>
        <v>#N/A</v>
      </c>
      <c r="X30" s="1310"/>
      <c r="Y30" s="3747"/>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47"/>
      <c r="Q31" s="1304" t="str">
        <f t="shared" si="8"/>
        <v>建筑结构</v>
      </c>
      <c r="R31" s="1305" t="s">
        <v>5</v>
      </c>
      <c r="S31" s="1306">
        <f t="shared" si="9"/>
        <v>100</v>
      </c>
      <c r="T31" s="1305" t="s">
        <v>5</v>
      </c>
      <c r="U31" s="1306">
        <f t="shared" si="10"/>
        <v>100</v>
      </c>
      <c r="V31" s="1305" t="s">
        <v>5</v>
      </c>
      <c r="W31" s="1306">
        <f t="shared" si="11"/>
        <v>100</v>
      </c>
      <c r="X31" s="1300"/>
      <c r="Y31" s="3747"/>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47"/>
      <c r="Q32" s="1304" t="str">
        <f t="shared" si="8"/>
        <v>公共部分装修</v>
      </c>
      <c r="R32" s="1305" t="s">
        <v>5</v>
      </c>
      <c r="S32" s="1306">
        <f t="shared" si="9"/>
        <v>100</v>
      </c>
      <c r="T32" s="1305" t="s">
        <v>5</v>
      </c>
      <c r="U32" s="1306">
        <f t="shared" si="10"/>
        <v>100</v>
      </c>
      <c r="V32" s="1305" t="s">
        <v>5</v>
      </c>
      <c r="W32" s="1306">
        <f t="shared" si="11"/>
        <v>100</v>
      </c>
      <c r="X32" s="1300"/>
      <c r="Y32" s="3747"/>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47"/>
      <c r="Q33" s="1304" t="str">
        <f t="shared" si="8"/>
        <v>成新度</v>
      </c>
      <c r="R33" s="1305" t="s">
        <v>5</v>
      </c>
      <c r="S33" s="1306" t="e">
        <f t="shared" si="9"/>
        <v>#N/A</v>
      </c>
      <c r="T33" s="1305" t="s">
        <v>5</v>
      </c>
      <c r="U33" s="1306" t="e">
        <f t="shared" si="10"/>
        <v>#N/A</v>
      </c>
      <c r="V33" s="1305" t="s">
        <v>5</v>
      </c>
      <c r="W33" s="1306" t="e">
        <f t="shared" si="11"/>
        <v>#N/A</v>
      </c>
      <c r="X33" s="1300"/>
      <c r="Y33" s="3747"/>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47"/>
      <c r="Q34" s="815" t="str">
        <f t="shared" si="8"/>
        <v>物业管理</v>
      </c>
      <c r="R34" s="1301" t="s">
        <v>5</v>
      </c>
      <c r="S34" s="1302">
        <f t="shared" si="9"/>
        <v>100</v>
      </c>
      <c r="T34" s="1301" t="s">
        <v>5</v>
      </c>
      <c r="U34" s="1302">
        <f t="shared" si="10"/>
        <v>100</v>
      </c>
      <c r="V34" s="1301" t="s">
        <v>5</v>
      </c>
      <c r="W34" s="1302">
        <f t="shared" si="11"/>
        <v>100</v>
      </c>
      <c r="X34" s="1303"/>
      <c r="Y34" s="3747"/>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47" t="s">
        <v>499</v>
      </c>
      <c r="Q35" s="1304" t="str">
        <f t="shared" si="8"/>
        <v>市政基础设施</v>
      </c>
      <c r="R35" s="1305" t="s">
        <v>5</v>
      </c>
      <c r="S35" s="1306">
        <f t="shared" si="9"/>
        <v>100</v>
      </c>
      <c r="T35" s="1305" t="s">
        <v>5</v>
      </c>
      <c r="U35" s="1306">
        <f t="shared" si="10"/>
        <v>100</v>
      </c>
      <c r="V35" s="1305" t="s">
        <v>5</v>
      </c>
      <c r="W35" s="1306">
        <f t="shared" si="11"/>
        <v>100</v>
      </c>
      <c r="X35" s="1300"/>
      <c r="Y35" s="3747"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47"/>
      <c r="Q36" s="1304" t="str">
        <f t="shared" si="8"/>
        <v>内部装修</v>
      </c>
      <c r="R36" s="1305" t="s">
        <v>5</v>
      </c>
      <c r="S36" s="1306">
        <f t="shared" si="9"/>
        <v>100</v>
      </c>
      <c r="T36" s="1305" t="s">
        <v>5</v>
      </c>
      <c r="U36" s="1306">
        <f t="shared" si="10"/>
        <v>100</v>
      </c>
      <c r="V36" s="1305" t="s">
        <v>5</v>
      </c>
      <c r="W36" s="1306">
        <f t="shared" si="11"/>
        <v>100</v>
      </c>
      <c r="X36" s="1300"/>
      <c r="Y36" s="3747"/>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47"/>
      <c r="Q37" s="1304" t="str">
        <f t="shared" si="8"/>
        <v>内部装修状况</v>
      </c>
      <c r="R37" s="1305" t="s">
        <v>5</v>
      </c>
      <c r="S37" s="1306">
        <f t="shared" si="9"/>
        <v>100</v>
      </c>
      <c r="T37" s="1305" t="s">
        <v>5</v>
      </c>
      <c r="U37" s="1306">
        <f t="shared" si="10"/>
        <v>100</v>
      </c>
      <c r="V37" s="1305" t="s">
        <v>5</v>
      </c>
      <c r="W37" s="1306">
        <f t="shared" si="11"/>
        <v>100</v>
      </c>
      <c r="X37" s="1300"/>
      <c r="Y37" s="3747"/>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47"/>
      <c r="Q38" s="816">
        <f t="shared" si="8"/>
        <v>111</v>
      </c>
      <c r="R38" s="1308" t="s">
        <v>5</v>
      </c>
      <c r="S38" s="1309">
        <f t="shared" si="9"/>
        <v>100</v>
      </c>
      <c r="T38" s="1308" t="s">
        <v>5</v>
      </c>
      <c r="U38" s="1309">
        <f t="shared" si="10"/>
        <v>100</v>
      </c>
      <c r="V38" s="1308" t="s">
        <v>5</v>
      </c>
      <c r="W38" s="1309">
        <f t="shared" si="11"/>
        <v>100</v>
      </c>
      <c r="X38" s="1310"/>
      <c r="Y38" s="3747"/>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47"/>
      <c r="Q39" s="1304">
        <f t="shared" si="8"/>
        <v>111</v>
      </c>
      <c r="R39" s="1305" t="s">
        <v>5</v>
      </c>
      <c r="S39" s="1306">
        <f t="shared" si="9"/>
        <v>100</v>
      </c>
      <c r="T39" s="1305" t="s">
        <v>5</v>
      </c>
      <c r="U39" s="1306">
        <f t="shared" si="10"/>
        <v>100</v>
      </c>
      <c r="V39" s="1305" t="s">
        <v>5</v>
      </c>
      <c r="W39" s="1306">
        <f t="shared" si="11"/>
        <v>100</v>
      </c>
      <c r="X39" s="1300"/>
      <c r="Y39" s="3747"/>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3"/>
      <c r="Q40" s="1304">
        <f t="shared" si="8"/>
        <v>111</v>
      </c>
      <c r="R40" s="1305" t="s">
        <v>5</v>
      </c>
      <c r="S40" s="1306">
        <f t="shared" si="9"/>
        <v>100</v>
      </c>
      <c r="T40" s="1305" t="s">
        <v>5</v>
      </c>
      <c r="U40" s="1306">
        <f t="shared" si="10"/>
        <v>100</v>
      </c>
      <c r="V40" s="1305" t="s">
        <v>5</v>
      </c>
      <c r="W40" s="1306">
        <f t="shared" si="11"/>
        <v>100</v>
      </c>
      <c r="X40" s="1300"/>
      <c r="Y40" s="3813"/>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10" t="str">
        <f>A41</f>
        <v>成交单价（元/平方米）</v>
      </c>
      <c r="Q41" s="3710"/>
      <c r="R41" s="3711">
        <f>E41</f>
        <v>0</v>
      </c>
      <c r="S41" s="3711"/>
      <c r="T41" s="3711">
        <f>G41</f>
        <v>0</v>
      </c>
      <c r="U41" s="3711"/>
      <c r="V41" s="3711">
        <f>I41</f>
        <v>0</v>
      </c>
      <c r="W41" s="3711"/>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10" t="str">
        <f>A42</f>
        <v>比较价格（元/平方米）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48" t="str">
        <f>A43</f>
        <v>估价对象XX用房的比较价格（楼面单价，元/平方米）</v>
      </c>
      <c r="Q43" s="3749"/>
      <c r="R43" s="3812" t="e">
        <f>IF(F1="售价",ROUND(IF(D42="简单平均",AVERAGE(R42:V42),R42*F42+T42*H42+V42*J42),0),ROUND(IF(D42="简单平均",AVERAGE(R42:V42),R42*F42+T42*H42+V42*J42),1))</f>
        <v>#DIV/0!</v>
      </c>
      <c r="S43" s="3812"/>
      <c r="T43" s="3812"/>
      <c r="U43" s="3812"/>
      <c r="V43" s="3812"/>
      <c r="W43" s="3812"/>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115" zoomScaleNormal="60" zoomScaleSheetLayoutView="11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3735</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16" t="s">
        <v>738</v>
      </c>
      <c r="D4" s="3717"/>
      <c r="E4" s="3756" t="s">
        <v>739</v>
      </c>
      <c r="F4" s="3757"/>
      <c r="G4" s="3716" t="s">
        <v>740</v>
      </c>
      <c r="H4" s="3717"/>
      <c r="I4" s="3716" t="s">
        <v>741</v>
      </c>
      <c r="J4" s="3717"/>
      <c r="K4" s="464" t="s">
        <v>742</v>
      </c>
      <c r="L4" s="1739"/>
      <c r="M4" s="1740"/>
      <c r="N4" s="1740"/>
      <c r="O4" s="1740"/>
      <c r="P4" s="3718" t="s">
        <v>743</v>
      </c>
      <c r="Q4" s="3719"/>
      <c r="R4" s="3724" t="s">
        <v>739</v>
      </c>
      <c r="S4" s="3725"/>
      <c r="T4" s="3724" t="s">
        <v>740</v>
      </c>
      <c r="U4" s="3725"/>
      <c r="V4" s="3711" t="s">
        <v>741</v>
      </c>
      <c r="W4" s="3711"/>
      <c r="X4" s="1300"/>
      <c r="Y4" s="3724" t="s">
        <v>743</v>
      </c>
      <c r="Z4" s="3725"/>
      <c r="AA4" s="3713" t="s">
        <v>739</v>
      </c>
      <c r="AB4" s="3714" t="s">
        <v>740</v>
      </c>
      <c r="AC4" s="3713" t="s">
        <v>741</v>
      </c>
    </row>
    <row r="5" spans="1:29" ht="15">
      <c r="A5" s="465"/>
      <c r="B5" s="466"/>
      <c r="C5" s="3732" t="s">
        <v>2183</v>
      </c>
      <c r="D5" s="3733"/>
      <c r="E5" s="3848" t="s">
        <v>3740</v>
      </c>
      <c r="F5" s="3759"/>
      <c r="G5" s="3847" t="s">
        <v>3745</v>
      </c>
      <c r="H5" s="3733"/>
      <c r="I5" s="3847" t="s">
        <v>3744</v>
      </c>
      <c r="J5" s="3733"/>
      <c r="K5" s="464"/>
      <c r="L5" s="1739"/>
      <c r="M5" s="1740"/>
      <c r="N5" s="1740"/>
      <c r="O5" s="1740"/>
      <c r="P5" s="3720"/>
      <c r="Q5" s="3721"/>
      <c r="R5" s="3726"/>
      <c r="S5" s="3727"/>
      <c r="T5" s="3726"/>
      <c r="U5" s="3727"/>
      <c r="V5" s="3711"/>
      <c r="W5" s="3711"/>
      <c r="X5" s="1300"/>
      <c r="Y5" s="3726"/>
      <c r="Z5" s="3727"/>
      <c r="AA5" s="3714"/>
      <c r="AB5" s="3714"/>
      <c r="AC5" s="3714"/>
    </row>
    <row r="6" spans="1:29" ht="15.75" thickBot="1">
      <c r="A6" s="467"/>
      <c r="B6" s="468"/>
      <c r="C6" s="3730" t="s">
        <v>2187</v>
      </c>
      <c r="D6" s="3731"/>
      <c r="E6" s="3754" t="s">
        <v>3737</v>
      </c>
      <c r="F6" s="3755"/>
      <c r="G6" s="3730" t="s">
        <v>3737</v>
      </c>
      <c r="H6" s="3731"/>
      <c r="I6" s="3730" t="s">
        <v>3737</v>
      </c>
      <c r="J6" s="3731"/>
      <c r="K6" s="464" t="s">
        <v>477</v>
      </c>
      <c r="L6" s="1739"/>
      <c r="M6" s="1740"/>
      <c r="N6" s="1740"/>
      <c r="O6" s="1740"/>
      <c r="P6" s="3722"/>
      <c r="Q6" s="3723"/>
      <c r="R6" s="3726"/>
      <c r="S6" s="3727"/>
      <c r="T6" s="3728"/>
      <c r="U6" s="3729"/>
      <c r="V6" s="3711"/>
      <c r="W6" s="3711"/>
      <c r="X6" s="1300"/>
      <c r="Y6" s="3728"/>
      <c r="Z6" s="3729"/>
      <c r="AA6" s="3715"/>
      <c r="AB6" s="3715"/>
      <c r="AC6" s="3715"/>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41" t="s">
        <v>479</v>
      </c>
      <c r="Q7" s="3743"/>
      <c r="R7" s="1301" t="s">
        <v>5</v>
      </c>
      <c r="S7" s="1302">
        <f t="shared" ref="S7:S14" si="0">F7</f>
        <v>100</v>
      </c>
      <c r="T7" s="1301" t="s">
        <v>5</v>
      </c>
      <c r="U7" s="1302">
        <f t="shared" ref="U7:U14" si="1">H7</f>
        <v>100</v>
      </c>
      <c r="V7" s="1301" t="s">
        <v>5</v>
      </c>
      <c r="W7" s="1302">
        <f t="shared" ref="W7:W14" si="2">J7</f>
        <v>100</v>
      </c>
      <c r="X7" s="1303"/>
      <c r="Y7" s="3741" t="s">
        <v>479</v>
      </c>
      <c r="Z7" s="3742"/>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41" t="s">
        <v>482</v>
      </c>
      <c r="Q8" s="3742"/>
      <c r="R8" s="1301" t="s">
        <v>5</v>
      </c>
      <c r="S8" s="1302">
        <f t="shared" si="0"/>
        <v>100</v>
      </c>
      <c r="T8" s="1301" t="s">
        <v>5</v>
      </c>
      <c r="U8" s="1302">
        <f t="shared" si="1"/>
        <v>100</v>
      </c>
      <c r="V8" s="1301" t="s">
        <v>5</v>
      </c>
      <c r="W8" s="1302">
        <f t="shared" si="2"/>
        <v>100</v>
      </c>
      <c r="X8" s="1303"/>
      <c r="Y8" s="3741" t="s">
        <v>482</v>
      </c>
      <c r="Z8" s="3742"/>
      <c r="AA8" s="994">
        <f t="shared" ref="AA8:AA34" si="3">D8/F8</f>
        <v>1</v>
      </c>
      <c r="AB8" s="994">
        <f t="shared" ref="AB8:AB34" si="4">D8/H8</f>
        <v>1</v>
      </c>
      <c r="AC8" s="994">
        <f t="shared" ref="AC8:AC34" si="5">D8/J8</f>
        <v>1</v>
      </c>
    </row>
    <row r="9" spans="1:29" s="1057" customFormat="1" ht="15">
      <c r="A9" s="2209"/>
      <c r="B9" s="2216" t="s">
        <v>2038</v>
      </c>
      <c r="C9" s="3518" t="s">
        <v>3738</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10" t="s">
        <v>484</v>
      </c>
      <c r="Q9" s="815" t="str">
        <f t="shared" ref="Q9:Q14" si="6">B9</f>
        <v>用途</v>
      </c>
      <c r="R9" s="1301" t="s">
        <v>5</v>
      </c>
      <c r="S9" s="1302">
        <f t="shared" si="0"/>
        <v>100</v>
      </c>
      <c r="T9" s="1301" t="s">
        <v>5</v>
      </c>
      <c r="U9" s="1302">
        <f t="shared" si="1"/>
        <v>100</v>
      </c>
      <c r="V9" s="1301" t="s">
        <v>5</v>
      </c>
      <c r="W9" s="1302">
        <f t="shared" si="2"/>
        <v>100</v>
      </c>
      <c r="X9" s="1303"/>
      <c r="Y9" s="3658"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10"/>
      <c r="Q11" s="815">
        <f t="shared" si="6"/>
        <v>111</v>
      </c>
      <c r="R11" s="1301" t="s">
        <v>5</v>
      </c>
      <c r="S11" s="1302">
        <f t="shared" si="0"/>
        <v>100</v>
      </c>
      <c r="T11" s="1301" t="s">
        <v>5</v>
      </c>
      <c r="U11" s="1302">
        <f t="shared" si="1"/>
        <v>100</v>
      </c>
      <c r="V11" s="1301" t="s">
        <v>5</v>
      </c>
      <c r="W11" s="1302">
        <f t="shared" si="2"/>
        <v>100</v>
      </c>
      <c r="X11" s="1303"/>
      <c r="Y11" s="3658"/>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10"/>
      <c r="Q12" s="815">
        <f t="shared" si="6"/>
        <v>111</v>
      </c>
      <c r="R12" s="1301" t="s">
        <v>5</v>
      </c>
      <c r="S12" s="1302">
        <f t="shared" si="0"/>
        <v>100</v>
      </c>
      <c r="T12" s="1301" t="s">
        <v>5</v>
      </c>
      <c r="U12" s="1302">
        <f t="shared" si="1"/>
        <v>100</v>
      </c>
      <c r="V12" s="1301" t="s">
        <v>5</v>
      </c>
      <c r="W12" s="1302">
        <f t="shared" si="2"/>
        <v>100</v>
      </c>
      <c r="X12" s="1303"/>
      <c r="Y12" s="3658"/>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10"/>
      <c r="Q13" s="815">
        <f t="shared" si="6"/>
        <v>111</v>
      </c>
      <c r="R13" s="1301" t="s">
        <v>5</v>
      </c>
      <c r="S13" s="1302">
        <f t="shared" si="0"/>
        <v>100</v>
      </c>
      <c r="T13" s="1301" t="s">
        <v>5</v>
      </c>
      <c r="U13" s="1302">
        <f t="shared" si="1"/>
        <v>100</v>
      </c>
      <c r="V13" s="1301" t="s">
        <v>5</v>
      </c>
      <c r="W13" s="1302">
        <f t="shared" si="2"/>
        <v>100</v>
      </c>
      <c r="X13" s="1303"/>
      <c r="Y13" s="3658"/>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44" t="s">
        <v>489</v>
      </c>
      <c r="Q14" s="1304" t="str">
        <f t="shared" si="6"/>
        <v>交通便捷度</v>
      </c>
      <c r="R14" s="1305" t="s">
        <v>5</v>
      </c>
      <c r="S14" s="1306">
        <f t="shared" si="0"/>
        <v>97</v>
      </c>
      <c r="T14" s="1305" t="s">
        <v>5</v>
      </c>
      <c r="U14" s="1306">
        <f t="shared" si="1"/>
        <v>97</v>
      </c>
      <c r="V14" s="1305" t="s">
        <v>5</v>
      </c>
      <c r="W14" s="1306">
        <f t="shared" si="2"/>
        <v>97</v>
      </c>
      <c r="X14" s="1300"/>
      <c r="Y14" s="3744"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45"/>
      <c r="Q15" s="1304"/>
      <c r="R15" s="1305"/>
      <c r="S15" s="1306"/>
      <c r="T15" s="1305"/>
      <c r="U15" s="1306"/>
      <c r="V15" s="1305"/>
      <c r="W15" s="1306"/>
      <c r="X15" s="1300"/>
      <c r="Y15" s="3745"/>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45"/>
      <c r="Q16" s="1304" t="str">
        <f>B16</f>
        <v>公共配套设施</v>
      </c>
      <c r="R16" s="1305" t="s">
        <v>5</v>
      </c>
      <c r="S16" s="1306">
        <f>F16</f>
        <v>100</v>
      </c>
      <c r="T16" s="1305" t="s">
        <v>5</v>
      </c>
      <c r="U16" s="1306">
        <f>H16</f>
        <v>100</v>
      </c>
      <c r="V16" s="1305" t="s">
        <v>5</v>
      </c>
      <c r="W16" s="1306">
        <f>J16</f>
        <v>100</v>
      </c>
      <c r="X16" s="1300"/>
      <c r="Y16" s="3745"/>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45"/>
      <c r="Q17" s="1304"/>
      <c r="R17" s="1305"/>
      <c r="S17" s="1306"/>
      <c r="T17" s="1305"/>
      <c r="U17" s="1306"/>
      <c r="V17" s="1305"/>
      <c r="W17" s="1306"/>
      <c r="X17" s="1300"/>
      <c r="Y17" s="3745"/>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45"/>
      <c r="Q18" s="1304" t="str">
        <f>B18</f>
        <v>基础设施水平</v>
      </c>
      <c r="R18" s="1305" t="s">
        <v>5</v>
      </c>
      <c r="S18" s="1306">
        <f>F18</f>
        <v>100</v>
      </c>
      <c r="T18" s="1305" t="s">
        <v>5</v>
      </c>
      <c r="U18" s="1306">
        <f>H18</f>
        <v>100</v>
      </c>
      <c r="V18" s="1305" t="s">
        <v>5</v>
      </c>
      <c r="W18" s="1306">
        <f>J18</f>
        <v>100</v>
      </c>
      <c r="X18" s="1300"/>
      <c r="Y18" s="3745"/>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45"/>
      <c r="Q19" s="1304"/>
      <c r="R19" s="1305"/>
      <c r="S19" s="1306"/>
      <c r="T19" s="1305"/>
      <c r="U19" s="1306"/>
      <c r="V19" s="1305"/>
      <c r="W19" s="1306"/>
      <c r="X19" s="1300"/>
      <c r="Y19" s="3745"/>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45"/>
      <c r="Q20" s="1304" t="str">
        <f>B20</f>
        <v>自然及人文环境</v>
      </c>
      <c r="R20" s="1305" t="s">
        <v>5</v>
      </c>
      <c r="S20" s="1306">
        <f>F20</f>
        <v>100</v>
      </c>
      <c r="T20" s="1305" t="s">
        <v>5</v>
      </c>
      <c r="U20" s="1306">
        <f>H20</f>
        <v>100</v>
      </c>
      <c r="V20" s="1305" t="s">
        <v>5</v>
      </c>
      <c r="W20" s="1306">
        <f>J20</f>
        <v>100</v>
      </c>
      <c r="X20" s="1300"/>
      <c r="Y20" s="3745"/>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45"/>
      <c r="Q21" s="1304"/>
      <c r="R21" s="1305"/>
      <c r="S21" s="1306"/>
      <c r="T21" s="1305"/>
      <c r="U21" s="1306"/>
      <c r="V21" s="1305"/>
      <c r="W21" s="1306"/>
      <c r="X21" s="1300"/>
      <c r="Y21" s="3745"/>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45"/>
      <c r="Q22" s="1304" t="str">
        <f>B22</f>
        <v>楼层</v>
      </c>
      <c r="R22" s="1305" t="s">
        <v>5</v>
      </c>
      <c r="S22" s="1306">
        <f>F22</f>
        <v>100</v>
      </c>
      <c r="T22" s="1305" t="s">
        <v>5</v>
      </c>
      <c r="U22" s="1306">
        <f>H22</f>
        <v>100</v>
      </c>
      <c r="V22" s="1305" t="s">
        <v>5</v>
      </c>
      <c r="W22" s="1306">
        <f>J22</f>
        <v>100</v>
      </c>
      <c r="X22" s="1300"/>
      <c r="Y22" s="3745"/>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45"/>
      <c r="Q23" s="1304">
        <f>B23</f>
        <v>111</v>
      </c>
      <c r="R23" s="1305" t="s">
        <v>5</v>
      </c>
      <c r="S23" s="1306">
        <f>F23</f>
        <v>100</v>
      </c>
      <c r="T23" s="1305" t="s">
        <v>5</v>
      </c>
      <c r="U23" s="1306">
        <f>H23</f>
        <v>100</v>
      </c>
      <c r="V23" s="1305" t="s">
        <v>5</v>
      </c>
      <c r="W23" s="1306">
        <f>J23</f>
        <v>100</v>
      </c>
      <c r="X23" s="1300"/>
      <c r="Y23" s="3745"/>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45"/>
      <c r="Q24" s="1304">
        <f t="shared" ref="Q24:Q34" si="8">B24</f>
        <v>111</v>
      </c>
      <c r="R24" s="1305" t="s">
        <v>5</v>
      </c>
      <c r="S24" s="1306">
        <f>F24</f>
        <v>100</v>
      </c>
      <c r="T24" s="1305" t="s">
        <v>5</v>
      </c>
      <c r="U24" s="1306">
        <f>H24</f>
        <v>100</v>
      </c>
      <c r="V24" s="1305" t="s">
        <v>5</v>
      </c>
      <c r="W24" s="1306">
        <f>J24</f>
        <v>100</v>
      </c>
      <c r="X24" s="1300"/>
      <c r="Y24" s="3745"/>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45"/>
      <c r="Q25" s="815">
        <f t="shared" si="8"/>
        <v>111</v>
      </c>
      <c r="R25" s="1301" t="s">
        <v>5</v>
      </c>
      <c r="S25" s="1302">
        <f>F25</f>
        <v>100</v>
      </c>
      <c r="T25" s="1301" t="s">
        <v>5</v>
      </c>
      <c r="U25" s="1302">
        <f>H25</f>
        <v>100</v>
      </c>
      <c r="V25" s="1301" t="s">
        <v>5</v>
      </c>
      <c r="W25" s="1302">
        <f>J25</f>
        <v>100</v>
      </c>
      <c r="X25" s="1303"/>
      <c r="Y25" s="3745"/>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46"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47"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47"/>
      <c r="Q27" s="816" t="str">
        <f t="shared" si="8"/>
        <v>成新率</v>
      </c>
      <c r="R27" s="1308" t="s">
        <v>5</v>
      </c>
      <c r="S27" s="1309">
        <f t="shared" si="9"/>
        <v>100</v>
      </c>
      <c r="T27" s="1308" t="s">
        <v>5</v>
      </c>
      <c r="U27" s="1309">
        <f t="shared" si="10"/>
        <v>100</v>
      </c>
      <c r="V27" s="1308" t="s">
        <v>5</v>
      </c>
      <c r="W27" s="1309">
        <f t="shared" si="11"/>
        <v>100</v>
      </c>
      <c r="X27" s="1310"/>
      <c r="Y27" s="3747"/>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47"/>
      <c r="Q28" s="1304" t="str">
        <f t="shared" si="8"/>
        <v>物业等级</v>
      </c>
      <c r="R28" s="1305" t="s">
        <v>5</v>
      </c>
      <c r="S28" s="1306">
        <f t="shared" si="9"/>
        <v>100</v>
      </c>
      <c r="T28" s="1305" t="s">
        <v>5</v>
      </c>
      <c r="U28" s="1306">
        <f t="shared" si="10"/>
        <v>100</v>
      </c>
      <c r="V28" s="1305" t="s">
        <v>5</v>
      </c>
      <c r="W28" s="1306">
        <f t="shared" si="11"/>
        <v>100</v>
      </c>
      <c r="X28" s="1300"/>
      <c r="Y28" s="3747"/>
      <c r="Z28" s="1307" t="str">
        <f t="shared" si="12"/>
        <v>物业等级</v>
      </c>
      <c r="AA28" s="1307">
        <f t="shared" si="3"/>
        <v>1</v>
      </c>
      <c r="AB28" s="1307">
        <f t="shared" si="4"/>
        <v>1</v>
      </c>
      <c r="AC28" s="1307">
        <f t="shared" si="5"/>
        <v>1</v>
      </c>
    </row>
    <row r="29" spans="1:29" ht="15">
      <c r="A29" s="542"/>
      <c r="B29" s="476" t="s">
        <v>762</v>
      </c>
      <c r="C29" s="850" t="s">
        <v>3742</v>
      </c>
      <c r="D29" s="489">
        <v>100</v>
      </c>
      <c r="E29" s="850" t="s">
        <v>3742</v>
      </c>
      <c r="F29" s="524">
        <f>SUMIF(84:84,E29,85:85)-SUMIF(84:84,C29,85:85)+100</f>
        <v>100</v>
      </c>
      <c r="G29" s="850" t="s">
        <v>3742</v>
      </c>
      <c r="H29" s="489">
        <f>SUMIF(84:84,G29,85:85)-SUMIF(84:84,C29,85:85)+100</f>
        <v>100</v>
      </c>
      <c r="I29" s="850" t="s">
        <v>3742</v>
      </c>
      <c r="J29" s="489">
        <f>SUMIF(84:84,I29,85:85)-SUMIF(84:84,C29,85:85)+100</f>
        <v>100</v>
      </c>
      <c r="K29" s="532">
        <v>2</v>
      </c>
      <c r="L29" s="1747"/>
      <c r="M29" s="1740"/>
      <c r="N29" s="1740"/>
      <c r="O29" s="1746"/>
      <c r="P29" s="3747"/>
      <c r="Q29" s="1304" t="str">
        <f t="shared" si="8"/>
        <v>有无电梯</v>
      </c>
      <c r="R29" s="1305" t="s">
        <v>5</v>
      </c>
      <c r="S29" s="1306">
        <f t="shared" si="9"/>
        <v>100</v>
      </c>
      <c r="T29" s="1305" t="s">
        <v>5</v>
      </c>
      <c r="U29" s="1306">
        <f t="shared" si="10"/>
        <v>100</v>
      </c>
      <c r="V29" s="1305" t="s">
        <v>5</v>
      </c>
      <c r="W29" s="1306">
        <f t="shared" si="11"/>
        <v>100</v>
      </c>
      <c r="X29" s="1300"/>
      <c r="Y29" s="3747"/>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47"/>
      <c r="Q30" s="1304" t="str">
        <f t="shared" si="8"/>
        <v>建筑面积</v>
      </c>
      <c r="R30" s="1305" t="s">
        <v>5</v>
      </c>
      <c r="S30" s="1306">
        <f t="shared" si="9"/>
        <v>100</v>
      </c>
      <c r="T30" s="1305" t="s">
        <v>5</v>
      </c>
      <c r="U30" s="1306">
        <f t="shared" si="10"/>
        <v>100</v>
      </c>
      <c r="V30" s="1305" t="s">
        <v>5</v>
      </c>
      <c r="W30" s="1306">
        <f t="shared" si="11"/>
        <v>100</v>
      </c>
      <c r="X30" s="1300"/>
      <c r="Y30" s="3747"/>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47"/>
      <c r="Q31" s="815" t="str">
        <f t="shared" si="8"/>
        <v>是否封闭</v>
      </c>
      <c r="R31" s="1301" t="s">
        <v>5</v>
      </c>
      <c r="S31" s="1302">
        <f t="shared" si="9"/>
        <v>100</v>
      </c>
      <c r="T31" s="1301" t="s">
        <v>5</v>
      </c>
      <c r="U31" s="1302">
        <f t="shared" si="10"/>
        <v>100</v>
      </c>
      <c r="V31" s="1301" t="s">
        <v>5</v>
      </c>
      <c r="W31" s="1302">
        <f t="shared" si="11"/>
        <v>100</v>
      </c>
      <c r="X31" s="1303"/>
      <c r="Y31" s="3747"/>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47" t="s">
        <v>499</v>
      </c>
      <c r="Q32" s="1304">
        <f t="shared" si="8"/>
        <v>111</v>
      </c>
      <c r="R32" s="1305" t="s">
        <v>5</v>
      </c>
      <c r="S32" s="1306">
        <f t="shared" si="9"/>
        <v>100</v>
      </c>
      <c r="T32" s="1305" t="s">
        <v>5</v>
      </c>
      <c r="U32" s="1306">
        <f t="shared" si="10"/>
        <v>100</v>
      </c>
      <c r="V32" s="1305" t="s">
        <v>5</v>
      </c>
      <c r="W32" s="1306">
        <f t="shared" si="11"/>
        <v>100</v>
      </c>
      <c r="X32" s="1300"/>
      <c r="Y32" s="3747"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47"/>
      <c r="Q33" s="1304">
        <f t="shared" si="8"/>
        <v>111</v>
      </c>
      <c r="R33" s="1305" t="s">
        <v>5</v>
      </c>
      <c r="S33" s="1306">
        <f t="shared" si="9"/>
        <v>100</v>
      </c>
      <c r="T33" s="1305" t="s">
        <v>5</v>
      </c>
      <c r="U33" s="1306">
        <f t="shared" si="10"/>
        <v>100</v>
      </c>
      <c r="V33" s="1305" t="s">
        <v>5</v>
      </c>
      <c r="W33" s="1306">
        <f t="shared" si="11"/>
        <v>100</v>
      </c>
      <c r="X33" s="1300"/>
      <c r="Y33" s="3747"/>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47"/>
      <c r="Q34" s="1304">
        <f t="shared" si="8"/>
        <v>111</v>
      </c>
      <c r="R34" s="1305" t="s">
        <v>5</v>
      </c>
      <c r="S34" s="1306">
        <f t="shared" si="9"/>
        <v>100</v>
      </c>
      <c r="T34" s="1305" t="s">
        <v>5</v>
      </c>
      <c r="U34" s="1306">
        <f t="shared" si="10"/>
        <v>100</v>
      </c>
      <c r="V34" s="1305" t="s">
        <v>5</v>
      </c>
      <c r="W34" s="1306">
        <f t="shared" si="11"/>
        <v>100</v>
      </c>
      <c r="X34" s="1300"/>
      <c r="Y34" s="3747"/>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10" t="str">
        <f>A35</f>
        <v>成交单价（元/平方米）</v>
      </c>
      <c r="Q35" s="3710"/>
      <c r="R35" s="3711">
        <f>E35</f>
        <v>22090</v>
      </c>
      <c r="S35" s="3711"/>
      <c r="T35" s="3711">
        <f>G35</f>
        <v>22040</v>
      </c>
      <c r="U35" s="3711"/>
      <c r="V35" s="3711">
        <f>I35</f>
        <v>21798</v>
      </c>
      <c r="W35" s="3711"/>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10" t="str">
        <f>A36</f>
        <v>比较价格（元/平方米）</v>
      </c>
      <c r="Q36" s="3710"/>
      <c r="R36" s="3711">
        <f>IF(F1="售价",ROUND(PRODUCT(R35,AA7:AA34),0),ROUND(PRODUCT(R35,AA7:AA34),1))</f>
        <v>22773</v>
      </c>
      <c r="S36" s="3711"/>
      <c r="T36" s="3711">
        <f>IF(F1="售价",ROUND(PRODUCT(T35,AB7:AB34),0),ROUND(PRODUCT(T35,AB7:AB34),1))</f>
        <v>22722</v>
      </c>
      <c r="U36" s="3711"/>
      <c r="V36" s="3711">
        <f>IF(F1="售价",ROUND(PRODUCT(V35,AC7:AC34),0),ROUND(PRODUCT(V35,AC7:AC34),1))</f>
        <v>22472</v>
      </c>
      <c r="W36" s="3711"/>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48" t="str">
        <f>A37</f>
        <v>估价对象XX用房的比较价格（楼面单价，元/平方米）</v>
      </c>
      <c r="Q37" s="3749"/>
      <c r="R37" s="3812">
        <f>IF(F1="售价",ROUND(IF(D36="简单平均",AVERAGE(R36:W36),R36*F36+T36*H36+V36*J36),0),ROUND(IF(D36="简单平均",AVERAGE(R36:V36),R36*F36+T36*H36+V36*J36),1))</f>
        <v>22656</v>
      </c>
      <c r="S37" s="3812"/>
      <c r="T37" s="3812"/>
      <c r="U37" s="3812"/>
      <c r="V37" s="3812"/>
      <c r="W37" s="3812"/>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3741</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3743</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3742</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2" t="s">
        <v>1661</v>
      </c>
      <c r="D1" s="3853"/>
      <c r="E1" s="3853"/>
      <c r="F1" s="3853"/>
      <c r="G1" s="3853"/>
      <c r="H1" s="3853"/>
      <c r="I1" s="3853"/>
      <c r="J1" s="3853"/>
      <c r="K1" s="3853"/>
      <c r="L1" s="3853"/>
      <c r="M1" s="3853"/>
      <c r="N1" s="3853"/>
      <c r="O1" s="3853"/>
      <c r="P1" s="3853"/>
      <c r="Q1" s="3853"/>
      <c r="R1" s="3853"/>
      <c r="S1" s="3854"/>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49" t="s">
        <v>14</v>
      </c>
      <c r="D22" s="3850"/>
      <c r="E22" s="3850"/>
      <c r="F22" s="3850"/>
      <c r="G22" s="3850"/>
      <c r="H22" s="3850"/>
      <c r="I22" s="3850"/>
      <c r="J22" s="3850"/>
      <c r="K22" s="3850"/>
      <c r="L22" s="3850"/>
      <c r="M22" s="3850"/>
      <c r="N22" s="3850"/>
      <c r="O22" s="3850"/>
      <c r="P22" s="3850"/>
      <c r="Q22" s="3851"/>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zoomScaleSheetLayoutView="100"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3746</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16" t="s">
        <v>738</v>
      </c>
      <c r="D4" s="3717"/>
      <c r="E4" s="3716" t="s">
        <v>739</v>
      </c>
      <c r="F4" s="3717"/>
      <c r="G4" s="3716" t="s">
        <v>740</v>
      </c>
      <c r="H4" s="3717"/>
      <c r="I4" s="3716" t="s">
        <v>741</v>
      </c>
      <c r="J4" s="3717"/>
      <c r="K4" s="464" t="s">
        <v>742</v>
      </c>
      <c r="L4" s="1739"/>
      <c r="M4" s="1740"/>
      <c r="N4" s="1740"/>
      <c r="O4" s="1740"/>
      <c r="P4" s="3718" t="s">
        <v>743</v>
      </c>
      <c r="Q4" s="3719"/>
      <c r="R4" s="3724" t="s">
        <v>739</v>
      </c>
      <c r="S4" s="3725"/>
      <c r="T4" s="3724" t="s">
        <v>740</v>
      </c>
      <c r="U4" s="3725"/>
      <c r="V4" s="3711" t="s">
        <v>741</v>
      </c>
      <c r="W4" s="3711"/>
      <c r="X4" s="1300"/>
      <c r="Y4" s="3724" t="s">
        <v>743</v>
      </c>
      <c r="Z4" s="3725"/>
      <c r="AA4" s="3713" t="s">
        <v>739</v>
      </c>
      <c r="AB4" s="3714" t="s">
        <v>740</v>
      </c>
      <c r="AC4" s="3713" t="s">
        <v>741</v>
      </c>
    </row>
    <row r="5" spans="1:29" ht="15">
      <c r="A5" s="465"/>
      <c r="B5" s="466"/>
      <c r="C5" s="3732" t="s">
        <v>2183</v>
      </c>
      <c r="D5" s="3733"/>
      <c r="E5" s="3732" t="s">
        <v>3739</v>
      </c>
      <c r="F5" s="3733"/>
      <c r="G5" s="3732" t="s">
        <v>3748</v>
      </c>
      <c r="H5" s="3733"/>
      <c r="I5" s="3732" t="s">
        <v>3736</v>
      </c>
      <c r="J5" s="3733"/>
      <c r="K5" s="464"/>
      <c r="L5" s="1739"/>
      <c r="M5" s="1740"/>
      <c r="N5" s="1740"/>
      <c r="O5" s="1740"/>
      <c r="P5" s="3720"/>
      <c r="Q5" s="3721"/>
      <c r="R5" s="3726"/>
      <c r="S5" s="3727"/>
      <c r="T5" s="3726"/>
      <c r="U5" s="3727"/>
      <c r="V5" s="3711"/>
      <c r="W5" s="3711"/>
      <c r="X5" s="1300"/>
      <c r="Y5" s="3726"/>
      <c r="Z5" s="3727"/>
      <c r="AA5" s="3714"/>
      <c r="AB5" s="3714"/>
      <c r="AC5" s="3714"/>
    </row>
    <row r="6" spans="1:29" ht="15.75" thickBot="1">
      <c r="A6" s="467"/>
      <c r="B6" s="468"/>
      <c r="C6" s="3730" t="s">
        <v>2187</v>
      </c>
      <c r="D6" s="3731"/>
      <c r="E6" s="3735" t="s">
        <v>3737</v>
      </c>
      <c r="F6" s="3736"/>
      <c r="G6" s="3730" t="s">
        <v>3737</v>
      </c>
      <c r="H6" s="3731"/>
      <c r="I6" s="3730" t="s">
        <v>3737</v>
      </c>
      <c r="J6" s="3731"/>
      <c r="K6" s="464" t="s">
        <v>477</v>
      </c>
      <c r="L6" s="1739"/>
      <c r="M6" s="1740"/>
      <c r="N6" s="1740"/>
      <c r="O6" s="1740"/>
      <c r="P6" s="3722"/>
      <c r="Q6" s="3723"/>
      <c r="R6" s="3726"/>
      <c r="S6" s="3727"/>
      <c r="T6" s="3728"/>
      <c r="U6" s="3729"/>
      <c r="V6" s="3711"/>
      <c r="W6" s="3711"/>
      <c r="X6" s="1300"/>
      <c r="Y6" s="3728"/>
      <c r="Z6" s="3729"/>
      <c r="AA6" s="3715"/>
      <c r="AB6" s="3715"/>
      <c r="AC6" s="3715"/>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41" t="s">
        <v>479</v>
      </c>
      <c r="Q7" s="3743"/>
      <c r="R7" s="1301" t="s">
        <v>5</v>
      </c>
      <c r="S7" s="1302">
        <f t="shared" ref="S7:S14" si="0">F7</f>
        <v>100</v>
      </c>
      <c r="T7" s="1301" t="s">
        <v>5</v>
      </c>
      <c r="U7" s="1302">
        <f t="shared" ref="U7:U14" si="1">H7</f>
        <v>100</v>
      </c>
      <c r="V7" s="1301" t="s">
        <v>5</v>
      </c>
      <c r="W7" s="1302">
        <f t="shared" ref="W7:W14" si="2">J7</f>
        <v>100</v>
      </c>
      <c r="X7" s="1303"/>
      <c r="Y7" s="3741" t="s">
        <v>479</v>
      </c>
      <c r="Z7" s="3742"/>
      <c r="AA7" s="994">
        <f>D7/F7</f>
        <v>1</v>
      </c>
      <c r="AB7" s="994">
        <f>D7/H7</f>
        <v>1</v>
      </c>
      <c r="AC7" s="994">
        <f>D7/J7</f>
        <v>1</v>
      </c>
    </row>
    <row r="8" spans="1:29" s="1057" customFormat="1" ht="15.75" thickBot="1">
      <c r="A8" s="2208"/>
      <c r="B8" s="2215" t="s">
        <v>480</v>
      </c>
      <c r="C8" s="474" t="s">
        <v>524</v>
      </c>
      <c r="D8" s="470">
        <v>100</v>
      </c>
      <c r="E8" s="474" t="s">
        <v>3750</v>
      </c>
      <c r="F8" s="472">
        <f>SUMIF(51:51,E8,52:52)-SUMIF(51:51,C8,52:52)+100</f>
        <v>100</v>
      </c>
      <c r="G8" s="474" t="s">
        <v>3750</v>
      </c>
      <c r="H8" s="470">
        <f>SUMIF(51:51,G8,52:52)-SUMIF(51:51,C8,52:52)+100</f>
        <v>100</v>
      </c>
      <c r="I8" s="474" t="s">
        <v>3750</v>
      </c>
      <c r="J8" s="470">
        <f>SUMIF(51:51,I8,52:52)-SUMIF(51:51,C8,52:52)+100</f>
        <v>100</v>
      </c>
      <c r="K8" s="87"/>
      <c r="L8" s="1741"/>
      <c r="M8" s="1638"/>
      <c r="N8" s="1638"/>
      <c r="O8" s="1638"/>
      <c r="P8" s="3741" t="s">
        <v>482</v>
      </c>
      <c r="Q8" s="3742"/>
      <c r="R8" s="1301" t="s">
        <v>5</v>
      </c>
      <c r="S8" s="1302">
        <f t="shared" si="0"/>
        <v>100</v>
      </c>
      <c r="T8" s="1301" t="s">
        <v>5</v>
      </c>
      <c r="U8" s="1302">
        <f t="shared" si="1"/>
        <v>100</v>
      </c>
      <c r="V8" s="1301" t="s">
        <v>5</v>
      </c>
      <c r="W8" s="1302">
        <f t="shared" si="2"/>
        <v>100</v>
      </c>
      <c r="X8" s="1303"/>
      <c r="Y8" s="3741" t="s">
        <v>482</v>
      </c>
      <c r="Z8" s="3742"/>
      <c r="AA8" s="994">
        <f t="shared" ref="AA8:AA36" si="3">D8/F8</f>
        <v>1</v>
      </c>
      <c r="AB8" s="994">
        <f t="shared" ref="AB8:AB36" si="4">D8/H8</f>
        <v>1</v>
      </c>
      <c r="AC8" s="994">
        <f t="shared" ref="AC8:AC36" si="5">D8/J8</f>
        <v>1</v>
      </c>
    </row>
    <row r="9" spans="1:29" s="1057" customFormat="1" ht="15">
      <c r="A9" s="2209"/>
      <c r="B9" s="2216" t="s">
        <v>2038</v>
      </c>
      <c r="C9" s="3518" t="s">
        <v>3749</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10" t="s">
        <v>484</v>
      </c>
      <c r="Q9" s="815" t="str">
        <f t="shared" ref="Q9:Q14" si="6">B9</f>
        <v>用途</v>
      </c>
      <c r="R9" s="1301" t="s">
        <v>5</v>
      </c>
      <c r="S9" s="1302">
        <f t="shared" si="0"/>
        <v>100</v>
      </c>
      <c r="T9" s="1301" t="s">
        <v>5</v>
      </c>
      <c r="U9" s="1302">
        <f t="shared" si="1"/>
        <v>100</v>
      </c>
      <c r="V9" s="1301" t="s">
        <v>5</v>
      </c>
      <c r="W9" s="1302">
        <f t="shared" si="2"/>
        <v>100</v>
      </c>
      <c r="X9" s="1303"/>
      <c r="Y9" s="3658"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10"/>
      <c r="Q10" s="815" t="str">
        <f t="shared" si="6"/>
        <v>土地使用年限（年）</v>
      </c>
      <c r="R10" s="1301" t="s">
        <v>5</v>
      </c>
      <c r="S10" s="1302">
        <f t="shared" si="0"/>
        <v>100</v>
      </c>
      <c r="T10" s="1301" t="s">
        <v>5</v>
      </c>
      <c r="U10" s="1302">
        <f t="shared" si="1"/>
        <v>100</v>
      </c>
      <c r="V10" s="1301" t="s">
        <v>5</v>
      </c>
      <c r="W10" s="1302">
        <f t="shared" si="2"/>
        <v>100</v>
      </c>
      <c r="X10" s="1303"/>
      <c r="Y10" s="3658"/>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10"/>
      <c r="Q11" s="815">
        <f t="shared" si="6"/>
        <v>111</v>
      </c>
      <c r="R11" s="1301" t="s">
        <v>5</v>
      </c>
      <c r="S11" s="1302">
        <f t="shared" si="0"/>
        <v>100</v>
      </c>
      <c r="T11" s="1301" t="s">
        <v>5</v>
      </c>
      <c r="U11" s="1302">
        <f t="shared" si="1"/>
        <v>100</v>
      </c>
      <c r="V11" s="1301" t="s">
        <v>5</v>
      </c>
      <c r="W11" s="1302">
        <f t="shared" si="2"/>
        <v>100</v>
      </c>
      <c r="X11" s="1303"/>
      <c r="Y11" s="3658"/>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10"/>
      <c r="Q12" s="815">
        <f t="shared" si="6"/>
        <v>111</v>
      </c>
      <c r="R12" s="1301" t="s">
        <v>5</v>
      </c>
      <c r="S12" s="1302">
        <f t="shared" si="0"/>
        <v>100</v>
      </c>
      <c r="T12" s="1301" t="s">
        <v>5</v>
      </c>
      <c r="U12" s="1302">
        <f t="shared" si="1"/>
        <v>100</v>
      </c>
      <c r="V12" s="1301" t="s">
        <v>5</v>
      </c>
      <c r="W12" s="1302">
        <f t="shared" si="2"/>
        <v>100</v>
      </c>
      <c r="X12" s="1303"/>
      <c r="Y12" s="3658"/>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10"/>
      <c r="Q13" s="815">
        <f t="shared" si="6"/>
        <v>111</v>
      </c>
      <c r="R13" s="1301" t="s">
        <v>5</v>
      </c>
      <c r="S13" s="1302">
        <f t="shared" si="0"/>
        <v>100</v>
      </c>
      <c r="T13" s="1301" t="s">
        <v>5</v>
      </c>
      <c r="U13" s="1302">
        <f t="shared" si="1"/>
        <v>100</v>
      </c>
      <c r="V13" s="1301" t="s">
        <v>5</v>
      </c>
      <c r="W13" s="1302">
        <f t="shared" si="2"/>
        <v>100</v>
      </c>
      <c r="X13" s="1303"/>
      <c r="Y13" s="3658"/>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44" t="s">
        <v>489</v>
      </c>
      <c r="Q14" s="1304" t="str">
        <f t="shared" si="6"/>
        <v>交通便捷度</v>
      </c>
      <c r="R14" s="1305" t="s">
        <v>5</v>
      </c>
      <c r="S14" s="1306">
        <f t="shared" si="0"/>
        <v>97</v>
      </c>
      <c r="T14" s="1305" t="s">
        <v>5</v>
      </c>
      <c r="U14" s="1306">
        <f t="shared" si="1"/>
        <v>97</v>
      </c>
      <c r="V14" s="1305" t="s">
        <v>5</v>
      </c>
      <c r="W14" s="1306">
        <f t="shared" si="2"/>
        <v>97</v>
      </c>
      <c r="X14" s="1300"/>
      <c r="Y14" s="3744"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45"/>
      <c r="Q15" s="1304"/>
      <c r="R15" s="1305"/>
      <c r="S15" s="1306"/>
      <c r="T15" s="1305"/>
      <c r="U15" s="1306"/>
      <c r="V15" s="1305"/>
      <c r="W15" s="1306"/>
      <c r="X15" s="1300"/>
      <c r="Y15" s="3745"/>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45"/>
      <c r="Q16" s="1304" t="str">
        <f>B16</f>
        <v>公共配套设施</v>
      </c>
      <c r="R16" s="1305" t="s">
        <v>5</v>
      </c>
      <c r="S16" s="1306">
        <f>F16</f>
        <v>100</v>
      </c>
      <c r="T16" s="1305" t="s">
        <v>5</v>
      </c>
      <c r="U16" s="1306">
        <f>H16</f>
        <v>100</v>
      </c>
      <c r="V16" s="1305" t="s">
        <v>5</v>
      </c>
      <c r="W16" s="1306">
        <f>J16</f>
        <v>100</v>
      </c>
      <c r="X16" s="1300"/>
      <c r="Y16" s="3745"/>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45"/>
      <c r="Q17" s="1304"/>
      <c r="R17" s="1305"/>
      <c r="S17" s="1306"/>
      <c r="T17" s="1305"/>
      <c r="U17" s="1306"/>
      <c r="V17" s="1305"/>
      <c r="W17" s="1306"/>
      <c r="X17" s="1300"/>
      <c r="Y17" s="3745"/>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45"/>
      <c r="Q18" s="1304" t="str">
        <f>B18</f>
        <v>基础设施水平</v>
      </c>
      <c r="R18" s="1305" t="s">
        <v>5</v>
      </c>
      <c r="S18" s="1306">
        <f>F18</f>
        <v>100</v>
      </c>
      <c r="T18" s="1305" t="s">
        <v>5</v>
      </c>
      <c r="U18" s="1306">
        <f>H18</f>
        <v>100</v>
      </c>
      <c r="V18" s="1305" t="s">
        <v>5</v>
      </c>
      <c r="W18" s="1306">
        <f>J18</f>
        <v>100</v>
      </c>
      <c r="X18" s="1300"/>
      <c r="Y18" s="3745"/>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45"/>
      <c r="Q19" s="1304"/>
      <c r="R19" s="1305"/>
      <c r="S19" s="1306"/>
      <c r="T19" s="1305"/>
      <c r="U19" s="1306"/>
      <c r="V19" s="1305"/>
      <c r="W19" s="1306"/>
      <c r="X19" s="1300"/>
      <c r="Y19" s="3745"/>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45"/>
      <c r="Q20" s="1304" t="str">
        <f>B20</f>
        <v>自然及人文环境</v>
      </c>
      <c r="R20" s="1305" t="s">
        <v>5</v>
      </c>
      <c r="S20" s="1306">
        <f>F20</f>
        <v>100</v>
      </c>
      <c r="T20" s="1305" t="s">
        <v>5</v>
      </c>
      <c r="U20" s="1306">
        <f>H20</f>
        <v>100</v>
      </c>
      <c r="V20" s="1305" t="s">
        <v>5</v>
      </c>
      <c r="W20" s="1306">
        <f>J20</f>
        <v>100</v>
      </c>
      <c r="X20" s="1300"/>
      <c r="Y20" s="3745"/>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45"/>
      <c r="Q21" s="1304"/>
      <c r="R21" s="1305"/>
      <c r="S21" s="1306"/>
      <c r="T21" s="1305"/>
      <c r="U21" s="1306"/>
      <c r="V21" s="1305"/>
      <c r="W21" s="1306"/>
      <c r="X21" s="1300"/>
      <c r="Y21" s="3745"/>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45"/>
      <c r="Q22" s="1304" t="str">
        <f>B22</f>
        <v>楼层</v>
      </c>
      <c r="R22" s="1305" t="s">
        <v>5</v>
      </c>
      <c r="S22" s="1306">
        <f>F22</f>
        <v>100</v>
      </c>
      <c r="T22" s="1305" t="s">
        <v>5</v>
      </c>
      <c r="U22" s="1306">
        <f>H22</f>
        <v>100</v>
      </c>
      <c r="V22" s="1305" t="s">
        <v>5</v>
      </c>
      <c r="W22" s="1306">
        <f>J22</f>
        <v>100</v>
      </c>
      <c r="X22" s="1300"/>
      <c r="Y22" s="3745"/>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45"/>
      <c r="Q23" s="1304">
        <f>B23</f>
        <v>111</v>
      </c>
      <c r="R23" s="1305" t="s">
        <v>5</v>
      </c>
      <c r="S23" s="1306">
        <f>F23</f>
        <v>100</v>
      </c>
      <c r="T23" s="1305" t="s">
        <v>5</v>
      </c>
      <c r="U23" s="1306">
        <f>H23</f>
        <v>100</v>
      </c>
      <c r="V23" s="1305" t="s">
        <v>5</v>
      </c>
      <c r="W23" s="1306">
        <f>J23</f>
        <v>100</v>
      </c>
      <c r="X23" s="1300"/>
      <c r="Y23" s="3745"/>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45"/>
      <c r="Q24" s="1304">
        <f t="shared" ref="Q24:Q36" si="8">B24</f>
        <v>111</v>
      </c>
      <c r="R24" s="1305" t="s">
        <v>5</v>
      </c>
      <c r="S24" s="1306">
        <f>F24</f>
        <v>100</v>
      </c>
      <c r="T24" s="1305" t="s">
        <v>5</v>
      </c>
      <c r="U24" s="1306">
        <f>H24</f>
        <v>100</v>
      </c>
      <c r="V24" s="1305" t="s">
        <v>5</v>
      </c>
      <c r="W24" s="1306">
        <f>J24</f>
        <v>100</v>
      </c>
      <c r="X24" s="1300"/>
      <c r="Y24" s="3745"/>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45"/>
      <c r="Q25" s="815">
        <f t="shared" si="8"/>
        <v>111</v>
      </c>
      <c r="R25" s="1301" t="s">
        <v>5</v>
      </c>
      <c r="S25" s="1302">
        <f>F25</f>
        <v>100</v>
      </c>
      <c r="T25" s="1301" t="s">
        <v>5</v>
      </c>
      <c r="U25" s="1302">
        <f>H25</f>
        <v>100</v>
      </c>
      <c r="V25" s="1301" t="s">
        <v>5</v>
      </c>
      <c r="W25" s="1302">
        <f>J25</f>
        <v>100</v>
      </c>
      <c r="X25" s="1303"/>
      <c r="Y25" s="3745"/>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46"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47"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47"/>
      <c r="Q27" s="816" t="str">
        <f t="shared" si="8"/>
        <v>项目停车位配比</v>
      </c>
      <c r="R27" s="1308" t="s">
        <v>5</v>
      </c>
      <c r="S27" s="1309">
        <f t="shared" si="9"/>
        <v>100</v>
      </c>
      <c r="T27" s="1308" t="s">
        <v>5</v>
      </c>
      <c r="U27" s="1309">
        <f t="shared" si="10"/>
        <v>100</v>
      </c>
      <c r="V27" s="1308" t="s">
        <v>5</v>
      </c>
      <c r="W27" s="1309">
        <f t="shared" si="11"/>
        <v>100</v>
      </c>
      <c r="X27" s="1310"/>
      <c r="Y27" s="3747"/>
      <c r="Z27" s="1311" t="str">
        <f t="shared" si="12"/>
        <v>项目停车位配比</v>
      </c>
      <c r="AA27" s="1307">
        <f t="shared" si="3"/>
        <v>1</v>
      </c>
      <c r="AB27" s="1307">
        <f t="shared" si="4"/>
        <v>1</v>
      </c>
      <c r="AC27" s="1307">
        <f t="shared" si="5"/>
        <v>1</v>
      </c>
    </row>
    <row r="28" spans="1:29" ht="15">
      <c r="A28" s="849"/>
      <c r="B28" s="234" t="s">
        <v>748</v>
      </c>
      <c r="C28" s="523" t="s">
        <v>3751</v>
      </c>
      <c r="D28" s="489">
        <v>100</v>
      </c>
      <c r="E28" s="523" t="s">
        <v>3751</v>
      </c>
      <c r="F28" s="524">
        <f>SUMIF(83:83,E28,84:84)-SUMIF(83:83,C28,84:84)+100</f>
        <v>100</v>
      </c>
      <c r="G28" s="523" t="s">
        <v>3751</v>
      </c>
      <c r="H28" s="489">
        <f>SUMIF(83:83,G28,84:84)-SUMIF(83:83,C28,84:84)+100</f>
        <v>100</v>
      </c>
      <c r="I28" s="523" t="s">
        <v>3751</v>
      </c>
      <c r="J28" s="489">
        <f>SUMIF(83:83,I28,84:84)-SUMIF(83:83,C28,84:84)+100</f>
        <v>100</v>
      </c>
      <c r="K28" s="532">
        <v>2</v>
      </c>
      <c r="L28" s="1747"/>
      <c r="M28" s="1740"/>
      <c r="N28" s="1740"/>
      <c r="O28" s="1746"/>
      <c r="P28" s="3747"/>
      <c r="Q28" s="1304" t="str">
        <f t="shared" si="8"/>
        <v>公共部分装修</v>
      </c>
      <c r="R28" s="1305" t="s">
        <v>5</v>
      </c>
      <c r="S28" s="1306">
        <f t="shared" si="9"/>
        <v>100</v>
      </c>
      <c r="T28" s="1305" t="s">
        <v>5</v>
      </c>
      <c r="U28" s="1306">
        <f t="shared" si="10"/>
        <v>100</v>
      </c>
      <c r="V28" s="1305" t="s">
        <v>5</v>
      </c>
      <c r="W28" s="1306">
        <f t="shared" si="11"/>
        <v>100</v>
      </c>
      <c r="X28" s="1300"/>
      <c r="Y28" s="3747"/>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47"/>
      <c r="Q29" s="1304" t="str">
        <f t="shared" si="8"/>
        <v>成新率</v>
      </c>
      <c r="R29" s="1305" t="s">
        <v>5</v>
      </c>
      <c r="S29" s="1306">
        <f t="shared" si="9"/>
        <v>100</v>
      </c>
      <c r="T29" s="1305" t="s">
        <v>5</v>
      </c>
      <c r="U29" s="1306">
        <f t="shared" si="10"/>
        <v>100</v>
      </c>
      <c r="V29" s="1305" t="s">
        <v>5</v>
      </c>
      <c r="W29" s="1306">
        <f t="shared" si="11"/>
        <v>100</v>
      </c>
      <c r="X29" s="1300"/>
      <c r="Y29" s="3747"/>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47"/>
      <c r="Q30" s="1304" t="str">
        <f t="shared" si="8"/>
        <v>物业等级</v>
      </c>
      <c r="R30" s="1305" t="s">
        <v>5</v>
      </c>
      <c r="S30" s="1306">
        <f t="shared" si="9"/>
        <v>100</v>
      </c>
      <c r="T30" s="1305" t="s">
        <v>5</v>
      </c>
      <c r="U30" s="1306">
        <f t="shared" si="10"/>
        <v>100</v>
      </c>
      <c r="V30" s="1305" t="s">
        <v>5</v>
      </c>
      <c r="W30" s="1306">
        <f t="shared" si="11"/>
        <v>100</v>
      </c>
      <c r="X30" s="1300"/>
      <c r="Y30" s="3747"/>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47"/>
      <c r="Q31" s="815" t="str">
        <f t="shared" si="8"/>
        <v>停车位面积</v>
      </c>
      <c r="R31" s="1301" t="s">
        <v>5</v>
      </c>
      <c r="S31" s="1302">
        <f t="shared" si="9"/>
        <v>99</v>
      </c>
      <c r="T31" s="1301" t="s">
        <v>5</v>
      </c>
      <c r="U31" s="1302">
        <f t="shared" si="10"/>
        <v>99</v>
      </c>
      <c r="V31" s="1301" t="s">
        <v>5</v>
      </c>
      <c r="W31" s="1302">
        <f t="shared" si="11"/>
        <v>99</v>
      </c>
      <c r="X31" s="1303"/>
      <c r="Y31" s="3747"/>
      <c r="Z31" s="994" t="str">
        <f t="shared" si="12"/>
        <v>停车位面积</v>
      </c>
      <c r="AA31" s="994">
        <f t="shared" si="3"/>
        <v>1.0101010101010102</v>
      </c>
      <c r="AB31" s="994">
        <f t="shared" si="4"/>
        <v>1.0101010101010102</v>
      </c>
      <c r="AC31" s="994">
        <f t="shared" si="5"/>
        <v>1.0101010101010102</v>
      </c>
    </row>
    <row r="32" spans="1:29" ht="15">
      <c r="A32" s="849"/>
      <c r="B32" s="234" t="s">
        <v>752</v>
      </c>
      <c r="C32" s="523" t="s">
        <v>3752</v>
      </c>
      <c r="D32" s="489">
        <v>100</v>
      </c>
      <c r="E32" s="523" t="s">
        <v>3752</v>
      </c>
      <c r="F32" s="524">
        <f>SUMIF(93:93,E32,94:94)-SUMIF(93:93,C32,94:94)+100</f>
        <v>100</v>
      </c>
      <c r="G32" s="523" t="s">
        <v>3752</v>
      </c>
      <c r="H32" s="489">
        <f>SUMIF(93:93,G32,94:94)-SUMIF(93:93,C32,94:94)+100</f>
        <v>100</v>
      </c>
      <c r="I32" s="523" t="s">
        <v>3752</v>
      </c>
      <c r="J32" s="489">
        <f>SUMIF(93:93,I32,94:94)-SUMIF(93:93,C32,94:94)+100</f>
        <v>100</v>
      </c>
      <c r="K32" s="532">
        <v>2</v>
      </c>
      <c r="L32" s="1747"/>
      <c r="M32" s="1740"/>
      <c r="N32" s="1740"/>
      <c r="O32" s="1746"/>
      <c r="P32" s="3747" t="s">
        <v>499</v>
      </c>
      <c r="Q32" s="1304" t="str">
        <f t="shared" si="8"/>
        <v>车位类型</v>
      </c>
      <c r="R32" s="1305" t="s">
        <v>5</v>
      </c>
      <c r="S32" s="1306">
        <f t="shared" si="9"/>
        <v>100</v>
      </c>
      <c r="T32" s="1305" t="s">
        <v>5</v>
      </c>
      <c r="U32" s="1306">
        <f t="shared" si="10"/>
        <v>100</v>
      </c>
      <c r="V32" s="1305" t="s">
        <v>5</v>
      </c>
      <c r="W32" s="1306">
        <f t="shared" si="11"/>
        <v>100</v>
      </c>
      <c r="X32" s="1300"/>
      <c r="Y32" s="3747" t="s">
        <v>499</v>
      </c>
      <c r="Z32" s="1307" t="str">
        <f t="shared" si="12"/>
        <v>车位类型</v>
      </c>
      <c r="AA32" s="1307">
        <f t="shared" si="3"/>
        <v>1</v>
      </c>
      <c r="AB32" s="1307">
        <f t="shared" si="4"/>
        <v>1</v>
      </c>
      <c r="AC32" s="1307">
        <f t="shared" si="5"/>
        <v>1</v>
      </c>
    </row>
    <row r="33" spans="1:29" ht="15">
      <c r="A33" s="849"/>
      <c r="B33" s="234" t="s">
        <v>753</v>
      </c>
      <c r="C33" s="523" t="s">
        <v>3753</v>
      </c>
      <c r="D33" s="489">
        <v>100</v>
      </c>
      <c r="E33" s="523" t="s">
        <v>3753</v>
      </c>
      <c r="F33" s="524">
        <f>SUMIF(95:95,E33,96:96)-SUMIF(95:95,C33,96:96)+100</f>
        <v>100</v>
      </c>
      <c r="G33" s="523" t="s">
        <v>3753</v>
      </c>
      <c r="H33" s="489">
        <f>SUMIF(95:95,G33,96:96)-SUMIF(95:95,C33,96:96)+100</f>
        <v>100</v>
      </c>
      <c r="I33" s="523" t="s">
        <v>3753</v>
      </c>
      <c r="J33" s="489">
        <f>SUMIF(95:95,I33,96:96)-SUMIF(95:95,C33,96:96)+100</f>
        <v>100</v>
      </c>
      <c r="K33" s="532">
        <v>2</v>
      </c>
      <c r="L33" s="1747"/>
      <c r="M33" s="1740"/>
      <c r="N33" s="1740"/>
      <c r="O33" s="1746"/>
      <c r="P33" s="3747"/>
      <c r="Q33" s="1304" t="str">
        <f t="shared" si="8"/>
        <v>是否直接入户</v>
      </c>
      <c r="R33" s="1305" t="s">
        <v>5</v>
      </c>
      <c r="S33" s="1306">
        <f t="shared" si="9"/>
        <v>100</v>
      </c>
      <c r="T33" s="1305" t="s">
        <v>5</v>
      </c>
      <c r="U33" s="1306">
        <f t="shared" si="10"/>
        <v>100</v>
      </c>
      <c r="V33" s="1305" t="s">
        <v>5</v>
      </c>
      <c r="W33" s="1306">
        <f t="shared" si="11"/>
        <v>100</v>
      </c>
      <c r="X33" s="1300"/>
      <c r="Y33" s="3747"/>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47"/>
      <c r="Q34" s="1304">
        <f t="shared" si="8"/>
        <v>111</v>
      </c>
      <c r="R34" s="1305" t="s">
        <v>5</v>
      </c>
      <c r="S34" s="1306">
        <f t="shared" si="9"/>
        <v>100</v>
      </c>
      <c r="T34" s="1305" t="s">
        <v>5</v>
      </c>
      <c r="U34" s="1306">
        <f t="shared" si="10"/>
        <v>100</v>
      </c>
      <c r="V34" s="1305" t="s">
        <v>5</v>
      </c>
      <c r="W34" s="1306">
        <f t="shared" si="11"/>
        <v>100</v>
      </c>
      <c r="X34" s="1300"/>
      <c r="Y34" s="3747"/>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47"/>
      <c r="Q35" s="816">
        <f t="shared" si="8"/>
        <v>111</v>
      </c>
      <c r="R35" s="1308" t="s">
        <v>5</v>
      </c>
      <c r="S35" s="1309">
        <f t="shared" si="9"/>
        <v>100</v>
      </c>
      <c r="T35" s="1308" t="s">
        <v>5</v>
      </c>
      <c r="U35" s="1309">
        <f t="shared" si="10"/>
        <v>100</v>
      </c>
      <c r="V35" s="1308" t="s">
        <v>5</v>
      </c>
      <c r="W35" s="1309">
        <f t="shared" si="11"/>
        <v>100</v>
      </c>
      <c r="X35" s="1310"/>
      <c r="Y35" s="3747"/>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47"/>
      <c r="Q36" s="1304">
        <f t="shared" si="8"/>
        <v>111</v>
      </c>
      <c r="R36" s="1305" t="s">
        <v>5</v>
      </c>
      <c r="S36" s="1306">
        <f t="shared" si="9"/>
        <v>100</v>
      </c>
      <c r="T36" s="1305" t="s">
        <v>5</v>
      </c>
      <c r="U36" s="1306">
        <f t="shared" si="10"/>
        <v>100</v>
      </c>
      <c r="V36" s="1305" t="s">
        <v>5</v>
      </c>
      <c r="W36" s="1306">
        <f t="shared" si="11"/>
        <v>100</v>
      </c>
      <c r="X36" s="1300"/>
      <c r="Y36" s="3747"/>
      <c r="Z36" s="1307">
        <f t="shared" si="12"/>
        <v>111</v>
      </c>
      <c r="AA36" s="1307">
        <f t="shared" si="3"/>
        <v>1</v>
      </c>
      <c r="AB36" s="1307">
        <f t="shared" si="4"/>
        <v>1</v>
      </c>
      <c r="AC36" s="1307">
        <f t="shared" si="5"/>
        <v>1</v>
      </c>
    </row>
    <row r="37" spans="1:29" ht="15">
      <c r="A37" s="1533" t="s">
        <v>1595</v>
      </c>
      <c r="B37" s="1534" t="s">
        <v>3754</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10" t="str">
        <f>A37</f>
        <v>成交单价</v>
      </c>
      <c r="Q37" s="3710"/>
      <c r="R37" s="3711">
        <f>E37</f>
        <v>342989</v>
      </c>
      <c r="S37" s="3711"/>
      <c r="T37" s="3711">
        <f>G37</f>
        <v>335547</v>
      </c>
      <c r="U37" s="3711"/>
      <c r="V37" s="3711">
        <f>I37</f>
        <v>328719</v>
      </c>
      <c r="W37" s="3711"/>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10" t="str">
        <f>A38</f>
        <v>比较价格（元/平方米）</v>
      </c>
      <c r="Q38" s="3710"/>
      <c r="R38" s="3711">
        <f>IF(F1="售价",ROUND(PRODUCT(R37,AA7:AA36),0),ROUND(PRODUCT(R37,AA7:AA36),1))</f>
        <v>357169</v>
      </c>
      <c r="S38" s="3711"/>
      <c r="T38" s="3711">
        <f>IF(F1="售价",ROUND(PRODUCT(T37,AB7:AB36),0),ROUND(PRODUCT(T37,AB7:AB36),1))</f>
        <v>349419</v>
      </c>
      <c r="U38" s="3711"/>
      <c r="V38" s="3711">
        <f>IF(F1="售价",ROUND(PRODUCT(V37,AC7:AC36),0),ROUND(PRODUCT(V37,AC7:AC36),1))</f>
        <v>342309</v>
      </c>
      <c r="W38" s="3711"/>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48" t="str">
        <f>A39</f>
        <v>估价对象XX用房的比较价格（楼面单价，元/平方米）</v>
      </c>
      <c r="Q39" s="3749"/>
      <c r="R39" s="3812">
        <f>IF(F1="售价",ROUND(IF(D38="简单平均",AVERAGE(R38:W38),R38*F38+T38*H38+V38*J38),0),ROUND(IF(D38="简单平均",AVERAGE(R38:V38),R38*F38+T38*H38+V38*J38),1))</f>
        <v>349632</v>
      </c>
      <c r="S39" s="3812"/>
      <c r="T39" s="3812"/>
      <c r="U39" s="3812"/>
      <c r="V39" s="3812"/>
      <c r="W39" s="3812"/>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3741</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4" t="s">
        <v>1556</v>
      </c>
      <c r="B1" s="3534"/>
      <c r="C1" s="3534"/>
      <c r="D1" s="3534"/>
      <c r="E1" s="3534"/>
      <c r="F1" s="3534"/>
      <c r="G1" s="3534"/>
      <c r="H1" s="3534"/>
      <c r="I1" s="3534"/>
      <c r="J1" s="3534"/>
      <c r="K1" s="3534"/>
      <c r="L1" s="3534"/>
      <c r="M1" s="3534"/>
      <c r="N1" s="3534"/>
      <c r="O1" s="3534"/>
      <c r="P1" s="3534"/>
      <c r="Q1" s="3534"/>
      <c r="R1" s="3534"/>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35" t="s">
        <v>1547</v>
      </c>
      <c r="B3" s="3535" t="s">
        <v>2013</v>
      </c>
      <c r="C3" s="3536" t="s">
        <v>1548</v>
      </c>
      <c r="D3" s="3535" t="s">
        <v>2017</v>
      </c>
      <c r="E3" s="3537" t="s">
        <v>1549</v>
      </c>
      <c r="F3" s="3537"/>
      <c r="G3" s="3537"/>
      <c r="H3" s="3537" t="s">
        <v>1550</v>
      </c>
      <c r="I3" s="3537"/>
      <c r="J3" s="3537"/>
      <c r="K3" s="3536" t="s">
        <v>1551</v>
      </c>
      <c r="L3" s="3536" t="s">
        <v>1552</v>
      </c>
      <c r="M3" s="3535" t="s">
        <v>2014</v>
      </c>
      <c r="N3" s="3535" t="str">
        <f>"（分摊）"&amp;项目基本情况!A17&amp;"国有建设用地使用权面积/㎡"</f>
        <v>（分摊）出让国有建设用地使用权面积/㎡</v>
      </c>
      <c r="O3" s="3535" t="s">
        <v>1581</v>
      </c>
      <c r="P3" s="3536" t="s">
        <v>1561</v>
      </c>
      <c r="Q3" s="3536" t="s">
        <v>1582</v>
      </c>
      <c r="R3" s="3536" t="s">
        <v>1553</v>
      </c>
    </row>
    <row r="4" spans="1:18" ht="36.75" customHeight="1">
      <c r="A4" s="3535"/>
      <c r="B4" s="3535"/>
      <c r="C4" s="3536"/>
      <c r="D4" s="3535"/>
      <c r="E4" s="1503" t="s">
        <v>1560</v>
      </c>
      <c r="F4" s="1503" t="s">
        <v>2026</v>
      </c>
      <c r="G4" s="1503" t="s">
        <v>1554</v>
      </c>
      <c r="H4" s="1503" t="s">
        <v>1555</v>
      </c>
      <c r="I4" s="1503" t="s">
        <v>2027</v>
      </c>
      <c r="J4" s="1503" t="s">
        <v>1554</v>
      </c>
      <c r="K4" s="3536"/>
      <c r="L4" s="3536"/>
      <c r="M4" s="3535"/>
      <c r="N4" s="3535"/>
      <c r="O4" s="3535"/>
      <c r="P4" s="3536"/>
      <c r="Q4" s="3536"/>
      <c r="R4" s="3536"/>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129061</v>
      </c>
      <c r="Q5" s="1503">
        <f ca="1">结果表!D42</f>
        <v>38784</v>
      </c>
      <c r="R5" s="1504">
        <f ca="1">结果表!C42</f>
        <v>281639</v>
      </c>
    </row>
    <row r="6" spans="1:18">
      <c r="A6" s="3538" t="str">
        <f>IF(项目基本情况!B9="市场价格","——","抵押价格")</f>
        <v>抵押价格</v>
      </c>
      <c r="B6" s="3539"/>
      <c r="C6" s="3539"/>
      <c r="D6" s="3539"/>
      <c r="E6" s="3539"/>
      <c r="F6" s="3539"/>
      <c r="G6" s="3539"/>
      <c r="H6" s="3539"/>
      <c r="I6" s="3539"/>
      <c r="J6" s="3539"/>
      <c r="K6" s="3539"/>
      <c r="L6" s="3539"/>
      <c r="M6" s="3539"/>
      <c r="N6" s="3539"/>
      <c r="O6" s="3539"/>
      <c r="P6" s="3539"/>
      <c r="Q6" s="3540"/>
      <c r="R6" s="1505">
        <f ca="1">结果表!O39</f>
        <v>278660</v>
      </c>
    </row>
    <row r="7" spans="1:18">
      <c r="A7" s="3538" t="str">
        <f>IF(项目基本情况!B9="市场价格","——",IF(项目基本情况!E8="已注销及未注销","抵押担保权已注销时的抵押价格","——"))</f>
        <v>——</v>
      </c>
      <c r="B7" s="3539"/>
      <c r="C7" s="3539"/>
      <c r="D7" s="3539"/>
      <c r="E7" s="3539"/>
      <c r="F7" s="3539"/>
      <c r="G7" s="3539"/>
      <c r="H7" s="3539"/>
      <c r="I7" s="3539"/>
      <c r="J7" s="3539"/>
      <c r="K7" s="3539"/>
      <c r="L7" s="3539"/>
      <c r="M7" s="3539"/>
      <c r="N7" s="3539"/>
      <c r="O7" s="3539"/>
      <c r="P7" s="3539"/>
      <c r="Q7" s="3540"/>
      <c r="R7" s="1505" t="str">
        <f>结果表!O40</f>
        <v>——</v>
      </c>
    </row>
    <row r="8" spans="1:18">
      <c r="A8" s="3538">
        <f>IF(项目基本情况!B9="市场价格","——",项目基本情况!E9)</f>
        <v>0</v>
      </c>
      <c r="B8" s="3539"/>
      <c r="C8" s="3539"/>
      <c r="D8" s="3539"/>
      <c r="E8" s="3539"/>
      <c r="F8" s="3539"/>
      <c r="G8" s="3539"/>
      <c r="H8" s="3539"/>
      <c r="I8" s="3539"/>
      <c r="J8" s="3539"/>
      <c r="K8" s="3539"/>
      <c r="L8" s="3539"/>
      <c r="M8" s="3539"/>
      <c r="N8" s="3539"/>
      <c r="O8" s="3539"/>
      <c r="P8" s="3539"/>
      <c r="Q8" s="3540"/>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2" t="s">
        <v>1583</v>
      </c>
      <c r="B1" s="3542"/>
      <c r="C1" s="3542"/>
      <c r="D1" s="3542"/>
    </row>
    <row r="2" spans="1:4" ht="47.25" customHeight="1">
      <c r="A2" s="3543" t="str">
        <f>"1.权利限制："&amp;项目基本情况!L24&amp;"未设定租赁等其他他项权利。"</f>
        <v>1.权利限制：根据估价对象《不动产权证书》原件、《国有土地使用权》复印件，截至估价期日，估价对象抵押权未见登记。未设定租赁等其他他项权利。</v>
      </c>
      <c r="B2" s="3543"/>
      <c r="C2" s="3543"/>
      <c r="D2" s="3543"/>
    </row>
    <row r="3" spans="1:4" ht="48" customHeight="1">
      <c r="A3" s="35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2"/>
      <c r="C3" s="3542"/>
      <c r="D3" s="3542"/>
    </row>
    <row r="4" spans="1:4" ht="36.75" customHeight="1">
      <c r="A4" s="3542" t="str">
        <f>"3.估价规划限制条件：详见"&amp;项目基本情况!E21&amp;"。"</f>
        <v>3.估价规划限制条件：详见《建设工程规划许可证》[]、《出让合同》[]。</v>
      </c>
      <c r="B4" s="3542"/>
      <c r="C4" s="3542"/>
      <c r="D4" s="3542"/>
    </row>
    <row r="5" spans="1:4">
      <c r="A5" s="3541" t="s">
        <v>1584</v>
      </c>
      <c r="B5" s="3541"/>
      <c r="C5" s="3541"/>
      <c r="D5" s="3541"/>
    </row>
    <row r="6" spans="1:4">
      <c r="A6" s="3542" t="s">
        <v>1562</v>
      </c>
      <c r="B6" s="3542"/>
      <c r="C6" s="3542"/>
      <c r="D6" s="3542"/>
    </row>
    <row r="7" spans="1:4" ht="33" customHeight="1">
      <c r="A7" s="3542" t="s">
        <v>1857</v>
      </c>
      <c r="B7" s="3542"/>
      <c r="C7" s="3542"/>
      <c r="D7" s="3542"/>
    </row>
    <row r="8" spans="1:4" ht="32.25" customHeight="1">
      <c r="A8" s="35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2"/>
      <c r="C8" s="3542"/>
      <c r="D8" s="3542"/>
    </row>
    <row r="9" spans="1:4" ht="33.75" customHeight="1">
      <c r="A9" s="35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2"/>
      <c r="C9" s="3542"/>
      <c r="D9" s="3542"/>
    </row>
    <row r="10" spans="1:4">
      <c r="A10" s="3542" t="str">
        <f>IF(项目基本情况!B8="抵押","4.估价师所知悉的法定优先受偿款情况为：","——")</f>
        <v>4.估价师所知悉的法定优先受偿款情况为：</v>
      </c>
      <c r="B10" s="3542"/>
      <c r="C10" s="3542"/>
      <c r="D10" s="3542"/>
    </row>
    <row r="11" spans="1:4" ht="37.5" customHeight="1">
      <c r="A11" s="35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2"/>
      <c r="C11" s="3542"/>
      <c r="D11" s="3542"/>
    </row>
    <row r="12" spans="1:4" ht="168" customHeight="1">
      <c r="A12" s="3541" t="s">
        <v>1586</v>
      </c>
      <c r="B12" s="3541"/>
      <c r="C12" s="3541"/>
      <c r="D12" s="3541"/>
    </row>
    <row r="13" spans="1:4">
      <c r="A13" s="3544" t="s">
        <v>2028</v>
      </c>
      <c r="B13" s="3544"/>
      <c r="C13" s="3544"/>
      <c r="D13" s="3544"/>
    </row>
    <row r="14" spans="1:4">
      <c r="A14" s="3542" t="str">
        <f>IF(项目基本情况!B8="抵押","综上，"&amp;结果表!K47,"——")</f>
        <v>综上，本次评估估价师知悉的法定优先受偿款为人民币2979万元整。</v>
      </c>
      <c r="B14" s="3542"/>
      <c r="C14" s="3542"/>
      <c r="D14" s="3542"/>
    </row>
    <row r="15" spans="1:4" ht="58.5" customHeight="1">
      <c r="A15" s="35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2"/>
      <c r="C15" s="3542"/>
      <c r="D15" s="3542"/>
    </row>
    <row r="16" spans="1:4" ht="70.5" customHeight="1">
      <c r="A16" s="35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2"/>
      <c r="C16" s="3542"/>
      <c r="D16" s="3542"/>
    </row>
    <row r="17" spans="1:4">
      <c r="A17" s="3542" t="s">
        <v>1984</v>
      </c>
      <c r="B17" s="3542"/>
      <c r="C17" s="3542"/>
      <c r="D17" s="3542"/>
    </row>
    <row r="18" spans="1:4">
      <c r="A18" s="3542" t="s">
        <v>1976</v>
      </c>
      <c r="B18" s="3542"/>
      <c r="C18" s="3542"/>
      <c r="D18" s="3542"/>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2" t="s">
        <v>1981</v>
      </c>
      <c r="B23" s="3542"/>
      <c r="C23" s="3542"/>
      <c r="D23" s="3542"/>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2" t="s">
        <v>27</v>
      </c>
      <c r="B15" s="3553" t="s">
        <v>784</v>
      </c>
      <c r="C15" s="3549"/>
    </row>
    <row r="16" spans="1:7" ht="14.25">
      <c r="A16" s="3552"/>
      <c r="B16" s="3550" t="s">
        <v>28</v>
      </c>
      <c r="C16" s="1014" t="s">
        <v>27</v>
      </c>
    </row>
    <row r="17" spans="1:3" ht="14.25">
      <c r="A17" s="3552"/>
      <c r="B17" s="3550"/>
      <c r="C17" s="1014" t="s">
        <v>29</v>
      </c>
    </row>
    <row r="18" spans="1:3" ht="14.25">
      <c r="A18" s="3552"/>
      <c r="B18" s="3550"/>
      <c r="C18" s="1014" t="s">
        <v>30</v>
      </c>
    </row>
    <row r="19" spans="1:3" ht="14.25">
      <c r="A19" s="3552"/>
      <c r="B19" s="3548" t="s">
        <v>31</v>
      </c>
      <c r="C19" s="3549"/>
    </row>
    <row r="20" spans="1:3" ht="14.25">
      <c r="A20" s="1015" t="s">
        <v>32</v>
      </c>
      <c r="B20" s="1016"/>
      <c r="C20" s="1017"/>
    </row>
    <row r="21" spans="1:3" ht="14.25">
      <c r="A21" s="3551" t="s">
        <v>33</v>
      </c>
      <c r="B21" s="3548" t="s">
        <v>34</v>
      </c>
      <c r="C21" s="3549"/>
    </row>
    <row r="22" spans="1:3" ht="14.25">
      <c r="A22" s="3551"/>
      <c r="B22" s="3548" t="s">
        <v>35</v>
      </c>
      <c r="C22" s="3549"/>
    </row>
    <row r="23" spans="1:3" ht="14.25">
      <c r="A23" s="3551"/>
      <c r="B23" s="3548" t="s">
        <v>36</v>
      </c>
      <c r="C23" s="3549"/>
    </row>
    <row r="24" spans="1:3" ht="14.25">
      <c r="A24" s="3551"/>
      <c r="B24" s="3554" t="s">
        <v>37</v>
      </c>
      <c r="C24" s="1018" t="s">
        <v>775</v>
      </c>
    </row>
    <row r="25" spans="1:3" ht="14.25">
      <c r="A25" s="3551"/>
      <c r="B25" s="3555"/>
      <c r="C25" s="1018" t="s">
        <v>776</v>
      </c>
    </row>
    <row r="26" spans="1:3" ht="14.25">
      <c r="A26" s="3551"/>
      <c r="B26" s="3555"/>
      <c r="C26" s="1018" t="s">
        <v>777</v>
      </c>
    </row>
    <row r="27" spans="1:3" ht="14.25">
      <c r="A27" s="3551"/>
      <c r="B27" s="3555"/>
      <c r="C27" s="1018" t="s">
        <v>778</v>
      </c>
    </row>
    <row r="28" spans="1:3" ht="14.25">
      <c r="A28" s="3551"/>
      <c r="B28" s="3555"/>
      <c r="C28" s="1018" t="s">
        <v>779</v>
      </c>
    </row>
    <row r="29" spans="1:3" ht="14.25">
      <c r="A29" s="3551"/>
      <c r="B29" s="3555"/>
      <c r="C29" s="1018" t="s">
        <v>780</v>
      </c>
    </row>
    <row r="30" spans="1:3" ht="14.25">
      <c r="A30" s="3551"/>
      <c r="B30" s="3555"/>
      <c r="C30" s="1018" t="s">
        <v>781</v>
      </c>
    </row>
    <row r="31" spans="1:3" ht="14.25">
      <c r="A31" s="3551"/>
      <c r="B31" s="3555"/>
      <c r="C31" s="1018" t="s">
        <v>782</v>
      </c>
    </row>
    <row r="32" spans="1:3" ht="14.25">
      <c r="A32" s="3551"/>
      <c r="B32" s="3555"/>
      <c r="C32" s="1018" t="s">
        <v>1181</v>
      </c>
    </row>
    <row r="33" spans="1:3" ht="14.25">
      <c r="A33" s="3551"/>
      <c r="B33" s="3545" t="s">
        <v>1187</v>
      </c>
      <c r="C33" s="1018" t="s">
        <v>1182</v>
      </c>
    </row>
    <row r="34" spans="1:3" ht="14.25">
      <c r="A34" s="3551"/>
      <c r="B34" s="3546"/>
      <c r="C34" s="1023" t="s">
        <v>1183</v>
      </c>
    </row>
    <row r="35" spans="1:3" ht="14.25">
      <c r="A35" s="3551"/>
      <c r="B35" s="3546"/>
      <c r="C35" s="1024" t="s">
        <v>1184</v>
      </c>
    </row>
    <row r="36" spans="1:3" ht="14.25">
      <c r="A36" s="3551"/>
      <c r="B36" s="3546"/>
      <c r="C36" s="1024" t="s">
        <v>1185</v>
      </c>
    </row>
    <row r="37" spans="1:3" ht="14.25">
      <c r="A37" s="3551"/>
      <c r="B37" s="3547"/>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45622</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59" t="s">
        <v>1448</v>
      </c>
      <c r="B18" s="3560"/>
      <c r="C18" s="3560"/>
      <c r="D18" s="3560"/>
      <c r="E18" s="3560"/>
      <c r="F18" s="3560"/>
      <c r="G18" s="2558"/>
    </row>
    <row r="19" spans="1:7" ht="20.25" customHeight="1">
      <c r="A19" s="3556" t="s">
        <v>1449</v>
      </c>
      <c r="B19" s="3556"/>
      <c r="C19" s="3557"/>
      <c r="D19" s="3558" t="s">
        <v>1450</v>
      </c>
      <c r="E19" s="3556"/>
      <c r="F19" s="355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1"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1"/>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1"/>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1"/>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1"/>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2024-11-26T01:43:36Z</dcterms:modified>
</cp:coreProperties>
</file>